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mc:AlternateContent xmlns:mc="http://schemas.openxmlformats.org/markup-compatibility/2006">
    <mc:Choice Requires="x15">
      <x15ac:absPath xmlns:x15ac="http://schemas.microsoft.com/office/spreadsheetml/2010/11/ac" url="C:\Users\rcruz\Desktop\Planes\"/>
    </mc:Choice>
  </mc:AlternateContent>
  <xr:revisionPtr revIDLastSave="0" documentId="13_ncr:1_{6E0251AA-1802-4D65-AC6F-653B86950C1A}" xr6:coauthVersionLast="47" xr6:coauthVersionMax="47" xr10:uidLastSave="{00000000-0000-0000-0000-000000000000}"/>
  <bookViews>
    <workbookView xWindow="-120" yWindow="-120" windowWidth="20730" windowHeight="11040" tabRatio="932" xr2:uid="{00000000-000D-0000-FFFF-FFFF00000000}"/>
  </bookViews>
  <sheets>
    <sheet name="1. RESUMEN" sheetId="16" r:id="rId1"/>
    <sheet name="3.CARRETERAS" sheetId="2" r:id="rId2"/>
    <sheet name="4.PUENTES" sheetId="3" r:id="rId3"/>
    <sheet name="5.ALCANTARILLAS Y VADOS" sheetId="4" r:id="rId4"/>
    <sheet name="6.RIOS Y QUEBRADAS" sheetId="29" r:id="rId5"/>
    <sheet name="7.OBRAS CORRECTIVAS" sheetId="10" r:id="rId6"/>
    <sheet name="8.EDUCACION" sheetId="8" r:id="rId7"/>
    <sheet name="9.SISTEMAS DE AGUA" sheetId="5" r:id="rId8"/>
    <sheet name="10.EDIFICIOS PÚBLICOS" sheetId="9" r:id="rId9"/>
    <sheet name="11. VIVIENDA" sheetId="27" r:id="rId10"/>
    <sheet name="12. SUBSECTOR AGRÍCOLA" sheetId="19" r:id="rId11"/>
    <sheet name="13. SUBSECTOR PECUARIO" sheetId="20" r:id="rId12"/>
    <sheet name="14.PESCA Y ACUICULTURA" sheetId="28" r:id="rId13"/>
  </sheets>
  <externalReferences>
    <externalReference r:id="rId14"/>
    <externalReference r:id="rId15"/>
    <externalReference r:id="rId16"/>
  </externalReferences>
  <definedNames>
    <definedName name="_xlnm._FilterDatabase" localSheetId="10" hidden="1">'12. SUBSECTOR AGRÍCOLA'!$A$6:$P$951</definedName>
    <definedName name="_xlnm._FilterDatabase" localSheetId="11" hidden="1">'13. SUBSECTOR PECUARIO'!$A$6:$P$420</definedName>
    <definedName name="_xlnm._FilterDatabase" localSheetId="1" hidden="1">'3.CARRETERAS'!$B$5:$J$1019</definedName>
    <definedName name="_xlnm.Print_Area" localSheetId="0">'1. RESUMEN'!$A$1:$N$82</definedName>
    <definedName name="_xlnm.Print_Area" localSheetId="1">'3.CARRETERAS'!$A$1:$J$3222</definedName>
    <definedName name="_xlnm.Print_Area" localSheetId="2">'4.PUENTES'!$A$1:$J$560</definedName>
    <definedName name="_xlnm.Print_Area" localSheetId="3">'5.ALCANTARILLAS Y VADOS'!$A$1:$K$422</definedName>
    <definedName name="_xlnm.Print_Area" localSheetId="4">'6.RIOS Y QUEBRADAS'!$A$1:$J$384</definedName>
    <definedName name="_xlnm.Print_Area" localSheetId="6">'8.EDUCACION'!$A$1:$O$108</definedName>
    <definedName name="_xlnm.Print_Area" localSheetId="7">'9.SISTEMAS DE AGUA'!$A$1:$I$293</definedName>
    <definedName name="DAÑOS">[1]Daños!$A$3:$A$14</definedName>
    <definedName name="_xlnm.Print_Titles" localSheetId="9">'11. VIVIENDA'!$1:$7</definedName>
    <definedName name="_xlnm.Print_Titles" localSheetId="1">'3.CARRETERAS'!$1:$6</definedName>
    <definedName name="_xlnm.Print_Titles" localSheetId="2">'4.PUENTES'!$1:$5</definedName>
    <definedName name="_xlnm.Print_Titles" localSheetId="3">'5.ALCANTARILLAS Y VADOS'!$1:$5</definedName>
    <definedName name="_xlnm.Print_Titles" localSheetId="4">'6.RIOS Y QUEBRADAS'!$2:$5</definedName>
    <definedName name="_xlnm.Print_Titles" localSheetId="6">'8.EDUCACION'!$1:$5</definedName>
    <definedName name="_xlnm.Print_Titles" localSheetId="7">'9.SISTEMAS DE AGUA'!$1:$5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21" i="4" l="1"/>
  <c r="J1021" i="2"/>
  <c r="J686" i="2"/>
  <c r="K81" i="16" l="1"/>
  <c r="L81" i="16"/>
  <c r="M81" i="16"/>
  <c r="K65" i="16"/>
  <c r="L65" i="16"/>
  <c r="M65" i="16"/>
  <c r="E53" i="16"/>
  <c r="F53" i="16"/>
  <c r="G53" i="16"/>
  <c r="H53" i="16"/>
  <c r="K53" i="16"/>
  <c r="L53" i="16"/>
  <c r="M53" i="16"/>
  <c r="G48" i="16"/>
  <c r="K48" i="16"/>
  <c r="L48" i="16"/>
  <c r="M48" i="16"/>
  <c r="J41" i="16"/>
  <c r="K41" i="16"/>
  <c r="L41" i="16"/>
  <c r="M41" i="16"/>
  <c r="K25" i="16"/>
  <c r="L25" i="16"/>
  <c r="M25" i="16"/>
  <c r="K82" i="16" l="1"/>
  <c r="M82" i="16"/>
  <c r="L82" i="16"/>
  <c r="J963" i="2"/>
  <c r="C26" i="16" s="1"/>
  <c r="J3219" i="2" l="1"/>
  <c r="G3219" i="2"/>
  <c r="J3205" i="2"/>
  <c r="C79" i="16" s="1"/>
  <c r="G3205" i="2"/>
  <c r="J3193" i="2"/>
  <c r="C80" i="16" s="1"/>
  <c r="G3171" i="2"/>
  <c r="J3153" i="2"/>
  <c r="C75" i="16" s="1"/>
  <c r="G3153" i="2"/>
  <c r="J2982" i="2"/>
  <c r="C74" i="16" s="1"/>
  <c r="G2982" i="2"/>
  <c r="G2966" i="2"/>
  <c r="J2947" i="2"/>
  <c r="C72" i="16" s="1"/>
  <c r="G2947" i="2"/>
  <c r="J2924" i="2"/>
  <c r="C71" i="16" s="1"/>
  <c r="G2924" i="2"/>
  <c r="J2891" i="2"/>
  <c r="C70" i="16" s="1"/>
  <c r="G2891" i="2"/>
  <c r="G2802" i="2"/>
  <c r="J2675" i="2"/>
  <c r="C67" i="16" s="1"/>
  <c r="G2675" i="2"/>
  <c r="J2544" i="2"/>
  <c r="C64" i="16" s="1"/>
  <c r="G2544" i="2"/>
  <c r="J2513" i="2"/>
  <c r="C63" i="16" s="1"/>
  <c r="G2513" i="2"/>
  <c r="J2508" i="2"/>
  <c r="C62" i="16" s="1"/>
  <c r="G2508" i="2"/>
  <c r="J2327" i="2"/>
  <c r="C61" i="16" s="1"/>
  <c r="G2327" i="2"/>
  <c r="J2263" i="2"/>
  <c r="C60" i="16" s="1"/>
  <c r="G2263" i="2"/>
  <c r="J2233" i="2"/>
  <c r="C59" i="16" s="1"/>
  <c r="G2233" i="2"/>
  <c r="J2153" i="2"/>
  <c r="C58" i="16" s="1"/>
  <c r="G2153" i="2"/>
  <c r="J2095" i="2"/>
  <c r="C57" i="16" s="1"/>
  <c r="G2095" i="2"/>
  <c r="J1933" i="2"/>
  <c r="C55" i="16" s="1"/>
  <c r="G1933" i="2"/>
  <c r="J1884" i="2"/>
  <c r="C54" i="16" s="1"/>
  <c r="G1884" i="2"/>
  <c r="J1826" i="2"/>
  <c r="C50" i="16" s="1"/>
  <c r="G1826" i="2"/>
  <c r="J1823" i="2"/>
  <c r="C49" i="16" s="1"/>
  <c r="C53" i="16" s="1"/>
  <c r="G1823" i="2"/>
  <c r="J1820" i="2"/>
  <c r="C47" i="16" s="1"/>
  <c r="G1820" i="2"/>
  <c r="J1761" i="2"/>
  <c r="C46" i="16" s="1"/>
  <c r="G1761" i="2"/>
  <c r="J1724" i="2"/>
  <c r="C44" i="16" s="1"/>
  <c r="G1724" i="2"/>
  <c r="J1708" i="2"/>
  <c r="C45" i="16" s="1"/>
  <c r="G1708" i="2"/>
  <c r="J1705" i="2"/>
  <c r="C43" i="16" s="1"/>
  <c r="G1705" i="2"/>
  <c r="J1673" i="2"/>
  <c r="C42" i="16" s="1"/>
  <c r="C48" i="16" s="1"/>
  <c r="G1673" i="2"/>
  <c r="J1654" i="2"/>
  <c r="C39" i="16" s="1"/>
  <c r="G1654" i="2"/>
  <c r="J1649" i="2"/>
  <c r="C38" i="16" s="1"/>
  <c r="N38" i="16" s="1"/>
  <c r="G1649" i="2"/>
  <c r="J1645" i="2"/>
  <c r="C37" i="16" s="1"/>
  <c r="G1645" i="2"/>
  <c r="J1637" i="2"/>
  <c r="C36" i="16" s="1"/>
  <c r="G1637" i="2"/>
  <c r="J1624" i="2"/>
  <c r="C35" i="16" s="1"/>
  <c r="J1149" i="2"/>
  <c r="C34" i="16" s="1"/>
  <c r="G1149" i="2"/>
  <c r="J1144" i="2"/>
  <c r="C33" i="16" s="1"/>
  <c r="G1144" i="2"/>
  <c r="J1082" i="2"/>
  <c r="C31" i="16" s="1"/>
  <c r="G1082" i="2"/>
  <c r="J1042" i="2"/>
  <c r="C30" i="16" s="1"/>
  <c r="G1042" i="2"/>
  <c r="J1029" i="2"/>
  <c r="C29" i="16" s="1"/>
  <c r="G1029" i="2"/>
  <c r="C28" i="16"/>
  <c r="J1014" i="2"/>
  <c r="C27" i="16" s="1"/>
  <c r="G1014" i="2"/>
  <c r="J973" i="2"/>
  <c r="C40" i="16" s="1"/>
  <c r="G973" i="2"/>
  <c r="G963" i="2"/>
  <c r="J944" i="2"/>
  <c r="C24" i="16" s="1"/>
  <c r="G944" i="2"/>
  <c r="J902" i="2"/>
  <c r="C23" i="16" s="1"/>
  <c r="G902" i="2"/>
  <c r="C21" i="16"/>
  <c r="G686" i="2"/>
  <c r="J650" i="2"/>
  <c r="C20" i="16" s="1"/>
  <c r="G650" i="2"/>
  <c r="J517" i="2"/>
  <c r="C19" i="16" s="1"/>
  <c r="G517" i="2"/>
  <c r="J513" i="2"/>
  <c r="C17" i="16" s="1"/>
  <c r="G513" i="2"/>
  <c r="J252" i="2"/>
  <c r="C16" i="16" s="1"/>
  <c r="G252" i="2"/>
  <c r="G233" i="2"/>
  <c r="J233" i="2"/>
  <c r="C15" i="16" s="1"/>
  <c r="J229" i="2"/>
  <c r="C14" i="16" s="1"/>
  <c r="G229" i="2"/>
  <c r="J225" i="2"/>
  <c r="C13" i="16" s="1"/>
  <c r="G225" i="2"/>
  <c r="J222" i="2"/>
  <c r="C12" i="16" s="1"/>
  <c r="G222" i="2"/>
  <c r="J200" i="2"/>
  <c r="C11" i="16" s="1"/>
  <c r="G200" i="2"/>
  <c r="J162" i="2"/>
  <c r="C10" i="16" s="1"/>
  <c r="G162" i="2"/>
  <c r="J95" i="2"/>
  <c r="C9" i="16" s="1"/>
  <c r="G95" i="2"/>
  <c r="J73" i="2"/>
  <c r="C8" i="16" s="1"/>
  <c r="J9" i="2"/>
  <c r="C6" i="16" s="1"/>
  <c r="G9" i="2"/>
  <c r="J557" i="3"/>
  <c r="D77" i="16" s="1"/>
  <c r="G557" i="3"/>
  <c r="J548" i="3"/>
  <c r="D79" i="16" s="1"/>
  <c r="G548" i="3"/>
  <c r="G543" i="3"/>
  <c r="J537" i="3"/>
  <c r="D80" i="16" s="1"/>
  <c r="G537" i="3"/>
  <c r="J533" i="3"/>
  <c r="D76" i="16" s="1"/>
  <c r="J520" i="3"/>
  <c r="D75" i="16" s="1"/>
  <c r="G507" i="3"/>
  <c r="J501" i="3"/>
  <c r="D72" i="16" s="1"/>
  <c r="G501" i="3"/>
  <c r="J478" i="3"/>
  <c r="D71" i="16" s="1"/>
  <c r="G478" i="3"/>
  <c r="J453" i="3"/>
  <c r="D70" i="16" s="1"/>
  <c r="G453" i="3"/>
  <c r="J427" i="3"/>
  <c r="D69" i="16" s="1"/>
  <c r="G427" i="3"/>
  <c r="J416" i="3"/>
  <c r="D68" i="16" s="1"/>
  <c r="G416" i="3"/>
  <c r="J354" i="3"/>
  <c r="D67" i="16" s="1"/>
  <c r="G354" i="3"/>
  <c r="J341" i="3"/>
  <c r="D64" i="16" s="1"/>
  <c r="G341" i="3"/>
  <c r="G328" i="3"/>
  <c r="J328" i="3"/>
  <c r="D63" i="16" s="1"/>
  <c r="J322" i="3"/>
  <c r="D62" i="16" s="1"/>
  <c r="G322" i="3"/>
  <c r="J317" i="3"/>
  <c r="D61" i="16" s="1"/>
  <c r="G317" i="3"/>
  <c r="J307" i="3"/>
  <c r="D60" i="16" s="1"/>
  <c r="G307" i="3"/>
  <c r="J304" i="3"/>
  <c r="D59" i="16" s="1"/>
  <c r="G304" i="3"/>
  <c r="J294" i="3"/>
  <c r="D58" i="16" s="1"/>
  <c r="G294" i="3"/>
  <c r="J287" i="3"/>
  <c r="D57" i="16" s="1"/>
  <c r="G287" i="3"/>
  <c r="J271" i="3"/>
  <c r="D55" i="16" s="1"/>
  <c r="G271" i="3"/>
  <c r="J264" i="3"/>
  <c r="D54" i="16" s="1"/>
  <c r="G264" i="3"/>
  <c r="J255" i="3"/>
  <c r="D51" i="16" s="1"/>
  <c r="D53" i="16" s="1"/>
  <c r="G255" i="3"/>
  <c r="G252" i="3"/>
  <c r="J240" i="3"/>
  <c r="D46" i="16" s="1"/>
  <c r="G240" i="3"/>
  <c r="J222" i="3"/>
  <c r="D44" i="16" s="1"/>
  <c r="G222" i="3"/>
  <c r="J217" i="3"/>
  <c r="D42" i="16" s="1"/>
  <c r="G217" i="3"/>
  <c r="J211" i="3"/>
  <c r="D39" i="16" s="1"/>
  <c r="G211" i="3"/>
  <c r="J206" i="3"/>
  <c r="D36" i="16" s="1"/>
  <c r="G206" i="3"/>
  <c r="J202" i="3"/>
  <c r="D35" i="16" s="1"/>
  <c r="G202" i="3"/>
  <c r="J198" i="3"/>
  <c r="D34" i="16" s="1"/>
  <c r="G198" i="3"/>
  <c r="J191" i="3"/>
  <c r="D33" i="16" s="1"/>
  <c r="G191" i="3"/>
  <c r="G187" i="3"/>
  <c r="J187" i="3"/>
  <c r="D32" i="16" s="1"/>
  <c r="J181" i="3"/>
  <c r="D31" i="16" s="1"/>
  <c r="G181" i="3"/>
  <c r="G174" i="3"/>
  <c r="J166" i="3"/>
  <c r="D27" i="16" s="1"/>
  <c r="G166" i="3"/>
  <c r="J163" i="3"/>
  <c r="D26" i="16" s="1"/>
  <c r="G163" i="3"/>
  <c r="G154" i="3"/>
  <c r="J151" i="3"/>
  <c r="D24" i="16" s="1"/>
  <c r="G151" i="3"/>
  <c r="J137" i="3"/>
  <c r="D23" i="16" s="1"/>
  <c r="G137" i="3"/>
  <c r="J111" i="3"/>
  <c r="D21" i="16" s="1"/>
  <c r="G111" i="3"/>
  <c r="J105" i="3"/>
  <c r="D20" i="16" s="1"/>
  <c r="G105" i="3"/>
  <c r="J98" i="3"/>
  <c r="D19" i="16" s="1"/>
  <c r="G98" i="3"/>
  <c r="J94" i="3"/>
  <c r="D18" i="16" s="1"/>
  <c r="G94" i="3"/>
  <c r="J91" i="3"/>
  <c r="D17" i="16" s="1"/>
  <c r="G91" i="3"/>
  <c r="G67" i="3"/>
  <c r="J67" i="3"/>
  <c r="D16" i="16" s="1"/>
  <c r="J56" i="3"/>
  <c r="D14" i="16" s="1"/>
  <c r="G56" i="3"/>
  <c r="J52" i="3"/>
  <c r="D12" i="16" s="1"/>
  <c r="G52" i="3"/>
  <c r="J49" i="3"/>
  <c r="D11" i="16" s="1"/>
  <c r="G49" i="3"/>
  <c r="J30" i="3"/>
  <c r="D10" i="16" s="1"/>
  <c r="G30" i="3"/>
  <c r="J24" i="3"/>
  <c r="D9" i="16" s="1"/>
  <c r="G24" i="3"/>
  <c r="J18" i="3"/>
  <c r="D8" i="16" s="1"/>
  <c r="D25" i="16" s="1"/>
  <c r="G18" i="3"/>
  <c r="K417" i="4"/>
  <c r="E79" i="16" s="1"/>
  <c r="H417" i="4"/>
  <c r="H407" i="4"/>
  <c r="H381" i="4"/>
  <c r="K369" i="4"/>
  <c r="E75" i="16" s="1"/>
  <c r="H369" i="4"/>
  <c r="K360" i="4"/>
  <c r="E74" i="16" s="1"/>
  <c r="H360" i="4"/>
  <c r="H356" i="4"/>
  <c r="K348" i="4"/>
  <c r="E72" i="16" s="1"/>
  <c r="H348" i="4"/>
  <c r="K341" i="4"/>
  <c r="E71" i="16" s="1"/>
  <c r="H341" i="4"/>
  <c r="K331" i="4"/>
  <c r="E70" i="16" s="1"/>
  <c r="H331" i="4"/>
  <c r="K266" i="4"/>
  <c r="E68" i="16" s="1"/>
  <c r="H266" i="4"/>
  <c r="K238" i="4"/>
  <c r="E63" i="16" s="1"/>
  <c r="H238" i="4"/>
  <c r="K234" i="4"/>
  <c r="E62" i="16" s="1"/>
  <c r="H234" i="4"/>
  <c r="K222" i="4"/>
  <c r="E61" i="16" s="1"/>
  <c r="H222" i="4"/>
  <c r="K208" i="4"/>
  <c r="E60" i="16" s="1"/>
  <c r="H208" i="4"/>
  <c r="K205" i="4"/>
  <c r="E59" i="16" s="1"/>
  <c r="H205" i="4"/>
  <c r="K191" i="4"/>
  <c r="E58" i="16" s="1"/>
  <c r="H191" i="4"/>
  <c r="K188" i="4"/>
  <c r="E57" i="16" s="1"/>
  <c r="H188" i="4"/>
  <c r="K184" i="4"/>
  <c r="E56" i="16" s="1"/>
  <c r="H184" i="4"/>
  <c r="K176" i="4"/>
  <c r="E55" i="16" s="1"/>
  <c r="H176" i="4"/>
  <c r="K173" i="4"/>
  <c r="E54" i="16" s="1"/>
  <c r="E65" i="16" s="1"/>
  <c r="H173" i="4"/>
  <c r="K166" i="4"/>
  <c r="E47" i="16" s="1"/>
  <c r="H166" i="4"/>
  <c r="K158" i="4"/>
  <c r="E42" i="16" s="1"/>
  <c r="E48" i="16" s="1"/>
  <c r="H158" i="4"/>
  <c r="K150" i="4"/>
  <c r="E36" i="16" s="1"/>
  <c r="H150" i="4"/>
  <c r="K146" i="4"/>
  <c r="E35" i="16" s="1"/>
  <c r="H146" i="4"/>
  <c r="K141" i="4"/>
  <c r="E34" i="16" s="1"/>
  <c r="H141" i="4"/>
  <c r="K134" i="4"/>
  <c r="E31" i="16" s="1"/>
  <c r="H134" i="4"/>
  <c r="K125" i="4"/>
  <c r="E27" i="16" s="1"/>
  <c r="E41" i="16" s="1"/>
  <c r="H125" i="4"/>
  <c r="K122" i="4"/>
  <c r="E24" i="16" s="1"/>
  <c r="H122" i="4"/>
  <c r="K112" i="4"/>
  <c r="E23" i="16" s="1"/>
  <c r="H112" i="4"/>
  <c r="K89" i="4"/>
  <c r="E21" i="16" s="1"/>
  <c r="H89" i="4"/>
  <c r="K85" i="4"/>
  <c r="E20" i="16" s="1"/>
  <c r="H85" i="4"/>
  <c r="K66" i="4"/>
  <c r="E19" i="16" s="1"/>
  <c r="H66" i="4"/>
  <c r="K63" i="4"/>
  <c r="E17" i="16" s="1"/>
  <c r="H63" i="4"/>
  <c r="K56" i="4"/>
  <c r="E14" i="16" s="1"/>
  <c r="H56" i="4"/>
  <c r="K51" i="4"/>
  <c r="E11" i="16" s="1"/>
  <c r="H51" i="4"/>
  <c r="K25" i="4"/>
  <c r="E10" i="16" s="1"/>
  <c r="H25" i="4"/>
  <c r="K12" i="4"/>
  <c r="E8" i="16" s="1"/>
  <c r="H12" i="4"/>
  <c r="I280" i="5"/>
  <c r="F280" i="5"/>
  <c r="I276" i="5"/>
  <c r="F276" i="5"/>
  <c r="I273" i="5"/>
  <c r="F273" i="5"/>
  <c r="I270" i="5"/>
  <c r="F270" i="5"/>
  <c r="I267" i="5"/>
  <c r="F267" i="5"/>
  <c r="I264" i="5"/>
  <c r="F264" i="5"/>
  <c r="I260" i="5"/>
  <c r="F260" i="5"/>
  <c r="I257" i="5"/>
  <c r="F257" i="5"/>
  <c r="I249" i="5"/>
  <c r="I14" i="16" s="1"/>
  <c r="F249" i="5"/>
  <c r="I246" i="5"/>
  <c r="F246" i="5"/>
  <c r="I243" i="5"/>
  <c r="F243" i="5"/>
  <c r="I240" i="5"/>
  <c r="F240" i="5"/>
  <c r="I236" i="5"/>
  <c r="F236" i="5"/>
  <c r="I231" i="5"/>
  <c r="F231" i="5"/>
  <c r="I228" i="5"/>
  <c r="F228" i="5"/>
  <c r="I223" i="5"/>
  <c r="F223" i="5"/>
  <c r="I220" i="5"/>
  <c r="F220" i="5"/>
  <c r="I214" i="5"/>
  <c r="F214" i="5"/>
  <c r="I208" i="5"/>
  <c r="F208" i="5"/>
  <c r="I196" i="5"/>
  <c r="F196" i="5"/>
  <c r="I192" i="5"/>
  <c r="F192" i="5"/>
  <c r="I182" i="5"/>
  <c r="F182" i="5"/>
  <c r="I175" i="5"/>
  <c r="F175" i="5"/>
  <c r="I166" i="5"/>
  <c r="F166" i="5"/>
  <c r="I162" i="5"/>
  <c r="F162" i="5"/>
  <c r="I159" i="5"/>
  <c r="F159" i="5"/>
  <c r="I148" i="5"/>
  <c r="F148" i="5"/>
  <c r="I122" i="5"/>
  <c r="F122" i="5"/>
  <c r="I114" i="5"/>
  <c r="F114" i="5"/>
  <c r="I106" i="5"/>
  <c r="F106" i="5"/>
  <c r="I102" i="5"/>
  <c r="F102" i="5"/>
  <c r="I99" i="5"/>
  <c r="F99" i="5"/>
  <c r="I94" i="5"/>
  <c r="F94" i="5"/>
  <c r="I88" i="5"/>
  <c r="F88" i="5"/>
  <c r="I81" i="5"/>
  <c r="F81" i="5"/>
  <c r="I73" i="5"/>
  <c r="F73" i="5"/>
  <c r="I57" i="5"/>
  <c r="F57" i="5"/>
  <c r="I54" i="5"/>
  <c r="I26" i="16" s="1"/>
  <c r="F54" i="5"/>
  <c r="I51" i="5"/>
  <c r="F51" i="5"/>
  <c r="I42" i="5"/>
  <c r="F42" i="5"/>
  <c r="I22" i="5"/>
  <c r="F22" i="5"/>
  <c r="I8" i="5"/>
  <c r="F8" i="5"/>
  <c r="N39" i="16" l="1"/>
  <c r="N62" i="16"/>
  <c r="C77" i="16"/>
  <c r="E25" i="16"/>
  <c r="C25" i="16"/>
  <c r="J381" i="29"/>
  <c r="F77" i="16" s="1"/>
  <c r="G381" i="29"/>
  <c r="J359" i="29"/>
  <c r="F76" i="16" s="1"/>
  <c r="J342" i="29"/>
  <c r="F74" i="16" s="1"/>
  <c r="G342" i="29"/>
  <c r="J303" i="29"/>
  <c r="F72" i="16" s="1"/>
  <c r="G303" i="29"/>
  <c r="J292" i="29"/>
  <c r="F71" i="16" s="1"/>
  <c r="G292" i="29"/>
  <c r="J275" i="29"/>
  <c r="F70" i="16" s="1"/>
  <c r="G275" i="29"/>
  <c r="J243" i="29"/>
  <c r="F59" i="16" s="1"/>
  <c r="G243" i="29"/>
  <c r="J233" i="29"/>
  <c r="F58" i="16" s="1"/>
  <c r="G233" i="29"/>
  <c r="J221" i="29"/>
  <c r="F56" i="16" s="1"/>
  <c r="G221" i="29"/>
  <c r="J202" i="29"/>
  <c r="F55" i="16" s="1"/>
  <c r="G202" i="29"/>
  <c r="J193" i="29"/>
  <c r="F47" i="16" s="1"/>
  <c r="G193" i="29"/>
  <c r="J176" i="29"/>
  <c r="F46" i="16" s="1"/>
  <c r="G176" i="29"/>
  <c r="J170" i="29"/>
  <c r="F43" i="16" s="1"/>
  <c r="N43" i="16" s="1"/>
  <c r="G170" i="29"/>
  <c r="J158" i="29"/>
  <c r="F31" i="16" s="1"/>
  <c r="N31" i="16" s="1"/>
  <c r="G158" i="29"/>
  <c r="J155" i="29"/>
  <c r="F26" i="16" s="1"/>
  <c r="G155" i="29"/>
  <c r="J151" i="29"/>
  <c r="F23" i="16" s="1"/>
  <c r="G151" i="29"/>
  <c r="G96" i="29"/>
  <c r="J96" i="29"/>
  <c r="F21" i="16" s="1"/>
  <c r="G84" i="29"/>
  <c r="J64" i="29"/>
  <c r="F12" i="16" s="1"/>
  <c r="G64" i="29"/>
  <c r="J61" i="29"/>
  <c r="F11" i="16" s="1"/>
  <c r="G61" i="29"/>
  <c r="J49" i="29"/>
  <c r="F10" i="16" s="1"/>
  <c r="G49" i="29"/>
  <c r="J46" i="29"/>
  <c r="F8" i="16" s="1"/>
  <c r="G46" i="29"/>
  <c r="D2492" i="27"/>
  <c r="B2492" i="27"/>
  <c r="K94" i="8"/>
  <c r="O90" i="8"/>
  <c r="K90" i="8"/>
  <c r="K97" i="8" s="1"/>
  <c r="O87" i="8"/>
  <c r="K87" i="8"/>
  <c r="O82" i="8"/>
  <c r="K82" i="8"/>
  <c r="K71" i="8"/>
  <c r="O67" i="8"/>
  <c r="K67" i="8"/>
  <c r="O64" i="8"/>
  <c r="K64" i="8"/>
  <c r="O61" i="8"/>
  <c r="K61" i="8"/>
  <c r="O58" i="8"/>
  <c r="K58" i="8"/>
  <c r="O55" i="8"/>
  <c r="K55" i="8"/>
  <c r="O49" i="8"/>
  <c r="K49" i="8"/>
  <c r="K46" i="8"/>
  <c r="O42" i="8"/>
  <c r="K42" i="8"/>
  <c r="K37" i="8"/>
  <c r="K34" i="8"/>
  <c r="O30" i="8"/>
  <c r="K30" i="8"/>
  <c r="O26" i="8"/>
  <c r="K26" i="8"/>
  <c r="O18" i="8"/>
  <c r="K18" i="8"/>
  <c r="O14" i="8"/>
  <c r="K14" i="8"/>
  <c r="K11" i="8"/>
  <c r="O8" i="8"/>
  <c r="H8" i="16" s="1"/>
  <c r="K8" i="8"/>
  <c r="N93" i="9"/>
  <c r="J70" i="16" s="1"/>
  <c r="J93" i="9"/>
  <c r="N89" i="9"/>
  <c r="J72" i="16" s="1"/>
  <c r="J89" i="9"/>
  <c r="N85" i="9"/>
  <c r="J56" i="16" s="1"/>
  <c r="J85" i="9"/>
  <c r="N81" i="9"/>
  <c r="J71" i="16" s="1"/>
  <c r="J81" i="9"/>
  <c r="N78" i="9"/>
  <c r="J66" i="16" s="1"/>
  <c r="J81" i="16" s="1"/>
  <c r="J78" i="9"/>
  <c r="N72" i="9"/>
  <c r="J76" i="16" s="1"/>
  <c r="J72" i="9"/>
  <c r="J96" i="9" s="1"/>
  <c r="N68" i="9"/>
  <c r="J63" i="16" s="1"/>
  <c r="J68" i="9"/>
  <c r="N63" i="9"/>
  <c r="J58" i="16" s="1"/>
  <c r="J63" i="9"/>
  <c r="N56" i="9"/>
  <c r="J55" i="16" s="1"/>
  <c r="J56" i="9"/>
  <c r="N53" i="9"/>
  <c r="J54" i="16" s="1"/>
  <c r="J53" i="9"/>
  <c r="N49" i="9"/>
  <c r="J59" i="16" s="1"/>
  <c r="J49" i="9"/>
  <c r="N46" i="9"/>
  <c r="J44" i="16" s="1"/>
  <c r="J48" i="16" s="1"/>
  <c r="J46" i="9"/>
  <c r="N43" i="9"/>
  <c r="J23" i="16" s="1"/>
  <c r="J43" i="9"/>
  <c r="N37" i="9"/>
  <c r="J68" i="16" s="1"/>
  <c r="J37" i="9"/>
  <c r="N34" i="9"/>
  <c r="J57" i="16" s="1"/>
  <c r="J34" i="9"/>
  <c r="N31" i="9"/>
  <c r="J49" i="16" s="1"/>
  <c r="J53" i="16" s="1"/>
  <c r="J31" i="9"/>
  <c r="N28" i="9"/>
  <c r="J17" i="16" s="1"/>
  <c r="J28" i="9"/>
  <c r="N25" i="9"/>
  <c r="J12" i="16" s="1"/>
  <c r="J25" i="9"/>
  <c r="J22" i="9"/>
  <c r="N22" i="9"/>
  <c r="J11" i="16" s="1"/>
  <c r="N19" i="9"/>
  <c r="J22" i="16" s="1"/>
  <c r="J19" i="9"/>
  <c r="N16" i="9"/>
  <c r="J8" i="16" s="1"/>
  <c r="J16" i="9"/>
  <c r="N9" i="9"/>
  <c r="J6" i="16" s="1"/>
  <c r="J9" i="9"/>
  <c r="G174" i="10"/>
  <c r="J174" i="10"/>
  <c r="G76" i="16" s="1"/>
  <c r="J157" i="10"/>
  <c r="G71" i="16" s="1"/>
  <c r="G157" i="10"/>
  <c r="G153" i="10"/>
  <c r="J148" i="10"/>
  <c r="G60" i="16" s="1"/>
  <c r="G148" i="10"/>
  <c r="G144" i="10"/>
  <c r="J144" i="10"/>
  <c r="G59" i="16" s="1"/>
  <c r="J132" i="10"/>
  <c r="G57" i="16" s="1"/>
  <c r="G132" i="10"/>
  <c r="J124" i="10"/>
  <c r="G31" i="16" s="1"/>
  <c r="G41" i="16" s="1"/>
  <c r="G124" i="10"/>
  <c r="G113" i="10"/>
  <c r="G63" i="10"/>
  <c r="G35" i="10"/>
  <c r="P950" i="19"/>
  <c r="P602" i="19"/>
  <c r="P419" i="20"/>
  <c r="P44" i="28"/>
  <c r="J44" i="28"/>
  <c r="G65" i="16" l="1"/>
  <c r="N96" i="9"/>
  <c r="J25" i="16"/>
  <c r="J65" i="16"/>
  <c r="F41" i="16"/>
  <c r="F65" i="16"/>
  <c r="J82" i="16"/>
  <c r="J367" i="29"/>
  <c r="F79" i="16" s="1"/>
  <c r="G367" i="29"/>
  <c r="G349" i="29"/>
  <c r="G359" i="29" s="1"/>
  <c r="J253" i="29"/>
  <c r="J252" i="29"/>
  <c r="G252" i="29"/>
  <c r="J251" i="29"/>
  <c r="G250" i="29"/>
  <c r="J249" i="29"/>
  <c r="G249" i="29"/>
  <c r="J248" i="29"/>
  <c r="G248" i="29"/>
  <c r="J247" i="29"/>
  <c r="G247" i="29"/>
  <c r="J246" i="29"/>
  <c r="G246" i="29"/>
  <c r="J245" i="29"/>
  <c r="G245" i="29"/>
  <c r="G254" i="29" s="1"/>
  <c r="A173" i="29"/>
  <c r="A174" i="29" s="1"/>
  <c r="A175" i="29" s="1"/>
  <c r="J166" i="29"/>
  <c r="G166" i="29"/>
  <c r="J165" i="29"/>
  <c r="G165" i="29"/>
  <c r="J164" i="29"/>
  <c r="G164" i="29"/>
  <c r="J163" i="29"/>
  <c r="G163" i="29"/>
  <c r="J162" i="29"/>
  <c r="G162" i="29"/>
  <c r="J161" i="29"/>
  <c r="G161" i="29"/>
  <c r="J160" i="29"/>
  <c r="G160" i="29"/>
  <c r="J91" i="29"/>
  <c r="J90" i="29"/>
  <c r="A90" i="29"/>
  <c r="J89" i="29"/>
  <c r="G88" i="29"/>
  <c r="G92" i="29" s="1"/>
  <c r="J87" i="29"/>
  <c r="J86" i="29"/>
  <c r="J83" i="29"/>
  <c r="J82" i="29"/>
  <c r="J81" i="29"/>
  <c r="J80" i="29"/>
  <c r="J79" i="29"/>
  <c r="J78" i="29"/>
  <c r="J77" i="29"/>
  <c r="J76" i="29"/>
  <c r="J75" i="29"/>
  <c r="J74" i="29"/>
  <c r="J73" i="29"/>
  <c r="J72" i="29"/>
  <c r="J70" i="29"/>
  <c r="J69" i="29"/>
  <c r="J68" i="29"/>
  <c r="J67" i="29"/>
  <c r="J66" i="29"/>
  <c r="J84" i="29" l="1"/>
  <c r="J88" i="29"/>
  <c r="J92" i="29"/>
  <c r="F20" i="16" s="1"/>
  <c r="G167" i="29"/>
  <c r="G384" i="29" s="1"/>
  <c r="J167" i="29"/>
  <c r="F42" i="16" s="1"/>
  <c r="F48" i="16" s="1"/>
  <c r="J254" i="29"/>
  <c r="F66" i="16" s="1"/>
  <c r="F81" i="16" s="1"/>
  <c r="J2492" i="27"/>
  <c r="I2492" i="27"/>
  <c r="F2492" i="27"/>
  <c r="K2492" i="27" s="1"/>
  <c r="G2491" i="27"/>
  <c r="E2491" i="27"/>
  <c r="C2491" i="27"/>
  <c r="H2491" i="27" s="1"/>
  <c r="G2490" i="27"/>
  <c r="E2490" i="27"/>
  <c r="C2490" i="27"/>
  <c r="G2489" i="27"/>
  <c r="E2489" i="27"/>
  <c r="C2489" i="27"/>
  <c r="G2488" i="27"/>
  <c r="E2488" i="27"/>
  <c r="C2488" i="27"/>
  <c r="H2488" i="27" s="1"/>
  <c r="G2487" i="27"/>
  <c r="E2487" i="27"/>
  <c r="C2487" i="27"/>
  <c r="H2487" i="27" s="1"/>
  <c r="G2486" i="27"/>
  <c r="E2486" i="27"/>
  <c r="C2486" i="27"/>
  <c r="G2485" i="27"/>
  <c r="E2485" i="27"/>
  <c r="C2485" i="27"/>
  <c r="G2484" i="27"/>
  <c r="E2484" i="27"/>
  <c r="C2484" i="27"/>
  <c r="H2484" i="27" s="1"/>
  <c r="G2483" i="27"/>
  <c r="E2483" i="27"/>
  <c r="C2483" i="27"/>
  <c r="H2483" i="27" s="1"/>
  <c r="G2482" i="27"/>
  <c r="E2482" i="27"/>
  <c r="C2482" i="27"/>
  <c r="G2481" i="27"/>
  <c r="E2481" i="27"/>
  <c r="C2481" i="27"/>
  <c r="G2480" i="27"/>
  <c r="E2480" i="27"/>
  <c r="C2480" i="27"/>
  <c r="H2480" i="27" s="1"/>
  <c r="G2479" i="27"/>
  <c r="E2479" i="27"/>
  <c r="C2479" i="27"/>
  <c r="H2479" i="27" s="1"/>
  <c r="G2478" i="27"/>
  <c r="E2478" i="27"/>
  <c r="C2478" i="27"/>
  <c r="G2477" i="27"/>
  <c r="E2477" i="27"/>
  <c r="C2477" i="27"/>
  <c r="G2476" i="27"/>
  <c r="E2476" i="27"/>
  <c r="C2476" i="27"/>
  <c r="H2476" i="27" s="1"/>
  <c r="G2475" i="27"/>
  <c r="E2475" i="27"/>
  <c r="C2475" i="27"/>
  <c r="H2475" i="27" s="1"/>
  <c r="G2474" i="27"/>
  <c r="E2474" i="27"/>
  <c r="C2474" i="27"/>
  <c r="G2473" i="27"/>
  <c r="E2473" i="27"/>
  <c r="C2473" i="27"/>
  <c r="G2472" i="27"/>
  <c r="E2472" i="27"/>
  <c r="C2472" i="27"/>
  <c r="H2472" i="27" s="1"/>
  <c r="G2471" i="27"/>
  <c r="E2471" i="27"/>
  <c r="C2471" i="27"/>
  <c r="H2471" i="27" s="1"/>
  <c r="G2470" i="27"/>
  <c r="E2470" i="27"/>
  <c r="C2470" i="27"/>
  <c r="G2469" i="27"/>
  <c r="E2469" i="27"/>
  <c r="C2469" i="27"/>
  <c r="G2468" i="27"/>
  <c r="E2468" i="27"/>
  <c r="C2468" i="27"/>
  <c r="H2468" i="27" s="1"/>
  <c r="G2467" i="27"/>
  <c r="E2467" i="27"/>
  <c r="C2467" i="27"/>
  <c r="H2467" i="27" s="1"/>
  <c r="G2466" i="27"/>
  <c r="E2466" i="27"/>
  <c r="C2466" i="27"/>
  <c r="G2465" i="27"/>
  <c r="E2465" i="27"/>
  <c r="C2465" i="27"/>
  <c r="G2464" i="27"/>
  <c r="E2464" i="27"/>
  <c r="C2464" i="27"/>
  <c r="H2464" i="27" s="1"/>
  <c r="G2463" i="27"/>
  <c r="E2463" i="27"/>
  <c r="C2463" i="27"/>
  <c r="H2463" i="27" s="1"/>
  <c r="K2463" i="27" s="1"/>
  <c r="G2462" i="27"/>
  <c r="E2462" i="27"/>
  <c r="C2462" i="27"/>
  <c r="G2461" i="27"/>
  <c r="E2461" i="27"/>
  <c r="C2461" i="27"/>
  <c r="G2460" i="27"/>
  <c r="E2460" i="27"/>
  <c r="C2460" i="27"/>
  <c r="H2460" i="27" l="1"/>
  <c r="C2492" i="27"/>
  <c r="E2492" i="27"/>
  <c r="H2462" i="27"/>
  <c r="H2474" i="27"/>
  <c r="H2478" i="27"/>
  <c r="H2482" i="27"/>
  <c r="H2486" i="27"/>
  <c r="H2490" i="27"/>
  <c r="F17" i="16"/>
  <c r="F25" i="16" s="1"/>
  <c r="F82" i="16" s="1"/>
  <c r="J384" i="29"/>
  <c r="G2492" i="27"/>
  <c r="H2466" i="27"/>
  <c r="H2470" i="27"/>
  <c r="H2461" i="27"/>
  <c r="H2465" i="27"/>
  <c r="H2469" i="27"/>
  <c r="H2473" i="27"/>
  <c r="H2477" i="27"/>
  <c r="H2481" i="27"/>
  <c r="H2485" i="27"/>
  <c r="H2489" i="27"/>
  <c r="H56" i="16"/>
  <c r="H54" i="16"/>
  <c r="H17" i="16"/>
  <c r="H23" i="16"/>
  <c r="O92" i="8"/>
  <c r="O94" i="8" s="1"/>
  <c r="O93" i="8"/>
  <c r="H69" i="16"/>
  <c r="H70" i="16"/>
  <c r="H74" i="16"/>
  <c r="O69" i="8"/>
  <c r="H61" i="16"/>
  <c r="H46" i="16"/>
  <c r="O44" i="8"/>
  <c r="H58" i="16"/>
  <c r="H60" i="16"/>
  <c r="H37" i="16"/>
  <c r="O36" i="8"/>
  <c r="O33" i="8"/>
  <c r="H24" i="16"/>
  <c r="H12" i="16"/>
  <c r="O10" i="8"/>
  <c r="H2492" i="27" l="1"/>
  <c r="O11" i="8"/>
  <c r="H10" i="16" s="1"/>
  <c r="O37" i="8"/>
  <c r="H9" i="16" s="1"/>
  <c r="H25" i="16" s="1"/>
  <c r="O46" i="8"/>
  <c r="H47" i="16" s="1"/>
  <c r="H48" i="16" s="1"/>
  <c r="O34" i="8"/>
  <c r="H11" i="16" s="1"/>
  <c r="O71" i="8"/>
  <c r="O97" i="8" s="1"/>
  <c r="N46" i="16"/>
  <c r="N49" i="16"/>
  <c r="H41" i="16"/>
  <c r="N54" i="16"/>
  <c r="H65" i="16"/>
  <c r="H68" i="16"/>
  <c r="H66" i="16" l="1"/>
  <c r="H81" i="16"/>
  <c r="H82" i="16" s="1"/>
  <c r="I73" i="16"/>
  <c r="I67" i="16"/>
  <c r="N67" i="16" s="1"/>
  <c r="I29" i="16"/>
  <c r="N29" i="16" s="1"/>
  <c r="I32" i="16"/>
  <c r="I27" i="16"/>
  <c r="I76" i="16"/>
  <c r="I20" i="16"/>
  <c r="N20" i="16" s="1"/>
  <c r="I9" i="16"/>
  <c r="I15" i="16"/>
  <c r="I12" i="16"/>
  <c r="N12" i="16" s="1"/>
  <c r="I16" i="16"/>
  <c r="I7" i="16"/>
  <c r="N7" i="16" s="1"/>
  <c r="I52" i="16"/>
  <c r="I70" i="16"/>
  <c r="N70" i="16" s="1"/>
  <c r="I57" i="16"/>
  <c r="N57" i="16" s="1"/>
  <c r="I72" i="16"/>
  <c r="I58" i="16"/>
  <c r="I211" i="5"/>
  <c r="F211" i="5"/>
  <c r="I56" i="16"/>
  <c r="F199" i="5"/>
  <c r="I199" i="5"/>
  <c r="I33" i="16" s="1"/>
  <c r="I30" i="16"/>
  <c r="N30" i="16" s="1"/>
  <c r="I17" i="16"/>
  <c r="I24" i="16"/>
  <c r="I61" i="16"/>
  <c r="I60" i="16"/>
  <c r="N60" i="16" s="1"/>
  <c r="I55" i="16"/>
  <c r="I68" i="16"/>
  <c r="I23" i="16"/>
  <c r="I63" i="16"/>
  <c r="N63" i="16" s="1"/>
  <c r="I71" i="16"/>
  <c r="N71" i="16" s="1"/>
  <c r="I74" i="16"/>
  <c r="N74" i="16" s="1"/>
  <c r="I78" i="16"/>
  <c r="I69" i="16"/>
  <c r="I66" i="16"/>
  <c r="I47" i="16"/>
  <c r="I10" i="16"/>
  <c r="I42" i="16"/>
  <c r="I34" i="16"/>
  <c r="F283" i="5" l="1"/>
  <c r="I77" i="16"/>
  <c r="I283" i="5"/>
  <c r="N42" i="16"/>
  <c r="I48" i="16"/>
  <c r="N51" i="16" s="1"/>
  <c r="N45" i="16"/>
  <c r="N16" i="16"/>
  <c r="N19" i="16"/>
  <c r="N23" i="16"/>
  <c r="N26" i="16"/>
  <c r="N61" i="16"/>
  <c r="N64" i="16"/>
  <c r="N33" i="16"/>
  <c r="N36" i="16"/>
  <c r="N77" i="16"/>
  <c r="N80" i="16"/>
  <c r="N79" i="16"/>
  <c r="N10" i="16"/>
  <c r="N13" i="16"/>
  <c r="N50" i="16"/>
  <c r="N58" i="16"/>
  <c r="N52" i="16"/>
  <c r="I53" i="16"/>
  <c r="N15" i="16"/>
  <c r="N27" i="16"/>
  <c r="I41" i="16"/>
  <c r="N44" i="16" s="1"/>
  <c r="N34" i="16"/>
  <c r="N37" i="16"/>
  <c r="I81" i="16"/>
  <c r="N55" i="16"/>
  <c r="I65" i="16"/>
  <c r="N59" i="16"/>
  <c r="N72" i="16"/>
  <c r="N75" i="16"/>
  <c r="N35" i="16"/>
  <c r="I21" i="16"/>
  <c r="N21" i="16" s="1"/>
  <c r="I11" i="16"/>
  <c r="I8" i="16"/>
  <c r="I6" i="16"/>
  <c r="N9" i="16" s="1"/>
  <c r="N11" i="16" l="1"/>
  <c r="N14" i="16"/>
  <c r="N53" i="16"/>
  <c r="N6" i="16"/>
  <c r="I25" i="16"/>
  <c r="N24" i="16"/>
  <c r="G182" i="10"/>
  <c r="J180" i="10"/>
  <c r="J179" i="10"/>
  <c r="J178" i="10"/>
  <c r="J177" i="10"/>
  <c r="J176" i="10"/>
  <c r="E151" i="10"/>
  <c r="J151" i="10" s="1"/>
  <c r="E150" i="10"/>
  <c r="J150" i="10" s="1"/>
  <c r="K405" i="4"/>
  <c r="K404" i="4"/>
  <c r="K403" i="4"/>
  <c r="K402" i="4"/>
  <c r="K401" i="4"/>
  <c r="K400" i="4"/>
  <c r="K399" i="4"/>
  <c r="K398" i="4"/>
  <c r="K397" i="4"/>
  <c r="K396" i="4"/>
  <c r="K395" i="4"/>
  <c r="K394" i="4"/>
  <c r="K393" i="4"/>
  <c r="K392" i="4"/>
  <c r="K391" i="4"/>
  <c r="K390" i="4"/>
  <c r="K389" i="4"/>
  <c r="K388" i="4"/>
  <c r="K387" i="4"/>
  <c r="K386" i="4"/>
  <c r="K385" i="4"/>
  <c r="K384" i="4"/>
  <c r="K383" i="4"/>
  <c r="K379" i="4"/>
  <c r="K378" i="4"/>
  <c r="K377" i="4"/>
  <c r="K376" i="4"/>
  <c r="K375" i="4"/>
  <c r="K374" i="4"/>
  <c r="K373" i="4"/>
  <c r="K372" i="4"/>
  <c r="K371" i="4"/>
  <c r="K354" i="4"/>
  <c r="K353" i="4"/>
  <c r="K352" i="4"/>
  <c r="K351" i="4"/>
  <c r="K350" i="4"/>
  <c r="H274" i="4"/>
  <c r="K274" i="4" s="1"/>
  <c r="K273" i="4"/>
  <c r="H273" i="4"/>
  <c r="K272" i="4"/>
  <c r="H272" i="4"/>
  <c r="K271" i="4"/>
  <c r="H271" i="4"/>
  <c r="K270" i="4"/>
  <c r="H270" i="4"/>
  <c r="K269" i="4"/>
  <c r="H269" i="4"/>
  <c r="H268" i="4"/>
  <c r="K242" i="4"/>
  <c r="K240" i="4"/>
  <c r="H240" i="4"/>
  <c r="H245" i="4" s="1"/>
  <c r="J540" i="3"/>
  <c r="J539" i="3"/>
  <c r="G530" i="3"/>
  <c r="G528" i="3"/>
  <c r="G524" i="3"/>
  <c r="G522" i="3"/>
  <c r="G517" i="3"/>
  <c r="G516" i="3"/>
  <c r="G515" i="3"/>
  <c r="G514" i="3"/>
  <c r="G513" i="3"/>
  <c r="G512" i="3"/>
  <c r="G511" i="3"/>
  <c r="G510" i="3"/>
  <c r="G509" i="3"/>
  <c r="J505" i="3"/>
  <c r="J504" i="3"/>
  <c r="J503" i="3"/>
  <c r="G346" i="3"/>
  <c r="J345" i="3"/>
  <c r="J348" i="3" s="1"/>
  <c r="D66" i="16" s="1"/>
  <c r="G345" i="3"/>
  <c r="G344" i="3"/>
  <c r="G343" i="3"/>
  <c r="G3191" i="2"/>
  <c r="G3190" i="2"/>
  <c r="G3189" i="2"/>
  <c r="G3188" i="2"/>
  <c r="G3187" i="2"/>
  <c r="G3186" i="2"/>
  <c r="G3185" i="2"/>
  <c r="G3184" i="2"/>
  <c r="G3183" i="2"/>
  <c r="G3182" i="2"/>
  <c r="G3181" i="2"/>
  <c r="G3180" i="2"/>
  <c r="G3179" i="2"/>
  <c r="G3178" i="2"/>
  <c r="G3177" i="2"/>
  <c r="G3176" i="2"/>
  <c r="G3175" i="2"/>
  <c r="G3174" i="2"/>
  <c r="G3173" i="2"/>
  <c r="J3163" i="2"/>
  <c r="J3162" i="2"/>
  <c r="J3161" i="2"/>
  <c r="J3160" i="2"/>
  <c r="J3159" i="2"/>
  <c r="J3158" i="2"/>
  <c r="J3157" i="2"/>
  <c r="J3156" i="2"/>
  <c r="J3155" i="2"/>
  <c r="J2954" i="2"/>
  <c r="J2953" i="2"/>
  <c r="J2952" i="2"/>
  <c r="J2951" i="2"/>
  <c r="J2950" i="2"/>
  <c r="J2949" i="2"/>
  <c r="J2824" i="2"/>
  <c r="G2824" i="2"/>
  <c r="J2823" i="2"/>
  <c r="G2823" i="2"/>
  <c r="G2822" i="2"/>
  <c r="G2821" i="2"/>
  <c r="J2821" i="2" s="1"/>
  <c r="J2820" i="2"/>
  <c r="G2820" i="2"/>
  <c r="J2819" i="2"/>
  <c r="G2819" i="2"/>
  <c r="J2818" i="2"/>
  <c r="G2818" i="2"/>
  <c r="J2817" i="2"/>
  <c r="G2817" i="2"/>
  <c r="J2816" i="2"/>
  <c r="G2816" i="2"/>
  <c r="G2815" i="2"/>
  <c r="G2814" i="2"/>
  <c r="J2813" i="2"/>
  <c r="G2813" i="2"/>
  <c r="J2812" i="2"/>
  <c r="G2812" i="2"/>
  <c r="J2811" i="2"/>
  <c r="G2811" i="2"/>
  <c r="J2810" i="2"/>
  <c r="G2810" i="2"/>
  <c r="G2809" i="2"/>
  <c r="J2808" i="2"/>
  <c r="G2808" i="2"/>
  <c r="G2807" i="2"/>
  <c r="G2806" i="2"/>
  <c r="J2805" i="2"/>
  <c r="G2805" i="2"/>
  <c r="J2804" i="2"/>
  <c r="G280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26" i="2"/>
  <c r="G2626" i="2"/>
  <c r="J2625" i="2"/>
  <c r="G2625" i="2"/>
  <c r="J2624" i="2"/>
  <c r="G2624" i="2"/>
  <c r="J2623" i="2"/>
  <c r="G2623" i="2"/>
  <c r="J2622" i="2"/>
  <c r="G2622" i="2"/>
  <c r="J2621" i="2"/>
  <c r="G2621" i="2"/>
  <c r="J2620" i="2"/>
  <c r="G2620" i="2"/>
  <c r="J2619" i="2"/>
  <c r="G2619" i="2"/>
  <c r="J2618" i="2"/>
  <c r="G2618" i="2"/>
  <c r="J2617" i="2"/>
  <c r="G2617" i="2"/>
  <c r="J2616" i="2"/>
  <c r="G2616" i="2"/>
  <c r="J2615" i="2"/>
  <c r="G2615" i="2"/>
  <c r="J2614" i="2"/>
  <c r="G2614" i="2"/>
  <c r="J2613" i="2"/>
  <c r="G2613" i="2"/>
  <c r="J2612" i="2"/>
  <c r="G2612" i="2"/>
  <c r="J2611" i="2"/>
  <c r="G2611" i="2"/>
  <c r="J2610" i="2"/>
  <c r="G2610" i="2"/>
  <c r="J2609" i="2"/>
  <c r="G2609" i="2"/>
  <c r="J2608" i="2"/>
  <c r="G2608" i="2"/>
  <c r="J2607" i="2"/>
  <c r="G2607" i="2"/>
  <c r="J2606" i="2"/>
  <c r="G2606" i="2"/>
  <c r="J2605" i="2"/>
  <c r="G2605" i="2"/>
  <c r="J2604" i="2"/>
  <c r="G2604" i="2"/>
  <c r="J2603" i="2"/>
  <c r="G2603" i="2"/>
  <c r="J2602" i="2"/>
  <c r="G2602" i="2"/>
  <c r="J2601" i="2"/>
  <c r="G2601" i="2"/>
  <c r="J2600" i="2"/>
  <c r="G2600" i="2"/>
  <c r="J2599" i="2"/>
  <c r="G2599" i="2"/>
  <c r="J2598" i="2"/>
  <c r="G2598" i="2"/>
  <c r="J2597" i="2"/>
  <c r="G2597" i="2"/>
  <c r="J2596" i="2"/>
  <c r="G2596" i="2"/>
  <c r="J2595" i="2"/>
  <c r="G2595" i="2"/>
  <c r="J2594" i="2"/>
  <c r="G2594" i="2"/>
  <c r="J2593" i="2"/>
  <c r="G2593" i="2"/>
  <c r="J2592" i="2"/>
  <c r="G2592" i="2"/>
  <c r="J2591" i="2"/>
  <c r="G2591" i="2"/>
  <c r="J2590" i="2"/>
  <c r="G2590" i="2"/>
  <c r="J2589" i="2"/>
  <c r="G2589" i="2"/>
  <c r="J2588" i="2"/>
  <c r="G2588" i="2"/>
  <c r="J2587" i="2"/>
  <c r="G2587" i="2"/>
  <c r="J2586" i="2"/>
  <c r="G2586" i="2"/>
  <c r="J2585" i="2"/>
  <c r="G2585" i="2"/>
  <c r="J2584" i="2"/>
  <c r="G2584" i="2"/>
  <c r="J2583" i="2"/>
  <c r="G2583" i="2"/>
  <c r="J2582" i="2"/>
  <c r="G2582" i="2"/>
  <c r="J2581" i="2"/>
  <c r="G2581" i="2"/>
  <c r="J2580" i="2"/>
  <c r="G2580" i="2"/>
  <c r="J2579" i="2"/>
  <c r="G2579" i="2"/>
  <c r="J2578" i="2"/>
  <c r="G2578" i="2"/>
  <c r="J2577" i="2"/>
  <c r="G2577" i="2"/>
  <c r="J2576" i="2"/>
  <c r="G2576" i="2"/>
  <c r="J2575" i="2"/>
  <c r="G2575" i="2"/>
  <c r="J2574" i="2"/>
  <c r="G2574" i="2"/>
  <c r="J2573" i="2"/>
  <c r="G2573" i="2"/>
  <c r="J2572" i="2"/>
  <c r="G2572" i="2"/>
  <c r="J2571" i="2"/>
  <c r="G2571" i="2"/>
  <c r="J2570" i="2"/>
  <c r="G2570" i="2"/>
  <c r="J2569" i="2"/>
  <c r="G2569" i="2"/>
  <c r="J2568" i="2"/>
  <c r="G2568" i="2"/>
  <c r="J2567" i="2"/>
  <c r="G2567" i="2"/>
  <c r="J2566" i="2"/>
  <c r="G2566" i="2"/>
  <c r="J2565" i="2"/>
  <c r="G2565" i="2"/>
  <c r="J2564" i="2"/>
  <c r="G2564" i="2"/>
  <c r="J2563" i="2"/>
  <c r="G2563" i="2"/>
  <c r="J2562" i="2"/>
  <c r="G2562" i="2"/>
  <c r="J2561" i="2"/>
  <c r="G2561" i="2"/>
  <c r="J2560" i="2"/>
  <c r="G2560" i="2"/>
  <c r="J2559" i="2"/>
  <c r="G2559" i="2"/>
  <c r="J2558" i="2"/>
  <c r="G2558" i="2"/>
  <c r="J2557" i="2"/>
  <c r="G2557" i="2"/>
  <c r="J2556" i="2"/>
  <c r="G2556" i="2"/>
  <c r="J2555" i="2"/>
  <c r="G2555" i="2"/>
  <c r="J2554" i="2"/>
  <c r="G2554" i="2"/>
  <c r="J2553" i="2"/>
  <c r="G2553" i="2"/>
  <c r="J2552" i="2"/>
  <c r="G2552" i="2"/>
  <c r="J2551" i="2"/>
  <c r="G2551" i="2"/>
  <c r="J2550" i="2"/>
  <c r="G2550" i="2"/>
  <c r="J2549" i="2"/>
  <c r="G2549" i="2"/>
  <c r="J2548" i="2"/>
  <c r="G2548" i="2"/>
  <c r="J2547" i="2"/>
  <c r="G2547" i="2"/>
  <c r="J2546" i="2"/>
  <c r="G2546" i="2"/>
  <c r="G2830" i="2" l="1"/>
  <c r="G348" i="3"/>
  <c r="G520" i="3"/>
  <c r="J507" i="3"/>
  <c r="D73" i="16" s="1"/>
  <c r="G533" i="3"/>
  <c r="J543" i="3"/>
  <c r="I82" i="16"/>
  <c r="K407" i="4"/>
  <c r="E78" i="16" s="1"/>
  <c r="H276" i="4"/>
  <c r="H421" i="4" s="1"/>
  <c r="K356" i="4"/>
  <c r="E73" i="16" s="1"/>
  <c r="K245" i="4"/>
  <c r="E66" i="16" s="1"/>
  <c r="K381" i="4"/>
  <c r="E76" i="16" s="1"/>
  <c r="J2658" i="2"/>
  <c r="C66" i="16" s="1"/>
  <c r="J2802" i="2"/>
  <c r="C68" i="16" s="1"/>
  <c r="N68" i="16" s="1"/>
  <c r="J2830" i="2"/>
  <c r="C69" i="16" s="1"/>
  <c r="J3171" i="2"/>
  <c r="G2658" i="2"/>
  <c r="J2966" i="2"/>
  <c r="C73" i="16" s="1"/>
  <c r="N73" i="16" s="1"/>
  <c r="G3193" i="2"/>
  <c r="J153" i="10"/>
  <c r="G66" i="16" s="1"/>
  <c r="J182" i="10"/>
  <c r="K268" i="4"/>
  <c r="D81" i="16" l="1"/>
  <c r="C76" i="16"/>
  <c r="N76" i="16" s="1"/>
  <c r="D78" i="16"/>
  <c r="N78" i="16" s="1"/>
  <c r="G81" i="16"/>
  <c r="G78" i="16"/>
  <c r="C81" i="16"/>
  <c r="N66" i="16"/>
  <c r="K276" i="4"/>
  <c r="E69" i="16" l="1"/>
  <c r="J171" i="3"/>
  <c r="J170" i="3"/>
  <c r="J169" i="3"/>
  <c r="J168" i="3"/>
  <c r="J153" i="3"/>
  <c r="J154" i="3" s="1"/>
  <c r="D40" i="16" s="1"/>
  <c r="N40" i="16" s="1"/>
  <c r="G1616" i="2"/>
  <c r="G1615" i="2"/>
  <c r="G1614" i="2"/>
  <c r="G1613" i="2"/>
  <c r="G1612" i="2"/>
  <c r="G1611" i="2"/>
  <c r="G1610" i="2"/>
  <c r="G1609" i="2"/>
  <c r="G1608" i="2"/>
  <c r="G1607" i="2"/>
  <c r="G1606" i="2"/>
  <c r="G1605" i="2"/>
  <c r="G1604" i="2"/>
  <c r="G1603" i="2"/>
  <c r="G1602" i="2"/>
  <c r="G1601" i="2"/>
  <c r="G1600" i="2"/>
  <c r="G1599" i="2"/>
  <c r="G1598" i="2"/>
  <c r="G1597" i="2"/>
  <c r="G1596" i="2"/>
  <c r="G1595" i="2"/>
  <c r="G1594" i="2"/>
  <c r="G1593" i="2"/>
  <c r="G1592" i="2"/>
  <c r="G1591" i="2"/>
  <c r="G1590" i="2"/>
  <c r="G1589" i="2"/>
  <c r="G1588" i="2"/>
  <c r="G1587" i="2"/>
  <c r="G1586" i="2"/>
  <c r="G1585" i="2"/>
  <c r="G1584" i="2"/>
  <c r="G1583" i="2"/>
  <c r="G1582" i="2"/>
  <c r="G1581" i="2"/>
  <c r="G1580" i="2"/>
  <c r="G1579" i="2"/>
  <c r="G1578" i="2"/>
  <c r="G1577" i="2"/>
  <c r="G1576" i="2"/>
  <c r="G1575" i="2"/>
  <c r="G1574" i="2"/>
  <c r="G1573" i="2"/>
  <c r="G1572" i="2"/>
  <c r="G1571" i="2"/>
  <c r="G1570" i="2"/>
  <c r="G1569" i="2"/>
  <c r="G1568" i="2"/>
  <c r="G1567" i="2"/>
  <c r="G1566" i="2"/>
  <c r="G1565" i="2"/>
  <c r="G1564" i="2"/>
  <c r="G1563" i="2"/>
  <c r="G1562" i="2"/>
  <c r="G1561" i="2"/>
  <c r="G1560" i="2"/>
  <c r="G1559" i="2"/>
  <c r="G1558" i="2"/>
  <c r="G1557" i="2"/>
  <c r="G1556" i="2"/>
  <c r="G1555" i="2"/>
  <c r="G1554" i="2"/>
  <c r="G1553" i="2"/>
  <c r="G1552" i="2"/>
  <c r="G1551" i="2"/>
  <c r="G1550" i="2"/>
  <c r="G1549" i="2"/>
  <c r="G1548" i="2"/>
  <c r="G1547" i="2"/>
  <c r="G1546" i="2"/>
  <c r="G1545" i="2"/>
  <c r="G1544" i="2"/>
  <c r="G1543" i="2"/>
  <c r="G1542" i="2"/>
  <c r="G1541" i="2"/>
  <c r="G1540" i="2"/>
  <c r="G1539" i="2"/>
  <c r="G1538" i="2"/>
  <c r="G1537" i="2"/>
  <c r="G1536" i="2"/>
  <c r="G1535" i="2"/>
  <c r="G1534" i="2"/>
  <c r="G1533" i="2"/>
  <c r="G1532" i="2"/>
  <c r="G1531" i="2"/>
  <c r="G1530" i="2"/>
  <c r="G1529" i="2"/>
  <c r="G1528" i="2"/>
  <c r="G1527" i="2"/>
  <c r="G1526" i="2"/>
  <c r="G1525" i="2"/>
  <c r="G1524" i="2"/>
  <c r="G1523" i="2"/>
  <c r="G1522" i="2"/>
  <c r="G1521" i="2"/>
  <c r="G1520" i="2"/>
  <c r="G1519" i="2"/>
  <c r="G1518" i="2"/>
  <c r="G1517" i="2"/>
  <c r="G1516" i="2"/>
  <c r="G1515" i="2"/>
  <c r="G1514" i="2"/>
  <c r="G1513" i="2"/>
  <c r="G1512" i="2"/>
  <c r="G1511" i="2"/>
  <c r="G1510" i="2"/>
  <c r="G1509" i="2"/>
  <c r="G1508" i="2"/>
  <c r="G1507" i="2"/>
  <c r="G1506" i="2"/>
  <c r="G1505" i="2"/>
  <c r="G1504" i="2"/>
  <c r="G1503" i="2"/>
  <c r="G1502" i="2"/>
  <c r="G1501" i="2"/>
  <c r="G1500" i="2"/>
  <c r="G1499" i="2"/>
  <c r="G1498" i="2"/>
  <c r="G1497" i="2"/>
  <c r="G1496" i="2"/>
  <c r="G1495" i="2"/>
  <c r="G1494" i="2"/>
  <c r="G1493" i="2"/>
  <c r="G1492" i="2"/>
  <c r="G1491" i="2"/>
  <c r="G1490" i="2"/>
  <c r="G1489" i="2"/>
  <c r="G1488" i="2"/>
  <c r="G1487" i="2"/>
  <c r="G1486" i="2"/>
  <c r="G1485" i="2"/>
  <c r="G1484" i="2"/>
  <c r="G1483" i="2"/>
  <c r="G1482" i="2"/>
  <c r="G1481" i="2"/>
  <c r="G1480" i="2"/>
  <c r="G1479" i="2"/>
  <c r="G1478" i="2"/>
  <c r="G1477" i="2"/>
  <c r="G1476" i="2"/>
  <c r="G1475" i="2"/>
  <c r="G1474" i="2"/>
  <c r="G1473" i="2"/>
  <c r="G1472" i="2"/>
  <c r="G1471" i="2"/>
  <c r="G1470" i="2"/>
  <c r="G1469" i="2"/>
  <c r="G1468" i="2"/>
  <c r="G1467" i="2"/>
  <c r="G1466" i="2"/>
  <c r="G1465" i="2"/>
  <c r="G1464" i="2"/>
  <c r="G1463" i="2"/>
  <c r="G1462" i="2"/>
  <c r="G1461" i="2"/>
  <c r="G1460" i="2"/>
  <c r="G1459" i="2"/>
  <c r="G1458" i="2"/>
  <c r="G1457" i="2"/>
  <c r="G1456" i="2"/>
  <c r="G1455" i="2"/>
  <c r="G1454" i="2"/>
  <c r="G1453" i="2"/>
  <c r="G1452" i="2"/>
  <c r="G1451" i="2"/>
  <c r="G1450" i="2"/>
  <c r="G1449" i="2"/>
  <c r="G1448" i="2"/>
  <c r="G1447" i="2"/>
  <c r="G1446" i="2"/>
  <c r="G1445" i="2"/>
  <c r="G1444" i="2"/>
  <c r="G1443" i="2"/>
  <c r="G1442" i="2"/>
  <c r="G1441" i="2"/>
  <c r="G1440" i="2"/>
  <c r="G1439" i="2"/>
  <c r="G1438" i="2"/>
  <c r="G1437" i="2"/>
  <c r="G1436" i="2"/>
  <c r="G1435" i="2"/>
  <c r="G1434" i="2"/>
  <c r="G1433" i="2"/>
  <c r="G1432" i="2"/>
  <c r="G1431" i="2"/>
  <c r="G1430" i="2"/>
  <c r="G1429" i="2"/>
  <c r="G1428" i="2"/>
  <c r="G1427" i="2"/>
  <c r="G1426" i="2"/>
  <c r="G1425" i="2"/>
  <c r="G1424" i="2"/>
  <c r="G1423" i="2"/>
  <c r="G1422" i="2"/>
  <c r="G1421" i="2"/>
  <c r="G1420" i="2"/>
  <c r="G1419" i="2"/>
  <c r="G1418" i="2"/>
  <c r="G1417" i="2"/>
  <c r="G1416" i="2"/>
  <c r="G1415" i="2"/>
  <c r="G1414" i="2"/>
  <c r="G1413" i="2"/>
  <c r="G1412" i="2"/>
  <c r="G1411" i="2"/>
  <c r="G1410" i="2"/>
  <c r="G1409" i="2"/>
  <c r="G1408" i="2"/>
  <c r="G1407" i="2"/>
  <c r="G1406" i="2"/>
  <c r="G1405" i="2"/>
  <c r="G1404" i="2"/>
  <c r="G1403" i="2"/>
  <c r="G1402" i="2"/>
  <c r="G1401" i="2"/>
  <c r="G1400" i="2"/>
  <c r="G1399" i="2"/>
  <c r="G1398" i="2"/>
  <c r="G1397" i="2"/>
  <c r="G1396" i="2"/>
  <c r="G1395" i="2"/>
  <c r="G1394" i="2"/>
  <c r="G1393" i="2"/>
  <c r="G1392" i="2"/>
  <c r="G1391" i="2"/>
  <c r="G1390" i="2"/>
  <c r="G1389" i="2"/>
  <c r="G1388" i="2"/>
  <c r="G1387" i="2"/>
  <c r="G1386" i="2"/>
  <c r="G1385" i="2"/>
  <c r="G1384" i="2"/>
  <c r="G1383" i="2"/>
  <c r="G1382" i="2"/>
  <c r="G1381" i="2"/>
  <c r="G1380" i="2"/>
  <c r="G1379" i="2"/>
  <c r="G1378" i="2"/>
  <c r="G1377" i="2"/>
  <c r="G1376" i="2"/>
  <c r="G1375" i="2"/>
  <c r="G1374" i="2"/>
  <c r="G1373" i="2"/>
  <c r="G1372" i="2"/>
  <c r="G1371" i="2"/>
  <c r="G1370" i="2"/>
  <c r="G1369" i="2"/>
  <c r="G1368" i="2"/>
  <c r="G1367" i="2"/>
  <c r="G1366" i="2"/>
  <c r="G1365" i="2"/>
  <c r="G1364" i="2"/>
  <c r="G1363" i="2"/>
  <c r="G1362" i="2"/>
  <c r="G1361" i="2"/>
  <c r="G1360" i="2"/>
  <c r="G1359" i="2"/>
  <c r="G1358" i="2"/>
  <c r="G1357" i="2"/>
  <c r="G1356" i="2"/>
  <c r="G1355" i="2"/>
  <c r="G1354" i="2"/>
  <c r="G1353" i="2"/>
  <c r="G1352" i="2"/>
  <c r="G1351" i="2"/>
  <c r="G1350" i="2"/>
  <c r="G1349" i="2"/>
  <c r="G1348" i="2"/>
  <c r="G1347" i="2"/>
  <c r="G1346" i="2"/>
  <c r="G1345" i="2"/>
  <c r="G1344" i="2"/>
  <c r="G1343" i="2"/>
  <c r="G1342" i="2"/>
  <c r="G1341" i="2"/>
  <c r="G1340" i="2"/>
  <c r="G1339" i="2"/>
  <c r="G1338" i="2"/>
  <c r="G1337" i="2"/>
  <c r="G1336" i="2"/>
  <c r="G1335" i="2"/>
  <c r="G1334" i="2"/>
  <c r="G1333" i="2"/>
  <c r="G1332" i="2"/>
  <c r="G1331" i="2"/>
  <c r="G1330" i="2"/>
  <c r="G1329" i="2"/>
  <c r="G1328" i="2"/>
  <c r="G1327" i="2"/>
  <c r="G1326" i="2"/>
  <c r="G1325" i="2"/>
  <c r="G1324" i="2"/>
  <c r="G1323" i="2"/>
  <c r="G1322" i="2"/>
  <c r="G1321" i="2"/>
  <c r="G1320" i="2"/>
  <c r="G1319" i="2"/>
  <c r="G1318" i="2"/>
  <c r="G1317" i="2"/>
  <c r="G1316" i="2"/>
  <c r="G1315" i="2"/>
  <c r="G1314" i="2"/>
  <c r="G1313" i="2"/>
  <c r="G1312" i="2"/>
  <c r="G1311" i="2"/>
  <c r="G1310" i="2"/>
  <c r="G1309" i="2"/>
  <c r="G1308" i="2"/>
  <c r="G1307" i="2"/>
  <c r="G1306" i="2"/>
  <c r="G1305" i="2"/>
  <c r="G1304" i="2"/>
  <c r="G1303" i="2"/>
  <c r="G1302" i="2"/>
  <c r="G1301" i="2"/>
  <c r="G1300" i="2"/>
  <c r="G1299" i="2"/>
  <c r="G1298" i="2"/>
  <c r="G1297" i="2"/>
  <c r="G1296" i="2"/>
  <c r="G1295" i="2"/>
  <c r="G1294" i="2"/>
  <c r="G1293" i="2"/>
  <c r="G1292" i="2"/>
  <c r="G1291" i="2"/>
  <c r="G1290" i="2"/>
  <c r="G1289" i="2"/>
  <c r="G1288" i="2"/>
  <c r="G1287" i="2"/>
  <c r="G1286" i="2"/>
  <c r="G1285" i="2"/>
  <c r="G1284" i="2"/>
  <c r="G1283" i="2"/>
  <c r="G1282" i="2"/>
  <c r="G1281" i="2"/>
  <c r="G1280" i="2"/>
  <c r="G1279" i="2"/>
  <c r="G1278" i="2"/>
  <c r="G1277" i="2"/>
  <c r="G1276" i="2"/>
  <c r="G1275" i="2"/>
  <c r="G1274" i="2"/>
  <c r="G1273" i="2"/>
  <c r="G1272" i="2"/>
  <c r="G1271" i="2"/>
  <c r="G1270" i="2"/>
  <c r="G1269" i="2"/>
  <c r="G1268" i="2"/>
  <c r="G1267" i="2"/>
  <c r="G1266" i="2"/>
  <c r="G1265" i="2"/>
  <c r="G1264" i="2"/>
  <c r="G1263" i="2"/>
  <c r="G1262" i="2"/>
  <c r="G1261" i="2"/>
  <c r="G1260" i="2"/>
  <c r="G1259" i="2"/>
  <c r="G1258" i="2"/>
  <c r="G1257" i="2"/>
  <c r="G1256" i="2"/>
  <c r="G1255" i="2"/>
  <c r="G1254" i="2"/>
  <c r="G1253" i="2"/>
  <c r="G1252" i="2"/>
  <c r="G1251" i="2"/>
  <c r="G1250" i="2"/>
  <c r="G1249" i="2"/>
  <c r="G1248" i="2"/>
  <c r="G1247" i="2"/>
  <c r="G1246" i="2"/>
  <c r="G1245" i="2"/>
  <c r="G1244" i="2"/>
  <c r="G1243" i="2"/>
  <c r="G1242" i="2"/>
  <c r="G1241" i="2"/>
  <c r="G1240" i="2"/>
  <c r="G1239" i="2"/>
  <c r="G1238" i="2"/>
  <c r="G1237" i="2"/>
  <c r="G1236" i="2"/>
  <c r="G1235" i="2"/>
  <c r="G1234" i="2"/>
  <c r="G1233" i="2"/>
  <c r="G1232" i="2"/>
  <c r="G1231" i="2"/>
  <c r="G1230" i="2"/>
  <c r="G1229" i="2"/>
  <c r="G1228" i="2"/>
  <c r="G1227" i="2"/>
  <c r="G1226" i="2"/>
  <c r="G1225" i="2"/>
  <c r="G1224" i="2"/>
  <c r="G1223" i="2"/>
  <c r="G1222" i="2"/>
  <c r="G1221" i="2"/>
  <c r="G1220" i="2"/>
  <c r="G1219" i="2"/>
  <c r="G1218" i="2"/>
  <c r="G1217" i="2"/>
  <c r="G1216" i="2"/>
  <c r="G1215" i="2"/>
  <c r="G1214" i="2"/>
  <c r="G1213" i="2"/>
  <c r="G1212" i="2"/>
  <c r="G1211" i="2"/>
  <c r="G1210" i="2"/>
  <c r="G1209" i="2"/>
  <c r="G1208" i="2"/>
  <c r="G1207" i="2"/>
  <c r="G1206" i="2"/>
  <c r="G1205" i="2"/>
  <c r="G1204" i="2"/>
  <c r="G1203" i="2"/>
  <c r="G1202" i="2"/>
  <c r="G1201" i="2"/>
  <c r="G1200" i="2"/>
  <c r="G1199" i="2"/>
  <c r="G1198" i="2"/>
  <c r="G1197" i="2"/>
  <c r="G1196" i="2"/>
  <c r="G1195" i="2"/>
  <c r="G1194" i="2"/>
  <c r="G1193" i="2"/>
  <c r="G1192" i="2"/>
  <c r="G1191" i="2"/>
  <c r="G1190" i="2"/>
  <c r="G1189" i="2"/>
  <c r="G1188" i="2"/>
  <c r="G1187" i="2"/>
  <c r="G1186" i="2"/>
  <c r="G1185" i="2"/>
  <c r="G1184" i="2"/>
  <c r="G1183" i="2"/>
  <c r="G1182" i="2"/>
  <c r="G1181" i="2"/>
  <c r="G1180" i="2"/>
  <c r="G1179" i="2"/>
  <c r="G1178" i="2"/>
  <c r="G1177" i="2"/>
  <c r="G1176" i="2"/>
  <c r="G1175" i="2"/>
  <c r="G1174" i="2"/>
  <c r="G1173" i="2"/>
  <c r="G1172" i="2"/>
  <c r="G1171" i="2"/>
  <c r="G1170" i="2"/>
  <c r="G1169" i="2"/>
  <c r="G1168" i="2"/>
  <c r="G1167" i="2"/>
  <c r="G1166" i="2"/>
  <c r="G1165" i="2"/>
  <c r="G1164" i="2"/>
  <c r="G1163" i="2"/>
  <c r="G1162" i="2"/>
  <c r="G1161" i="2"/>
  <c r="G1160" i="2"/>
  <c r="G1159" i="2"/>
  <c r="G1158" i="2"/>
  <c r="G1157" i="2"/>
  <c r="G1156" i="2"/>
  <c r="G1155" i="2"/>
  <c r="G1154" i="2"/>
  <c r="G1153" i="2"/>
  <c r="G1152" i="2"/>
  <c r="G1151" i="2"/>
  <c r="G1624" i="2" s="1"/>
  <c r="J1099" i="2"/>
  <c r="G1099" i="2"/>
  <c r="G1139" i="2" s="1"/>
  <c r="G1017" i="2"/>
  <c r="G1016" i="2"/>
  <c r="G1021" i="2" s="1"/>
  <c r="N69" i="16" l="1"/>
  <c r="N81" i="16" s="1"/>
  <c r="E81" i="16"/>
  <c r="E82" i="16" s="1"/>
  <c r="J174" i="3"/>
  <c r="D28" i="16" s="1"/>
  <c r="J1139" i="2"/>
  <c r="C32" i="16" s="1"/>
  <c r="D41" i="16" l="1"/>
  <c r="N28" i="16"/>
  <c r="C41" i="16"/>
  <c r="N32" i="16"/>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113" i="10" s="1"/>
  <c r="G22" i="16" l="1"/>
  <c r="N22" i="16" s="1"/>
  <c r="N41" i="16"/>
  <c r="J61" i="10"/>
  <c r="E60" i="10"/>
  <c r="J60" i="10" s="1"/>
  <c r="J59" i="10"/>
  <c r="E58" i="10"/>
  <c r="J58" i="10" s="1"/>
  <c r="J57" i="10"/>
  <c r="E56" i="10"/>
  <c r="J56" i="10" s="1"/>
  <c r="E55" i="10"/>
  <c r="J55" i="10" s="1"/>
  <c r="E54" i="10"/>
  <c r="J54" i="10" s="1"/>
  <c r="J53" i="10"/>
  <c r="E52" i="10"/>
  <c r="J52" i="10" s="1"/>
  <c r="E51" i="10"/>
  <c r="J51" i="10" s="1"/>
  <c r="E50" i="10"/>
  <c r="J50" i="10" s="1"/>
  <c r="E49" i="10"/>
  <c r="J49" i="10" s="1"/>
  <c r="E48" i="10"/>
  <c r="J48" i="10" s="1"/>
  <c r="E47" i="10"/>
  <c r="J47" i="10" s="1"/>
  <c r="E46" i="10"/>
  <c r="J46" i="10" s="1"/>
  <c r="E45" i="10"/>
  <c r="J45" i="10" s="1"/>
  <c r="E44" i="10"/>
  <c r="J44" i="10" s="1"/>
  <c r="E43" i="10"/>
  <c r="J43" i="10" s="1"/>
  <c r="E42" i="10"/>
  <c r="J42" i="10" s="1"/>
  <c r="E41" i="10"/>
  <c r="J41" i="10" s="1"/>
  <c r="E40" i="10"/>
  <c r="J40" i="10" s="1"/>
  <c r="J63" i="10" l="1"/>
  <c r="G8" i="16" l="1"/>
  <c r="J249" i="3"/>
  <c r="J252" i="3" s="1"/>
  <c r="D47" i="16" s="1"/>
  <c r="C236" i="3"/>
  <c r="C237" i="3" s="1"/>
  <c r="C238" i="3" s="1"/>
  <c r="C239" i="3" s="1"/>
  <c r="C225" i="3"/>
  <c r="C226" i="3" s="1"/>
  <c r="C227" i="3" s="1"/>
  <c r="C229" i="3" s="1"/>
  <c r="C230" i="3" s="1"/>
  <c r="C231" i="3" s="1"/>
  <c r="C232" i="3" s="1"/>
  <c r="C233" i="3" s="1"/>
  <c r="C234" i="3" s="1"/>
  <c r="A225" i="3"/>
  <c r="A226" i="3" s="1"/>
  <c r="A227" i="3" s="1"/>
  <c r="A228" i="3" s="1"/>
  <c r="A229" i="3" s="1"/>
  <c r="A230" i="3" s="1"/>
  <c r="A231" i="3" s="1"/>
  <c r="A232" i="3" s="1"/>
  <c r="A233" i="3" s="1"/>
  <c r="A234" i="3" s="1"/>
  <c r="A235" i="3" s="1"/>
  <c r="A236" i="3" s="1"/>
  <c r="A237" i="3" s="1"/>
  <c r="A238" i="3" s="1"/>
  <c r="A239" i="3" s="1"/>
  <c r="B1711" i="2"/>
  <c r="D48" i="16" l="1"/>
  <c r="N47" i="16"/>
  <c r="N48" i="16" s="1"/>
  <c r="N8" i="16"/>
  <c r="K382" i="20"/>
  <c r="I376" i="20"/>
  <c r="K337" i="20"/>
  <c r="F337" i="20"/>
  <c r="K332" i="20"/>
  <c r="I332" i="20"/>
  <c r="F332" i="20"/>
  <c r="K331" i="20"/>
  <c r="F331" i="20"/>
  <c r="I299" i="20"/>
  <c r="E299" i="20"/>
  <c r="E287" i="20"/>
  <c r="F279" i="20"/>
  <c r="K278" i="20"/>
  <c r="F278" i="20"/>
  <c r="K273" i="20"/>
  <c r="F273" i="20"/>
  <c r="E273" i="20"/>
  <c r="K266" i="20"/>
  <c r="I266" i="20"/>
  <c r="F266" i="20"/>
  <c r="K260" i="20"/>
  <c r="I260" i="20"/>
  <c r="K254" i="20"/>
  <c r="P113" i="20"/>
  <c r="P112" i="20"/>
  <c r="P111" i="20"/>
  <c r="P110" i="20"/>
  <c r="P109" i="20"/>
  <c r="P108" i="20"/>
  <c r="P107" i="20"/>
  <c r="P106" i="20"/>
  <c r="P105" i="20"/>
  <c r="P104" i="20"/>
  <c r="P103" i="20"/>
  <c r="P102" i="20"/>
  <c r="P101" i="20"/>
  <c r="P100" i="20"/>
  <c r="P99" i="20"/>
  <c r="P98" i="20"/>
  <c r="P97" i="20"/>
  <c r="P96" i="20"/>
  <c r="P95" i="20"/>
  <c r="P91" i="20"/>
  <c r="P90" i="20"/>
  <c r="P89" i="20"/>
  <c r="P88" i="20"/>
  <c r="P86" i="20"/>
  <c r="P85" i="20"/>
  <c r="P83" i="20"/>
  <c r="K83" i="20"/>
  <c r="P82" i="20"/>
  <c r="K82" i="20"/>
  <c r="P81" i="20"/>
  <c r="K81" i="20"/>
  <c r="P80" i="20"/>
  <c r="K80" i="20"/>
  <c r="P79" i="20"/>
  <c r="P78" i="20"/>
  <c r="P77" i="20"/>
  <c r="P75" i="20"/>
  <c r="P74" i="20"/>
  <c r="P73" i="20"/>
  <c r="P72" i="20"/>
  <c r="P71" i="20"/>
  <c r="P70" i="20"/>
  <c r="P69" i="20"/>
  <c r="P68" i="20"/>
  <c r="P59" i="20"/>
  <c r="P58" i="20"/>
  <c r="P57" i="20"/>
  <c r="P56" i="20"/>
  <c r="P55" i="20"/>
  <c r="P54" i="20"/>
  <c r="P53" i="20"/>
  <c r="P52" i="20"/>
  <c r="P51" i="20"/>
  <c r="P50" i="20"/>
  <c r="P49" i="20"/>
  <c r="E950" i="19"/>
  <c r="I887" i="19"/>
  <c r="G881" i="19"/>
  <c r="F881" i="19"/>
  <c r="I878" i="19"/>
  <c r="K876" i="19"/>
  <c r="H876" i="19"/>
  <c r="K846" i="19"/>
  <c r="K826" i="19"/>
  <c r="F712" i="19"/>
  <c r="I709" i="19"/>
  <c r="K640" i="19"/>
  <c r="I640" i="19"/>
  <c r="F640" i="19"/>
  <c r="F602" i="19"/>
  <c r="E602" i="19"/>
  <c r="K566" i="19"/>
  <c r="G566" i="19"/>
  <c r="K558" i="19"/>
  <c r="G558" i="19"/>
  <c r="G483" i="19"/>
  <c r="G482" i="19"/>
  <c r="G467" i="19"/>
  <c r="G458" i="19"/>
  <c r="G452" i="19"/>
  <c r="G436" i="19"/>
  <c r="G435" i="19"/>
  <c r="P349" i="19"/>
  <c r="P348" i="19"/>
  <c r="P347" i="19"/>
  <c r="P346" i="19"/>
  <c r="P345" i="19"/>
  <c r="P344" i="19"/>
  <c r="P343" i="19"/>
  <c r="F343" i="19"/>
  <c r="P342" i="19"/>
  <c r="P341" i="19"/>
  <c r="P340" i="19"/>
  <c r="P338" i="19"/>
  <c r="P337" i="19"/>
  <c r="P336" i="19"/>
  <c r="P335" i="19"/>
  <c r="P334" i="19"/>
  <c r="P333" i="19"/>
  <c r="P332" i="19"/>
  <c r="P331" i="19"/>
  <c r="P330" i="19"/>
  <c r="P329" i="19"/>
  <c r="P328" i="19"/>
  <c r="P327" i="19"/>
  <c r="P326" i="19"/>
  <c r="P325" i="19"/>
  <c r="F325" i="19"/>
  <c r="P324" i="19"/>
  <c r="P323" i="19"/>
  <c r="P322" i="19"/>
  <c r="P321" i="19"/>
  <c r="P320" i="19"/>
  <c r="P319" i="19"/>
  <c r="P318" i="19"/>
  <c r="P317" i="19"/>
  <c r="K317" i="19"/>
  <c r="K316" i="19"/>
  <c r="P314" i="19"/>
  <c r="P313" i="19"/>
  <c r="P312" i="19"/>
  <c r="P311" i="19"/>
  <c r="F311" i="19"/>
  <c r="K311" i="19" s="1"/>
  <c r="F310" i="19"/>
  <c r="K310" i="19" s="1"/>
  <c r="P309" i="19"/>
  <c r="F309" i="19"/>
  <c r="K309" i="19" s="1"/>
  <c r="P308" i="19"/>
  <c r="F308" i="19"/>
  <c r="K308" i="19" s="1"/>
  <c r="P307" i="19"/>
  <c r="K307" i="19"/>
  <c r="P306" i="19"/>
  <c r="K306" i="19"/>
  <c r="P305" i="19"/>
  <c r="F305" i="19"/>
  <c r="P304" i="19"/>
  <c r="P303" i="19"/>
  <c r="P302" i="19"/>
  <c r="P301" i="19"/>
  <c r="P299" i="19"/>
  <c r="P298" i="19"/>
  <c r="P297" i="19"/>
  <c r="K297" i="19"/>
  <c r="P296" i="19"/>
  <c r="P295" i="19"/>
  <c r="P294" i="19"/>
  <c r="P293" i="19"/>
  <c r="P292" i="19"/>
  <c r="P291" i="19"/>
  <c r="P290" i="19"/>
  <c r="P289" i="19"/>
  <c r="P282" i="19"/>
  <c r="F282" i="19"/>
  <c r="P281" i="19"/>
  <c r="F281" i="19"/>
  <c r="P280" i="19"/>
  <c r="F280" i="19"/>
  <c r="P279" i="19"/>
  <c r="F279" i="19"/>
  <c r="P278" i="19"/>
  <c r="F278" i="19"/>
  <c r="P276" i="19"/>
  <c r="F276" i="19"/>
  <c r="P275" i="19"/>
  <c r="P274" i="19"/>
  <c r="F274" i="19"/>
  <c r="P273" i="19"/>
  <c r="F273" i="19"/>
  <c r="P272" i="19"/>
  <c r="F272" i="19"/>
  <c r="P271" i="19"/>
  <c r="F271" i="19"/>
  <c r="P270" i="19"/>
  <c r="F270" i="19"/>
  <c r="P269" i="19"/>
  <c r="F269" i="19"/>
  <c r="P268" i="19"/>
  <c r="F268" i="19"/>
  <c r="P267" i="19"/>
  <c r="P266" i="19"/>
  <c r="P265" i="19"/>
  <c r="F265" i="19"/>
  <c r="P264" i="19"/>
  <c r="P263" i="19"/>
  <c r="F263" i="19"/>
  <c r="P262" i="19"/>
  <c r="P261" i="19"/>
  <c r="P260" i="19"/>
  <c r="F260" i="19"/>
  <c r="P259" i="19"/>
  <c r="F259" i="19"/>
  <c r="P258" i="19"/>
  <c r="F258" i="19"/>
  <c r="P257" i="19"/>
  <c r="F257" i="19"/>
  <c r="P256" i="19"/>
  <c r="F256" i="19"/>
  <c r="P255" i="19"/>
  <c r="F255" i="19"/>
  <c r="P254" i="19"/>
  <c r="F254" i="19"/>
  <c r="P253" i="19"/>
  <c r="F253" i="19"/>
  <c r="K252" i="19"/>
  <c r="I252" i="19"/>
  <c r="P252" i="19" s="1"/>
  <c r="F252" i="19"/>
  <c r="E252" i="19"/>
  <c r="P251" i="19"/>
  <c r="K250" i="19"/>
  <c r="I250" i="19"/>
  <c r="P250" i="19" s="1"/>
  <c r="F250" i="19"/>
  <c r="P249" i="19"/>
  <c r="K248" i="19"/>
  <c r="I248" i="19"/>
  <c r="P248" i="19" s="1"/>
  <c r="F248" i="19"/>
  <c r="E248" i="19"/>
  <c r="P245" i="19"/>
  <c r="F245" i="19"/>
  <c r="P243" i="19"/>
  <c r="K242" i="19"/>
  <c r="I242" i="19"/>
  <c r="P242" i="19" s="1"/>
  <c r="F242" i="19"/>
  <c r="E242" i="19"/>
  <c r="P241" i="19"/>
  <c r="P240" i="19"/>
  <c r="K240" i="19"/>
  <c r="K239" i="19"/>
  <c r="I239" i="19"/>
  <c r="F239" i="19"/>
  <c r="E239" i="19"/>
  <c r="K238" i="19"/>
  <c r="I238" i="19"/>
  <c r="P238" i="19" s="1"/>
  <c r="F238" i="19"/>
  <c r="E238" i="19"/>
  <c r="F203" i="19"/>
  <c r="F202" i="19"/>
  <c r="F201" i="19"/>
  <c r="F200" i="19"/>
  <c r="F199" i="19"/>
  <c r="F198" i="19"/>
  <c r="F197" i="19"/>
  <c r="F196" i="19"/>
  <c r="P132" i="19"/>
  <c r="G132" i="19"/>
  <c r="P131" i="19"/>
  <c r="P130" i="19"/>
  <c r="P129" i="19"/>
  <c r="P128" i="19"/>
  <c r="P127" i="19"/>
  <c r="P126" i="19"/>
  <c r="P125" i="19"/>
  <c r="P124" i="19"/>
  <c r="H115" i="19"/>
  <c r="K419" i="20" l="1"/>
  <c r="I950" i="19"/>
  <c r="F950" i="19"/>
  <c r="G472" i="19"/>
  <c r="K950" i="19"/>
  <c r="I419" i="20"/>
  <c r="F419" i="20"/>
  <c r="K602" i="19"/>
  <c r="P420" i="20"/>
  <c r="P951" i="19"/>
  <c r="E419" i="20"/>
  <c r="K420" i="20" l="1"/>
  <c r="K951" i="19"/>
  <c r="J38" i="10"/>
  <c r="G38" i="10"/>
  <c r="G185" i="10" s="1"/>
  <c r="G18" i="16" l="1"/>
  <c r="N18" i="16" s="1"/>
  <c r="J34" i="10"/>
  <c r="J33" i="10"/>
  <c r="J31" i="10"/>
  <c r="J30" i="10"/>
  <c r="J28" i="10"/>
  <c r="J27" i="10"/>
  <c r="J26" i="10"/>
  <c r="J24" i="10"/>
  <c r="J22" i="10"/>
  <c r="J21" i="10"/>
  <c r="J20" i="10"/>
  <c r="J19" i="10"/>
  <c r="J18" i="10"/>
  <c r="J16" i="10"/>
  <c r="J14" i="10"/>
  <c r="J13" i="10"/>
  <c r="J11" i="10"/>
  <c r="J9" i="10"/>
  <c r="J8" i="10"/>
  <c r="J35" i="10" l="1"/>
  <c r="F13" i="9"/>
  <c r="G17" i="16" l="1"/>
  <c r="J185" i="10"/>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G26" i="2"/>
  <c r="G25" i="2"/>
  <c r="G24" i="2"/>
  <c r="G23" i="2"/>
  <c r="G22" i="2"/>
  <c r="G21" i="2"/>
  <c r="G20" i="2"/>
  <c r="G19" i="2"/>
  <c r="G18" i="2"/>
  <c r="G17" i="2"/>
  <c r="G16" i="2"/>
  <c r="G15" i="2"/>
  <c r="G14" i="2"/>
  <c r="G13" i="2"/>
  <c r="G12" i="2"/>
  <c r="G11" i="2"/>
  <c r="N17" i="16" l="1"/>
  <c r="N25" i="16" s="1"/>
  <c r="G25" i="16"/>
  <c r="G82" i="16" s="1"/>
  <c r="G73" i="2"/>
  <c r="J50" i="4"/>
  <c r="J39" i="4"/>
  <c r="A33" i="4"/>
  <c r="I36" i="3"/>
  <c r="E36" i="3"/>
  <c r="E37" i="3" s="1"/>
  <c r="F35" i="3"/>
  <c r="A165" i="2"/>
  <c r="A166" i="2" s="1"/>
  <c r="J274" i="3" l="1"/>
  <c r="J283" i="3" s="1"/>
  <c r="G273" i="3"/>
  <c r="G283" i="3" s="1"/>
  <c r="G560" i="3" s="1"/>
  <c r="D56" i="16" l="1"/>
  <c r="D65" i="16" s="1"/>
  <c r="D82" i="16" s="1"/>
  <c r="J560" i="3"/>
  <c r="G2066" i="2"/>
  <c r="J2066" i="2" s="1"/>
  <c r="G2065" i="2"/>
  <c r="J2065" i="2" s="1"/>
  <c r="G2064" i="2"/>
  <c r="J2064" i="2" s="1"/>
  <c r="G2063" i="2"/>
  <c r="J2063" i="2" s="1"/>
  <c r="G2062" i="2"/>
  <c r="J2062" i="2" s="1"/>
  <c r="G2061" i="2"/>
  <c r="J2061" i="2" s="1"/>
  <c r="G2060" i="2"/>
  <c r="J2060" i="2" s="1"/>
  <c r="G2059" i="2"/>
  <c r="J2059" i="2" s="1"/>
  <c r="G2058" i="2"/>
  <c r="J2058" i="2" s="1"/>
  <c r="G2057" i="2"/>
  <c r="J2057" i="2" s="1"/>
  <c r="G2056" i="2"/>
  <c r="J2056" i="2" s="1"/>
  <c r="G2055" i="2"/>
  <c r="J2055" i="2" s="1"/>
  <c r="G2054" i="2"/>
  <c r="J2054" i="2" s="1"/>
  <c r="G2053" i="2"/>
  <c r="J2053" i="2" s="1"/>
  <c r="G2052" i="2"/>
  <c r="J2052" i="2" s="1"/>
  <c r="G2051" i="2"/>
  <c r="J2051" i="2" s="1"/>
  <c r="G2050" i="2"/>
  <c r="J2050" i="2" s="1"/>
  <c r="G2049" i="2"/>
  <c r="J2049" i="2" s="1"/>
  <c r="J2048" i="2"/>
  <c r="G2047" i="2"/>
  <c r="J2047" i="2" s="1"/>
  <c r="J2046" i="2"/>
  <c r="G2045" i="2"/>
  <c r="J2045" i="2" s="1"/>
  <c r="G2044" i="2"/>
  <c r="J2044" i="2" s="1"/>
  <c r="G2043" i="2"/>
  <c r="J2043" i="2" s="1"/>
  <c r="G2042" i="2"/>
  <c r="J2042" i="2" s="1"/>
  <c r="G2041" i="2"/>
  <c r="J2041" i="2" s="1"/>
  <c r="G2040" i="2"/>
  <c r="J2040" i="2" s="1"/>
  <c r="G2039" i="2"/>
  <c r="J2039" i="2" s="1"/>
  <c r="G2038" i="2"/>
  <c r="J2038" i="2" s="1"/>
  <c r="G2037" i="2"/>
  <c r="J2037" i="2" s="1"/>
  <c r="G2036" i="2"/>
  <c r="J2036" i="2" s="1"/>
  <c r="G2035" i="2"/>
  <c r="J2035" i="2" s="1"/>
  <c r="G2034" i="2"/>
  <c r="J2034" i="2" s="1"/>
  <c r="G2033" i="2"/>
  <c r="J2033" i="2" s="1"/>
  <c r="G2032" i="2"/>
  <c r="J2032" i="2" s="1"/>
  <c r="G2031" i="2"/>
  <c r="J2031" i="2" s="1"/>
  <c r="G2030" i="2"/>
  <c r="J2030" i="2" s="1"/>
  <c r="G2029" i="2"/>
  <c r="J2029" i="2" s="1"/>
  <c r="G2028" i="2"/>
  <c r="J2028" i="2" s="1"/>
  <c r="G2027" i="2"/>
  <c r="J2027" i="2" s="1"/>
  <c r="G2026" i="2"/>
  <c r="J2026" i="2" s="1"/>
  <c r="G2025" i="2"/>
  <c r="J2025" i="2" s="1"/>
  <c r="G2024" i="2"/>
  <c r="J2024" i="2" s="1"/>
  <c r="G2023" i="2"/>
  <c r="J2023" i="2" s="1"/>
  <c r="G2022" i="2"/>
  <c r="J2022" i="2" s="1"/>
  <c r="G2021" i="2"/>
  <c r="J2021" i="2" s="1"/>
  <c r="G2020" i="2"/>
  <c r="J2020" i="2" s="1"/>
  <c r="G2019" i="2"/>
  <c r="J2019" i="2" s="1"/>
  <c r="G2018" i="2"/>
  <c r="J2018" i="2" s="1"/>
  <c r="G2017" i="2"/>
  <c r="J2017" i="2" s="1"/>
  <c r="G2016" i="2"/>
  <c r="J2016" i="2" s="1"/>
  <c r="G2015" i="2"/>
  <c r="J2015" i="2" s="1"/>
  <c r="G2014" i="2"/>
  <c r="J2014" i="2" s="1"/>
  <c r="G2013" i="2"/>
  <c r="J2013" i="2" s="1"/>
  <c r="G2012" i="2"/>
  <c r="J2012" i="2" s="1"/>
  <c r="G2011" i="2"/>
  <c r="J2011" i="2" s="1"/>
  <c r="G2010" i="2"/>
  <c r="J2010" i="2" s="1"/>
  <c r="G2009" i="2"/>
  <c r="J2009" i="2" s="1"/>
  <c r="G2008" i="2"/>
  <c r="J2008" i="2" s="1"/>
  <c r="G2007" i="2"/>
  <c r="J2007" i="2" s="1"/>
  <c r="G2006" i="2"/>
  <c r="J2006" i="2" s="1"/>
  <c r="G2005" i="2"/>
  <c r="J2005" i="2" s="1"/>
  <c r="G2004" i="2"/>
  <c r="J2004" i="2" s="1"/>
  <c r="G2003" i="2"/>
  <c r="J2003" i="2" s="1"/>
  <c r="G2002" i="2"/>
  <c r="J2002" i="2" s="1"/>
  <c r="G2001" i="2"/>
  <c r="J2001" i="2" s="1"/>
  <c r="G2000" i="2"/>
  <c r="J2000" i="2" s="1"/>
  <c r="G1999" i="2"/>
  <c r="J1999" i="2" s="1"/>
  <c r="G1998" i="2"/>
  <c r="J1998" i="2" s="1"/>
  <c r="G1997" i="2"/>
  <c r="J1997" i="2" s="1"/>
  <c r="G1996" i="2"/>
  <c r="J1996" i="2" s="1"/>
  <c r="G1995" i="2"/>
  <c r="J1995" i="2" s="1"/>
  <c r="G1994" i="2"/>
  <c r="J1994" i="2" s="1"/>
  <c r="G1993" i="2"/>
  <c r="J1993" i="2" s="1"/>
  <c r="G1992" i="2"/>
  <c r="J1992" i="2" s="1"/>
  <c r="G1991" i="2"/>
  <c r="J1991" i="2" s="1"/>
  <c r="A1991" i="2"/>
  <c r="A1992" i="2" s="1"/>
  <c r="A1993" i="2" s="1"/>
  <c r="A1994" i="2" s="1"/>
  <c r="A1995" i="2" s="1"/>
  <c r="A1996" i="2" s="1"/>
  <c r="A1997" i="2" s="1"/>
  <c r="A1998" i="2" s="1"/>
  <c r="A1999" i="2" s="1"/>
  <c r="G1990" i="2"/>
  <c r="J1990" i="2" s="1"/>
  <c r="G1989" i="2"/>
  <c r="J1989" i="2" s="1"/>
  <c r="G1988" i="2"/>
  <c r="J1988" i="2" s="1"/>
  <c r="G1987" i="2"/>
  <c r="J1987" i="2" s="1"/>
  <c r="G1986" i="2"/>
  <c r="J1986" i="2" s="1"/>
  <c r="G1985" i="2"/>
  <c r="J1985" i="2" s="1"/>
  <c r="G1984" i="2"/>
  <c r="J1984" i="2" s="1"/>
  <c r="G1983" i="2"/>
  <c r="J1983" i="2" s="1"/>
  <c r="G1982" i="2"/>
  <c r="J1982" i="2" s="1"/>
  <c r="G1981" i="2"/>
  <c r="J1981" i="2" s="1"/>
  <c r="G1980" i="2"/>
  <c r="J1980" i="2" s="1"/>
  <c r="G1979" i="2"/>
  <c r="J1979" i="2" s="1"/>
  <c r="G1978" i="2"/>
  <c r="J1978" i="2" s="1"/>
  <c r="G1977" i="2"/>
  <c r="J1977" i="2" s="1"/>
  <c r="G1976" i="2"/>
  <c r="J1976" i="2" s="1"/>
  <c r="G1975" i="2"/>
  <c r="J1975" i="2" s="1"/>
  <c r="G1974" i="2"/>
  <c r="J1974" i="2" s="1"/>
  <c r="G1973" i="2"/>
  <c r="J1973" i="2" s="1"/>
  <c r="G1972" i="2"/>
  <c r="J1972" i="2" s="1"/>
  <c r="G1971" i="2"/>
  <c r="J1971" i="2" s="1"/>
  <c r="G1970" i="2"/>
  <c r="J1970" i="2" s="1"/>
  <c r="G1969" i="2"/>
  <c r="J1969" i="2" s="1"/>
  <c r="G1968" i="2"/>
  <c r="J1968" i="2" s="1"/>
  <c r="G1967" i="2"/>
  <c r="J1967" i="2" s="1"/>
  <c r="G1966" i="2"/>
  <c r="J1966" i="2" s="1"/>
  <c r="G1965" i="2"/>
  <c r="J1965" i="2" s="1"/>
  <c r="G1964" i="2"/>
  <c r="J1964" i="2" s="1"/>
  <c r="G1963" i="2"/>
  <c r="J1963" i="2" s="1"/>
  <c r="G1962" i="2"/>
  <c r="J1962" i="2" s="1"/>
  <c r="G1961" i="2"/>
  <c r="J1961" i="2" s="1"/>
  <c r="G1960" i="2"/>
  <c r="J1960" i="2" s="1"/>
  <c r="G1959" i="2"/>
  <c r="J1959" i="2" s="1"/>
  <c r="G1958" i="2"/>
  <c r="J1958" i="2" s="1"/>
  <c r="G1957" i="2"/>
  <c r="J1957" i="2" s="1"/>
  <c r="I1956" i="2"/>
  <c r="G1956" i="2"/>
  <c r="J1956" i="2" s="1"/>
  <c r="G1955" i="2"/>
  <c r="J1955" i="2" s="1"/>
  <c r="G1954" i="2"/>
  <c r="J1954" i="2" s="1"/>
  <c r="G1953" i="2"/>
  <c r="J1953" i="2" s="1"/>
  <c r="G1952" i="2"/>
  <c r="J1952" i="2" s="1"/>
  <c r="G1951" i="2"/>
  <c r="J1951" i="2" s="1"/>
  <c r="G1950" i="2"/>
  <c r="J1950" i="2" s="1"/>
  <c r="G1949" i="2"/>
  <c r="J1949" i="2" s="1"/>
  <c r="G1948" i="2"/>
  <c r="J1948" i="2" s="1"/>
  <c r="G1947" i="2"/>
  <c r="J1947" i="2" s="1"/>
  <c r="G1946" i="2"/>
  <c r="J1946" i="2" s="1"/>
  <c r="G1945" i="2"/>
  <c r="J1945" i="2" s="1"/>
  <c r="G1944" i="2"/>
  <c r="J1944" i="2" s="1"/>
  <c r="G1943" i="2"/>
  <c r="J1943" i="2" s="1"/>
  <c r="G1942" i="2"/>
  <c r="J1942" i="2" s="1"/>
  <c r="G1941" i="2"/>
  <c r="J1941" i="2" s="1"/>
  <c r="G1940" i="2"/>
  <c r="J1940" i="2" s="1"/>
  <c r="G1939" i="2"/>
  <c r="J1939" i="2" s="1"/>
  <c r="G1938" i="2"/>
  <c r="J1938" i="2" s="1"/>
  <c r="G1937" i="2"/>
  <c r="J1937" i="2" s="1"/>
  <c r="J1936" i="2"/>
  <c r="G1935" i="2"/>
  <c r="J1935" i="2" l="1"/>
  <c r="J2068" i="2" s="1"/>
  <c r="G2068" i="2"/>
  <c r="G3222" i="2" s="1"/>
  <c r="C56" i="16" l="1"/>
  <c r="J3222" i="2"/>
  <c r="C65" i="16" l="1"/>
  <c r="C82" i="16" s="1"/>
  <c r="N82" i="16" s="1"/>
  <c r="N56" i="16"/>
  <c r="N65"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Oscar Francisco Alvarez Cordero</author>
  </authors>
  <commentList>
    <comment ref="C208" authorId="0" shapeId="0" xr:uid="{00000000-0006-0000-0B00-000001000000}">
      <text>
        <r>
          <rPr>
            <b/>
            <sz val="9"/>
            <color indexed="81"/>
            <rFont val="Tahoma"/>
            <family val="2"/>
          </rPr>
          <t>Oscar Francisco Alvarez Cordero:</t>
        </r>
        <r>
          <rPr>
            <sz val="9"/>
            <color indexed="81"/>
            <rFont val="Tahoma"/>
            <family val="2"/>
          </rPr>
          <t xml:space="preserve">
Esta linea esta siendo tramitada por extrema urgancia desde la AEA- Tilarán</t>
        </r>
      </text>
    </comment>
  </commentList>
</comments>
</file>

<file path=xl/sharedStrings.xml><?xml version="1.0" encoding="utf-8"?>
<sst xmlns="http://schemas.openxmlformats.org/spreadsheetml/2006/main" count="68223" uniqueCount="25356">
  <si>
    <t>COMISION NACIONAL DE  PREVENCIÓN DE RIESGOS Y ATENCIÓN DE EMERGENCIAS</t>
  </si>
  <si>
    <t>Distrito</t>
  </si>
  <si>
    <t>Ubicación</t>
  </si>
  <si>
    <t>Poblado</t>
  </si>
  <si>
    <t>DAÑOS Y PERDIDAS EN SECTOR CARRETERAS</t>
  </si>
  <si>
    <t>UBICACIÓN</t>
  </si>
  <si>
    <t xml:space="preserve">Afectación </t>
  </si>
  <si>
    <t>Propuesta</t>
  </si>
  <si>
    <t xml:space="preserve"> N° de Ruta o Descripción del Tramo</t>
  </si>
  <si>
    <t>Extensión</t>
  </si>
  <si>
    <t>Descripción de los Daños</t>
  </si>
  <si>
    <t>Monto Estimado de Pérdidas</t>
  </si>
  <si>
    <t>Nivel de Prioridad</t>
  </si>
  <si>
    <t>Descripción de las Obras o Labores Requeridas</t>
  </si>
  <si>
    <t>Monto Estimado de Costo de Obras y Labores</t>
  </si>
  <si>
    <t>Longitud (kms)</t>
  </si>
  <si>
    <t>Ancho (Metros)</t>
  </si>
  <si>
    <t>Higuerón</t>
  </si>
  <si>
    <t>Medio</t>
  </si>
  <si>
    <t>San Isidro</t>
  </si>
  <si>
    <t>DAÑOS Y PERDIDAS EN SECTOR PUENTES</t>
  </si>
  <si>
    <t>Características (del puente)</t>
  </si>
  <si>
    <t>Afectación</t>
  </si>
  <si>
    <t xml:space="preserve">  N° de ruta o descripción del tramo</t>
  </si>
  <si>
    <t>Nombre del cauce (río, quebrada, canal y otros)</t>
  </si>
  <si>
    <t xml:space="preserve"> Descripción de los daños</t>
  </si>
  <si>
    <t>Monto estimado de pérdidas</t>
  </si>
  <si>
    <t>Nivel de prioridad</t>
  </si>
  <si>
    <t>Descripción de las obras o labores requeridas</t>
  </si>
  <si>
    <t>Monto estimado de costo de obras y labores</t>
  </si>
  <si>
    <t>Alto</t>
  </si>
  <si>
    <t>Alta</t>
  </si>
  <si>
    <t/>
  </si>
  <si>
    <t>DAÑOS Y PERDIDAS EN SECTOR ALCANTARILLAS Y VADOS</t>
  </si>
  <si>
    <t>Cantidad</t>
  </si>
  <si>
    <t xml:space="preserve">Características (alcantarillas o vados) </t>
  </si>
  <si>
    <t xml:space="preserve"> N° de ruta o tramo</t>
  </si>
  <si>
    <t>Nombre del cauce (Río, Quebrada, Canal y otros)</t>
  </si>
  <si>
    <t>Osa</t>
  </si>
  <si>
    <t>DAÑOS Y PERDIDAS EN SECTOR SISTEMAS DE AGUA</t>
  </si>
  <si>
    <t>Características del sistema</t>
  </si>
  <si>
    <t>Fuente: presa, naciente o pozo</t>
  </si>
  <si>
    <t>Obra, estructura o componente afectado</t>
  </si>
  <si>
    <t>Prescripción de las obras o labores requeridas</t>
  </si>
  <si>
    <t>DAÑOS Y PERDIDAS EN SECTOR RÍOS Y QUEBRADAS</t>
  </si>
  <si>
    <t>Obra o componente afectado</t>
  </si>
  <si>
    <t>Extensión (en metros) o cantidad</t>
  </si>
  <si>
    <t>Daños</t>
  </si>
  <si>
    <t>Recomendación</t>
  </si>
  <si>
    <t>Barrio</t>
  </si>
  <si>
    <t>Vivienda</t>
  </si>
  <si>
    <t>Terreno</t>
  </si>
  <si>
    <t>Nombre</t>
  </si>
  <si>
    <t>Apellidos</t>
  </si>
  <si>
    <t>Teléfono</t>
  </si>
  <si>
    <t>Cantón</t>
  </si>
  <si>
    <t>Monto Estimado</t>
  </si>
  <si>
    <t>San Carlos</t>
  </si>
  <si>
    <t>La Cruz</t>
  </si>
  <si>
    <t>Golfito</t>
  </si>
  <si>
    <t>DAÑOS Y PERDIDAS EN SECTOR EDUCACIÓN</t>
  </si>
  <si>
    <t>Código</t>
  </si>
  <si>
    <t>Centro Educativo</t>
  </si>
  <si>
    <t>Características Del Edificio</t>
  </si>
  <si>
    <t>Documento De Referencia</t>
  </si>
  <si>
    <t>Dirección (Por Puntos de Referencia)</t>
  </si>
  <si>
    <t>Material Predominante</t>
  </si>
  <si>
    <t>M2 de Construcción</t>
  </si>
  <si>
    <t>Tenencia                    (Propia, Alquilada, Prestada, Otro)</t>
  </si>
  <si>
    <t>Descripción de Daños</t>
  </si>
  <si>
    <t>Nivel de daños     (Leve, Parcial, Total)</t>
  </si>
  <si>
    <t>Solución  (Reubicar, Reparar, Obra de Protección, Reposición de Enseres)</t>
  </si>
  <si>
    <t>DAÑOS Y PERDIDAS EN SECTOR EDIFICIOS PÚBLICOS</t>
  </si>
  <si>
    <t>Naturaleza De Uso</t>
  </si>
  <si>
    <t>Novel de los daños    (Leve, Parcial, Total)</t>
  </si>
  <si>
    <t>DAÑOS Y PERDIDAS EN SECTOR OBRAS CORRECTIVAS</t>
  </si>
  <si>
    <t>Extensión (En Metros) O Cantidad</t>
  </si>
  <si>
    <t>Nombre del Cauce (Río, Quebrada, Canal y Otros)</t>
  </si>
  <si>
    <t xml:space="preserve"> Descripción de los Daños</t>
  </si>
  <si>
    <t>Fase</t>
  </si>
  <si>
    <t>Plazo</t>
  </si>
  <si>
    <t>Los Chiles</t>
  </si>
  <si>
    <t>Bagaces</t>
  </si>
  <si>
    <t>Corredores</t>
  </si>
  <si>
    <t>Grecia</t>
  </si>
  <si>
    <t>Actividad</t>
  </si>
  <si>
    <t>N° de Fincas o Productores</t>
  </si>
  <si>
    <t>Cantidad (N° Animales)</t>
  </si>
  <si>
    <t>Naturaleza de Daños</t>
  </si>
  <si>
    <t>Programas, Proyectos,  Acciones, Obras</t>
  </si>
  <si>
    <t>Guatuso</t>
  </si>
  <si>
    <t>TOTAL</t>
  </si>
  <si>
    <t>CANTÓN</t>
  </si>
  <si>
    <t>Ríos y Quebradas</t>
  </si>
  <si>
    <t>Centros Educativos</t>
  </si>
  <si>
    <t>Sistemas de Agua</t>
  </si>
  <si>
    <t>Edificios Públicos</t>
  </si>
  <si>
    <t>Total por cantón</t>
  </si>
  <si>
    <t>Peñas Blancas</t>
  </si>
  <si>
    <t>Localización General</t>
  </si>
  <si>
    <t>Número</t>
  </si>
  <si>
    <t>Fecha</t>
  </si>
  <si>
    <t>Cant. Familias</t>
  </si>
  <si>
    <t>Provincia</t>
  </si>
  <si>
    <t>Boleta</t>
  </si>
  <si>
    <t>Visita</t>
  </si>
  <si>
    <t>Por Boleta</t>
  </si>
  <si>
    <t>Alajuela</t>
  </si>
  <si>
    <t>Heredia</t>
  </si>
  <si>
    <t>Guanacaste</t>
  </si>
  <si>
    <t>Puntarenas</t>
  </si>
  <si>
    <t>Agropecuario</t>
  </si>
  <si>
    <t>PROVINCIA</t>
  </si>
  <si>
    <t>Carreteras</t>
  </si>
  <si>
    <t>Puentes</t>
  </si>
  <si>
    <t>Alcantarillas y Vados</t>
  </si>
  <si>
    <t>DECLARATORIA DE EMERGENCIA DECRETO EJECUTIVO TORMENTA NATE 40677</t>
  </si>
  <si>
    <t>Obra o Componente Afectado</t>
  </si>
  <si>
    <t>CAÑAS</t>
  </si>
  <si>
    <t>1° Cañas</t>
  </si>
  <si>
    <t>El Vergel</t>
  </si>
  <si>
    <t>Pérdida generalizada de material y deformaciones de la superficie de ruedo.</t>
  </si>
  <si>
    <t>Relastrado de la superficie de ruedo</t>
  </si>
  <si>
    <t>Paso Lajas</t>
  </si>
  <si>
    <t>Pérdida generalizada del material de la superficie de ruedo.</t>
  </si>
  <si>
    <t>Media</t>
  </si>
  <si>
    <t>Salitral</t>
  </si>
  <si>
    <t>Hda. La Montaña</t>
  </si>
  <si>
    <t xml:space="preserve"> Hotel-La Libertad</t>
  </si>
  <si>
    <t>Deslaves y pérdida generalizada del material de la superficie de ruedo.</t>
  </si>
  <si>
    <t>Cañas</t>
  </si>
  <si>
    <t>Sandillal - Cedros</t>
  </si>
  <si>
    <t>Javilla abajo</t>
  </si>
  <si>
    <t>Santa Isabel arriba</t>
  </si>
  <si>
    <t xml:space="preserve">Santa Rita </t>
  </si>
  <si>
    <t>Montes de Oro</t>
  </si>
  <si>
    <t>El Vergel arriba</t>
  </si>
  <si>
    <t>Pueblo Nuevo</t>
  </si>
  <si>
    <t>Cedros-PH Corobicí</t>
  </si>
  <si>
    <t>El Cepo</t>
  </si>
  <si>
    <t xml:space="preserve">San Luís </t>
  </si>
  <si>
    <t>Corobicí</t>
  </si>
  <si>
    <t>Paso Hondo</t>
  </si>
  <si>
    <t>San Antonio - Sandillal</t>
  </si>
  <si>
    <t>B° Las Cañas - La Cueva</t>
  </si>
  <si>
    <t xml:space="preserve">B° Unión - San Martín </t>
  </si>
  <si>
    <t>B° Chorotega - El Bosquecito</t>
  </si>
  <si>
    <t>B° Santa Isabel - San Luís</t>
  </si>
  <si>
    <t>B° Romanitas</t>
  </si>
  <si>
    <t>Sandillal</t>
  </si>
  <si>
    <t>2° Palmira</t>
  </si>
  <si>
    <t>Cedros - Palmira</t>
  </si>
  <si>
    <t>Aguas Gatas</t>
  </si>
  <si>
    <t xml:space="preserve">Nueva Guatemala </t>
  </si>
  <si>
    <t xml:space="preserve">Palmira </t>
  </si>
  <si>
    <t xml:space="preserve">Pozo Azul </t>
  </si>
  <si>
    <t xml:space="preserve">Aguacaliente </t>
  </si>
  <si>
    <t>Palmira</t>
  </si>
  <si>
    <t>Hacienda Tenorio</t>
  </si>
  <si>
    <t>Guachipelín-Tenorio</t>
  </si>
  <si>
    <t>Pozo Azul</t>
  </si>
  <si>
    <t>Aguacaliente (Tenorio)</t>
  </si>
  <si>
    <t xml:space="preserve">3° San Miguel </t>
  </si>
  <si>
    <t>El Coco</t>
  </si>
  <si>
    <t xml:space="preserve">Altamira </t>
  </si>
  <si>
    <t xml:space="preserve">Higuerón </t>
  </si>
  <si>
    <t>La Cañera</t>
  </si>
  <si>
    <t>La Gotera arriba</t>
  </si>
  <si>
    <t xml:space="preserve">San Miguel - Hotel </t>
  </si>
  <si>
    <t>El Arreo</t>
  </si>
  <si>
    <t xml:space="preserve">La Gotera - Higuerón </t>
  </si>
  <si>
    <t>Higuerón arriba</t>
  </si>
  <si>
    <t xml:space="preserve">4° Bebedero </t>
  </si>
  <si>
    <t xml:space="preserve">Hotel - Bebedero </t>
  </si>
  <si>
    <t xml:space="preserve">Bebedero </t>
  </si>
  <si>
    <t>Urb. La Loma</t>
  </si>
  <si>
    <t>5° Porozal</t>
  </si>
  <si>
    <t>Guapinol</t>
  </si>
  <si>
    <t>Deslizamientos, deslaves y pérdida generalizada del material de la superficie de ruedo.</t>
  </si>
  <si>
    <t xml:space="preserve">Tiquirusas </t>
  </si>
  <si>
    <t>Porozal</t>
  </si>
  <si>
    <t>Pozas</t>
  </si>
  <si>
    <t>Santa Lucía</t>
  </si>
  <si>
    <t>Nispero arriba</t>
  </si>
  <si>
    <t>Los Quirós</t>
  </si>
  <si>
    <t>Pérdida generalizada de material y deformaciones de la superficie de ruedo</t>
  </si>
  <si>
    <t>Loma Escondida</t>
  </si>
  <si>
    <t>Puerto Porozal</t>
  </si>
  <si>
    <t>Níspero</t>
  </si>
  <si>
    <t>SUBTOTAL</t>
  </si>
  <si>
    <t>Cañas-El Vergel, 5-06-003, Est. 2+430</t>
  </si>
  <si>
    <t>Quebrada Tachuela</t>
  </si>
  <si>
    <t>Vado de 12m x 5m, con 5 ramales de tubería de 91 cm</t>
  </si>
  <si>
    <t>Obstrucción, perdida de material de relleno y socavación en tuberías o cabezales</t>
  </si>
  <si>
    <t>Puente de 9 m x 7,80 m</t>
  </si>
  <si>
    <t>B° San Antonio</t>
  </si>
  <si>
    <t>Cañas-Sandillal (San Antonio), 5-06-022, Est. 0+590</t>
  </si>
  <si>
    <t>Quebrada Castillo</t>
  </si>
  <si>
    <t>Vado de 6 m x 15 ml x 6 ramales de tubo 91 cm</t>
  </si>
  <si>
    <t>Puente de 12 m x 7,80 m</t>
  </si>
  <si>
    <t>Cañas-Sandillal (San Antonio), 5-06-022, Est. 1+510</t>
  </si>
  <si>
    <t>Quebrada sin nombre</t>
  </si>
  <si>
    <t>Vado de 5 m x 8 ml x 2 ramales de tubo 200 cm</t>
  </si>
  <si>
    <t>3° San Miguel</t>
  </si>
  <si>
    <t>San Miguel-Higuerón, 5-06-016, Est. 3+460</t>
  </si>
  <si>
    <t>Río Higuerón</t>
  </si>
  <si>
    <t>Vado de 12m x 5m, con 7 ramales de tubería de 61 cm</t>
  </si>
  <si>
    <t>Desborde del cauce y acumulación de sedimentos</t>
  </si>
  <si>
    <t>Puente de 36,0 m x 7,80 m</t>
  </si>
  <si>
    <t>Hotel</t>
  </si>
  <si>
    <t>San Miguel-Hotel, 5-06-011</t>
  </si>
  <si>
    <t>Rio Javilla</t>
  </si>
  <si>
    <t>Vado de 12m x 4,5m, con 5 ramales de tubería de 76 cm</t>
  </si>
  <si>
    <t>Puente de 30,0 m x 7,80 m</t>
  </si>
  <si>
    <t>Hotel - Bebedero (Puesto 5), 5-06-065, Est. 1+000</t>
  </si>
  <si>
    <t xml:space="preserve">Rio Cañas </t>
  </si>
  <si>
    <t>Puente de 18,0 m x 4,0 m con estructura y tablero de concreto</t>
  </si>
  <si>
    <t xml:space="preserve">Socavacion de placa de ambos bastiones </t>
  </si>
  <si>
    <t>Escollera de protección</t>
  </si>
  <si>
    <t>Cañas-El Vergel, 5-06-027, Est. 0+100</t>
  </si>
  <si>
    <t>Puente metalico de 54,9 m x 3,1 m tipo bailey</t>
  </si>
  <si>
    <t xml:space="preserve">Socavacion de placa de bastion derecho </t>
  </si>
  <si>
    <t>B° Las Palmas</t>
  </si>
  <si>
    <t>Calles Urbanas en lastre, 5-06-019</t>
  </si>
  <si>
    <t>Paso de alcantarilla de 91 cm Ø</t>
  </si>
  <si>
    <t>Obstrucción y deslave de relleno por insuficiente capacidad hidraulica</t>
  </si>
  <si>
    <t>media</t>
  </si>
  <si>
    <t>Paso de alcantarilla de 1800 mm x 8 m con losa, cabezales y aletones</t>
  </si>
  <si>
    <t>Paso Lajas, 5-06-008, Est. 0+300</t>
  </si>
  <si>
    <t>Paso sobre quebrada</t>
  </si>
  <si>
    <t>Deslave de margenes de quebrada</t>
  </si>
  <si>
    <t>Paso doble de alcantarilla de 1800 mm x 8 m con cabezales y aletones</t>
  </si>
  <si>
    <t>Guapinol-Porozal, 5-06-012, Est. 2+700</t>
  </si>
  <si>
    <t>Quebrada Camarones</t>
  </si>
  <si>
    <t>Guapinol-Porozal, 5-06-012</t>
  </si>
  <si>
    <t>Tiquirusas</t>
  </si>
  <si>
    <t>Porozal-Tiquirusas, 5-06-013</t>
  </si>
  <si>
    <t>Paso doble de alcantarilla de  91 cm Ø</t>
  </si>
  <si>
    <t>Paso doble de alcantarilla de 152cm x 8 m con cabezales y aletones</t>
  </si>
  <si>
    <t xml:space="preserve">El Vergel </t>
  </si>
  <si>
    <t xml:space="preserve">Río Cañas </t>
  </si>
  <si>
    <t>Dique de protección de grava y margen derecha del cauce</t>
  </si>
  <si>
    <t>Migración con socavación y perdida parcial de dique, erosión de la margen del cauce, apertura de brazo y deslave de terrenos.</t>
  </si>
  <si>
    <t>Muro de contención de gaviones o similar</t>
  </si>
  <si>
    <t xml:space="preserve">Bello Horizonte Arriba </t>
  </si>
  <si>
    <t>Dique de protección de grava y margen derecha del cauce y amenaza de infraestructura vial</t>
  </si>
  <si>
    <t>Migración con socavación y pérdida parcial de dique, erosión de la margen del cauce y amenaza de infraestructura vial del camino N° 5-06-003.</t>
  </si>
  <si>
    <t xml:space="preserve">B° Bello Horizonte </t>
  </si>
  <si>
    <t>Migración con socavación y perdida parcial de dique y erosión de la margen del cauce y amenaza de afectación de infraestructura habitacional.</t>
  </si>
  <si>
    <t>Dique de protección de grava y margen izquierda del cauce</t>
  </si>
  <si>
    <t>Migración y desbordamiento, con socavación de dique y erosión de margen y deslave de terrenos.</t>
  </si>
  <si>
    <t>B° San Cristóbal</t>
  </si>
  <si>
    <t>Margen derecha del cauce y estructura de infraestructura vial</t>
  </si>
  <si>
    <t>Migración y erosión de la margen derecha del cauce y perdida de estructura de infraestructura vial.</t>
  </si>
  <si>
    <t>B° Santa Isabel Abajo</t>
  </si>
  <si>
    <t xml:space="preserve">La Libertad / Hotel </t>
  </si>
  <si>
    <t>Migración y desbordamiento con socavación y perdida parcial de dique, erosión de la margen del cauce y deslave de terrenos y amenaza de afectación de infraestructura habitacional y vial del camino N° 5-06-011.</t>
  </si>
  <si>
    <t>Río Corobicí</t>
  </si>
  <si>
    <t>Margen derecha del cauce e infraestructura habitacional</t>
  </si>
  <si>
    <t xml:space="preserve">Migración y erosión de la margen derecha del cauce, desbordamiento, deslave de terrenos y amenaza de afectación de infraestructura habitacional </t>
  </si>
  <si>
    <t>4° Bebedero</t>
  </si>
  <si>
    <t>Bebedero</t>
  </si>
  <si>
    <t>Río Bebedero</t>
  </si>
  <si>
    <t>Margen izquierda del cauce</t>
  </si>
  <si>
    <t>Migración y desbordamiento, con erosión de margen y deslave de terrenos, amenaza de infraestructura habitacional y vial de la Ruta Nacional N° 923.</t>
  </si>
  <si>
    <t>HOJANCHA</t>
  </si>
  <si>
    <t xml:space="preserve">Huacas </t>
  </si>
  <si>
    <t xml:space="preserve">Pita Rayada, la Arena, Huacas  y Hojancha </t>
  </si>
  <si>
    <t>5-11-018</t>
  </si>
  <si>
    <t xml:space="preserve">derrumbes en la via deslizamientos, perdida de capa de rodadura y perdida de taludes y de anchos de via </t>
  </si>
  <si>
    <t xml:space="preserve">alta </t>
  </si>
  <si>
    <t xml:space="preserve">construccion de muros de gaviones en varios puntos de la ruta para evitar que se termine de derrumbar la via </t>
  </si>
  <si>
    <t xml:space="preserve">Avellanas </t>
  </si>
  <si>
    <t>5-11-007</t>
  </si>
  <si>
    <t xml:space="preserve">La cunda </t>
  </si>
  <si>
    <t>5-11-036</t>
  </si>
  <si>
    <t xml:space="preserve">Monte Romo </t>
  </si>
  <si>
    <t xml:space="preserve">La Trocha </t>
  </si>
  <si>
    <t>5-11-048</t>
  </si>
  <si>
    <t xml:space="preserve">Guapinol </t>
  </si>
  <si>
    <t>5-11-014</t>
  </si>
  <si>
    <t xml:space="preserve">perdida de capa de rodadura </t>
  </si>
  <si>
    <t xml:space="preserve">relastreo y estabilizacion en cuestas </t>
  </si>
  <si>
    <t xml:space="preserve">Puerto Carrillo </t>
  </si>
  <si>
    <t>calle Moreno Papes (celajes del mar)</t>
  </si>
  <si>
    <t>5-11-102</t>
  </si>
  <si>
    <t>HUACAS</t>
  </si>
  <si>
    <t>5-11-117</t>
  </si>
  <si>
    <t xml:space="preserve">Sobresaturacion de suelos perdida de la capa de rodadura, inestabilidad de taludes </t>
  </si>
  <si>
    <t xml:space="preserve">Lajas- Santa Elena </t>
  </si>
  <si>
    <t>5-11-134</t>
  </si>
  <si>
    <t xml:space="preserve">Hojancha </t>
  </si>
  <si>
    <t xml:space="preserve">Santa Lucia- SanGerardo </t>
  </si>
  <si>
    <t>5-11-113</t>
  </si>
  <si>
    <t xml:space="preserve">Los Angeles- Polvazales </t>
  </si>
  <si>
    <t>5-11-055</t>
  </si>
  <si>
    <t xml:space="preserve">Barrio Chorotega- Pilangosta </t>
  </si>
  <si>
    <t>5-11-079</t>
  </si>
  <si>
    <t xml:space="preserve">la ceiba </t>
  </si>
  <si>
    <t>5-11-108</t>
  </si>
  <si>
    <t xml:space="preserve">camino chivin </t>
  </si>
  <si>
    <t>5-11-067</t>
  </si>
  <si>
    <t xml:space="preserve">cuesta Blanca </t>
  </si>
  <si>
    <t>5-11-081</t>
  </si>
  <si>
    <t>Hojancha</t>
  </si>
  <si>
    <t>Hojancha (ruta alterna al colegio)</t>
  </si>
  <si>
    <t>5-11-066</t>
  </si>
  <si>
    <t>Sobresaturacion de suelos perdida de la capa de rodadura.</t>
  </si>
  <si>
    <t>5-11-024</t>
  </si>
  <si>
    <t xml:space="preserve">polvazales </t>
  </si>
  <si>
    <t>5-11-064</t>
  </si>
  <si>
    <t xml:space="preserve">sobresaturacion de suelos y perdida del material granular de la capa de rodadura </t>
  </si>
  <si>
    <t xml:space="preserve">ruta alterna a celajes  </t>
  </si>
  <si>
    <t>5-11-065</t>
  </si>
  <si>
    <t xml:space="preserve">Cuesta Tabaco </t>
  </si>
  <si>
    <t>5-11-097</t>
  </si>
  <si>
    <t>Pita Rayada- Camarón</t>
  </si>
  <si>
    <t>5-11-077</t>
  </si>
  <si>
    <t>sobresaturacion de suelos perdida de capa de rodadura y</t>
  </si>
  <si>
    <t>matambu (matambuguito)</t>
  </si>
  <si>
    <t>5-11-062</t>
  </si>
  <si>
    <t xml:space="preserve">Lajas- San Juan Bosco </t>
  </si>
  <si>
    <t>5-11-016</t>
  </si>
  <si>
    <t>El Jobo</t>
  </si>
  <si>
    <t>5-11-115</t>
  </si>
  <si>
    <t xml:space="preserve">Pita Rayada- Matina </t>
  </si>
  <si>
    <t>5-11-076</t>
  </si>
  <si>
    <t>Hojancha cetro(doraty Lodge)</t>
  </si>
  <si>
    <t xml:space="preserve">Quebrada culebra </t>
  </si>
  <si>
    <t xml:space="preserve">perdida de aletones de entrada y salida </t>
  </si>
  <si>
    <t>alta</t>
  </si>
  <si>
    <t>reconstrucción</t>
  </si>
  <si>
    <t>Huacas</t>
  </si>
  <si>
    <t xml:space="preserve">Pita Rayada </t>
  </si>
  <si>
    <t xml:space="preserve">Rio Ora </t>
  </si>
  <si>
    <t xml:space="preserve">socavación y perdida de aletones </t>
  </si>
  <si>
    <t>hojancha cetro(vado en por ferreteria rio nosara)</t>
  </si>
  <si>
    <t>0.8</t>
  </si>
  <si>
    <t>Perdida de rellenos de aproximaxion, y de la extructura de aletones</t>
  </si>
  <si>
    <t xml:space="preserve">santa Marta- San Martin </t>
  </si>
  <si>
    <t xml:space="preserve">san pedro </t>
  </si>
  <si>
    <t xml:space="preserve">Rio Nosara </t>
  </si>
  <si>
    <t xml:space="preserve">a punto de caerse se socavo ademas la estructura esta falseada </t>
  </si>
  <si>
    <t xml:space="preserve">ruta principal a huacas antes de la finca a donde adriana </t>
  </si>
  <si>
    <t xml:space="preserve">no da a vasto socavada y a punto de caerse </t>
  </si>
  <si>
    <t xml:space="preserve">Pilangosta </t>
  </si>
  <si>
    <t xml:space="preserve">pilangosta donde vargas </t>
  </si>
  <si>
    <t xml:space="preserve">Gersan campos pilangosta </t>
  </si>
  <si>
    <t xml:space="preserve">Huacas donde policarpio  </t>
  </si>
  <si>
    <t xml:space="preserve">Quebrada Huacas </t>
  </si>
  <si>
    <t xml:space="preserve">santa maria </t>
  </si>
  <si>
    <t xml:space="preserve">la soledad </t>
  </si>
  <si>
    <t xml:space="preserve">puente de Hamaca </t>
  </si>
  <si>
    <t xml:space="preserve">se lo llevo el rio </t>
  </si>
  <si>
    <t xml:space="preserve">HOJANCHA </t>
  </si>
  <si>
    <t>Caño Ciego, Gallo pinto</t>
  </si>
  <si>
    <t>2-14-134</t>
  </si>
  <si>
    <t>Lavamiento de material en la superficie de ruedo a lo largo de la vía provocando perdida de material lastre, agrietamientos y pegaderos. Destrucción de cunetas a lo largo de la totalidad de la vía.</t>
  </si>
  <si>
    <t>Colocación de lastre para recuperar el material socavado y perdido.  Conformación de zonas con daños severos, sustitución de material de lastre y conformación de cunetas</t>
  </si>
  <si>
    <t>Isla Chica</t>
  </si>
  <si>
    <t>2-14-037</t>
  </si>
  <si>
    <t>Río Isla Chica</t>
  </si>
  <si>
    <t>Puente Artesanal con vigas de madera</t>
  </si>
  <si>
    <t>Socavamiento en las bases y perdida de la capa de rodadura</t>
  </si>
  <si>
    <t>Construir puente</t>
  </si>
  <si>
    <t>El Amparo</t>
  </si>
  <si>
    <t>Amparo, Union</t>
  </si>
  <si>
    <t>2-14-015</t>
  </si>
  <si>
    <t>Río Sabogal</t>
  </si>
  <si>
    <t>Puente artesanal con vigas de madera</t>
  </si>
  <si>
    <t>Sovacamiento de las bases y perdida de la capa de rodadura</t>
  </si>
  <si>
    <t>Zapotal</t>
  </si>
  <si>
    <t>SI</t>
  </si>
  <si>
    <t>5-09-136-00 (X:351674  Y:1097811)</t>
  </si>
  <si>
    <t>Socavación total de la vía por efecto del Río</t>
  </si>
  <si>
    <t>Rehabilitación de tramo colapsado con relleno, horas maquinaria, construcción de muro de contención</t>
  </si>
  <si>
    <t>Bejuco</t>
  </si>
  <si>
    <t>5-09-025-00 Plaza Bejuco</t>
  </si>
  <si>
    <t>Inundación, mal estado de la vía</t>
  </si>
  <si>
    <t xml:space="preserve">5-09-024-00 </t>
  </si>
  <si>
    <t>Santa Rita</t>
  </si>
  <si>
    <t>5-09-097-00 (X:30105,2 Y:110437,9)</t>
  </si>
  <si>
    <t>Socavación parcial de la vía por efecto del Río</t>
  </si>
  <si>
    <t>5-09-105-00 (X:361878,5  Y:1080325,3)</t>
  </si>
  <si>
    <t>Superficie de ruedo en mal estado</t>
  </si>
  <si>
    <t xml:space="preserve">5-09-087-00 </t>
  </si>
  <si>
    <t xml:space="preserve">5-09-098-00 </t>
  </si>
  <si>
    <t>Deslizamiento</t>
  </si>
  <si>
    <t>Carmona</t>
  </si>
  <si>
    <t>5-09-044-00 (X: 361186  Y: 1102006)</t>
  </si>
  <si>
    <t>5-09-044-00 (X: 361075  Y: 1102396)</t>
  </si>
  <si>
    <t>Derrumbe</t>
  </si>
  <si>
    <t>5-09-044-00 (X: 361673  Y: 1104112)</t>
  </si>
  <si>
    <t>Derrumbe de gran tamaño</t>
  </si>
  <si>
    <t>5-09-049-00 ( 362949  Y: 1104947)</t>
  </si>
  <si>
    <t>Escombros en la vía</t>
  </si>
  <si>
    <t>Contratación de maquinaria  para realizar limpieza de la vía</t>
  </si>
  <si>
    <t>5-09-005-00 (X: 360521  Y: 1110759)</t>
  </si>
  <si>
    <t>Socavacion en la vía</t>
  </si>
  <si>
    <t>Contratación de Maquinaria para realizar excavación y relleno de la estructura</t>
  </si>
  <si>
    <t>5-09-005-00 (X: 362029  Y: 1110095)</t>
  </si>
  <si>
    <t>Santa RIta</t>
  </si>
  <si>
    <t>5-09-004-00 (X: 356677 Y: 1110236)</t>
  </si>
  <si>
    <t>5-09-047-00 (X: 355132  Y: 1099204)</t>
  </si>
  <si>
    <t>5-09-131-00 (X: 350416 Y: 1106824)</t>
  </si>
  <si>
    <t>5-09-018-00 (N 10° 1´16" W 85° 15´ 3")</t>
  </si>
  <si>
    <t>Camino con obstáculos en la vía caída de árboles de gran dimensión.</t>
  </si>
  <si>
    <t>Remoción de arboles</t>
  </si>
  <si>
    <t>5-09-018-00 (N 10° 1´ 9" W 85° 14´ 57")</t>
  </si>
  <si>
    <t xml:space="preserve">Río con escombros, gran cantidad de arboles y material. </t>
  </si>
  <si>
    <t>Dragado y limpieza del Río Nandayure, en el sitio de  agua fría</t>
  </si>
  <si>
    <t>5-09-001-00</t>
  </si>
  <si>
    <t>Contratación de Maquinaria para realizar limpieza de la vía.</t>
  </si>
  <si>
    <t>5-09-002-00</t>
  </si>
  <si>
    <t>Socavamiento de la vía</t>
  </si>
  <si>
    <t>5-09-003-00</t>
  </si>
  <si>
    <t>5-09-004-00</t>
  </si>
  <si>
    <t>5-09-005-00</t>
  </si>
  <si>
    <t>5-09-006-00</t>
  </si>
  <si>
    <t>5-09-007-00</t>
  </si>
  <si>
    <t>5-09-008-00</t>
  </si>
  <si>
    <t>San Pablo</t>
  </si>
  <si>
    <t>5-09-009-00</t>
  </si>
  <si>
    <t>5-09-010-00</t>
  </si>
  <si>
    <t>5-09-011-00</t>
  </si>
  <si>
    <t>5-09-012-00</t>
  </si>
  <si>
    <t>5-09-013-00</t>
  </si>
  <si>
    <t>5-09-014-00</t>
  </si>
  <si>
    <t>5-09-015-00</t>
  </si>
  <si>
    <t>5-09-016-00</t>
  </si>
  <si>
    <t>5-09-017-00</t>
  </si>
  <si>
    <t>5-09-018-00</t>
  </si>
  <si>
    <t>5-09-019-00</t>
  </si>
  <si>
    <t>5-09-020-00</t>
  </si>
  <si>
    <t>5-09-021-00</t>
  </si>
  <si>
    <t>Porvenir</t>
  </si>
  <si>
    <t>5-09-022-00</t>
  </si>
  <si>
    <t>5-09-023-00</t>
  </si>
  <si>
    <t>5-09-024-00</t>
  </si>
  <si>
    <t>5-09-025-00</t>
  </si>
  <si>
    <t>5-09-026-00</t>
  </si>
  <si>
    <t>5-09-027-00</t>
  </si>
  <si>
    <t>5-09-028-00</t>
  </si>
  <si>
    <t>5-09-029-00</t>
  </si>
  <si>
    <t>5-09-030-00</t>
  </si>
  <si>
    <t>5-09-031-00</t>
  </si>
  <si>
    <t>5-09-032-00</t>
  </si>
  <si>
    <t>5-09-033-00</t>
  </si>
  <si>
    <t>5-09-034-00</t>
  </si>
  <si>
    <t>5-09-035-00</t>
  </si>
  <si>
    <t>5-09-036-00</t>
  </si>
  <si>
    <t>5-09-037-00</t>
  </si>
  <si>
    <t>5-09-038-00</t>
  </si>
  <si>
    <t>5-09-039-00</t>
  </si>
  <si>
    <t>5-09-040-00</t>
  </si>
  <si>
    <t>5-09-041-00</t>
  </si>
  <si>
    <t>5-09-042-00</t>
  </si>
  <si>
    <t>5-09-043-00</t>
  </si>
  <si>
    <t>5-09-044-00</t>
  </si>
  <si>
    <t>Valoración de Ingenieros para diseño de obras mayores.</t>
  </si>
  <si>
    <t>5-09-045-00</t>
  </si>
  <si>
    <t>5-09-046-00</t>
  </si>
  <si>
    <t>5-09-047-00</t>
  </si>
  <si>
    <t>5-09-048-00</t>
  </si>
  <si>
    <t>5-09-049-00</t>
  </si>
  <si>
    <t>5-09-050-00</t>
  </si>
  <si>
    <t>5-09-051-00</t>
  </si>
  <si>
    <t>5-09-052-00</t>
  </si>
  <si>
    <t>5-09-053-00</t>
  </si>
  <si>
    <t>5-09-054-00</t>
  </si>
  <si>
    <t>5-09-055-00</t>
  </si>
  <si>
    <t>5-09-056-00</t>
  </si>
  <si>
    <t>5-09-057-00</t>
  </si>
  <si>
    <t>5-09-058-00</t>
  </si>
  <si>
    <t>5-09-059-00</t>
  </si>
  <si>
    <t>5-09-060-00</t>
  </si>
  <si>
    <t>5-09-061-00</t>
  </si>
  <si>
    <t>5-09-062-00</t>
  </si>
  <si>
    <t>5-09-063-00</t>
  </si>
  <si>
    <t>5-09-064-00</t>
  </si>
  <si>
    <t>5-09-065-00</t>
  </si>
  <si>
    <t>5-09-066-00</t>
  </si>
  <si>
    <t>5-09-067-00</t>
  </si>
  <si>
    <t>5-09-068-00</t>
  </si>
  <si>
    <t>5-09-069-00</t>
  </si>
  <si>
    <t>5-09-070-00</t>
  </si>
  <si>
    <t>5-09-071-00</t>
  </si>
  <si>
    <t>5-09-072-00</t>
  </si>
  <si>
    <t>5-09-073-00</t>
  </si>
  <si>
    <t>5-09-074-00</t>
  </si>
  <si>
    <t>5-09-075-00</t>
  </si>
  <si>
    <t>5-09-076-00</t>
  </si>
  <si>
    <t>5-09-077-00</t>
  </si>
  <si>
    <t>5-09-078-00</t>
  </si>
  <si>
    <t>5-09-079-00</t>
  </si>
  <si>
    <t>5-09-080-00</t>
  </si>
  <si>
    <t>5-09-081-00</t>
  </si>
  <si>
    <t>5-09-082-00</t>
  </si>
  <si>
    <t>5-09-083-00</t>
  </si>
  <si>
    <t>5-09-084-00</t>
  </si>
  <si>
    <t>5-09-085-00</t>
  </si>
  <si>
    <t>5-09-086-00</t>
  </si>
  <si>
    <t>5-09-087-00</t>
  </si>
  <si>
    <t>5-09-088-00</t>
  </si>
  <si>
    <t>5-09-089-00</t>
  </si>
  <si>
    <t>5-09-090-00</t>
  </si>
  <si>
    <t>5-09-091-00</t>
  </si>
  <si>
    <t>5-09-092-00</t>
  </si>
  <si>
    <t>5-09-093-00</t>
  </si>
  <si>
    <t>5-09-094-00</t>
  </si>
  <si>
    <t>5-09-095-00</t>
  </si>
  <si>
    <t>5-09-096-00</t>
  </si>
  <si>
    <t>5-09-097-00</t>
  </si>
  <si>
    <t>5-09-098-00</t>
  </si>
  <si>
    <t>5-09-099-00</t>
  </si>
  <si>
    <t>5-09-100-00</t>
  </si>
  <si>
    <t>5-09-101-00</t>
  </si>
  <si>
    <t>5-09-102-00</t>
  </si>
  <si>
    <t>5-09-103-00</t>
  </si>
  <si>
    <t>5-09-104-00</t>
  </si>
  <si>
    <t>5-09-105-00</t>
  </si>
  <si>
    <t>5-09-106-00</t>
  </si>
  <si>
    <t>5-09-107-00</t>
  </si>
  <si>
    <t>5-09-108-00</t>
  </si>
  <si>
    <t>5-09-109-00</t>
  </si>
  <si>
    <t>5-09-110-00</t>
  </si>
  <si>
    <t>5-09-111-00</t>
  </si>
  <si>
    <t>5-09-112-00</t>
  </si>
  <si>
    <t>5-09-113-00</t>
  </si>
  <si>
    <t>5-09-114-00</t>
  </si>
  <si>
    <t>5-09-115-00</t>
  </si>
  <si>
    <t>5-09-116-00</t>
  </si>
  <si>
    <t>5-09-117-00</t>
  </si>
  <si>
    <t>5-09-118-00</t>
  </si>
  <si>
    <t>5-09-119-00</t>
  </si>
  <si>
    <t>5-09-120-00</t>
  </si>
  <si>
    <t>5-09-121-00</t>
  </si>
  <si>
    <t>5-09-122-00</t>
  </si>
  <si>
    <t>5-09-123-00</t>
  </si>
  <si>
    <t>5-09-124-00</t>
  </si>
  <si>
    <t>5-09-125-00</t>
  </si>
  <si>
    <t>5-09-126-00</t>
  </si>
  <si>
    <t>5-09-127-00</t>
  </si>
  <si>
    <t>5-09-128-00</t>
  </si>
  <si>
    <t>5-09-129-00</t>
  </si>
  <si>
    <t>5-09-130-00</t>
  </si>
  <si>
    <t>5-09-131-00</t>
  </si>
  <si>
    <t>5-09-132-00</t>
  </si>
  <si>
    <t>5-09-133-00</t>
  </si>
  <si>
    <t>5-09-134-00</t>
  </si>
  <si>
    <t>5-09-135-00</t>
  </si>
  <si>
    <t>5-09-136-00 coord.  X:351674  Y:1097811</t>
  </si>
  <si>
    <t>5-09-137-00</t>
  </si>
  <si>
    <t>5-09-138-00</t>
  </si>
  <si>
    <t>5-09-139-00</t>
  </si>
  <si>
    <t>5-09-140-00</t>
  </si>
  <si>
    <t>5-09-141-00</t>
  </si>
  <si>
    <t>5-09-142-00</t>
  </si>
  <si>
    <t>5-09-143-00</t>
  </si>
  <si>
    <t>5-09-144-00</t>
  </si>
  <si>
    <t>Río Ora</t>
  </si>
  <si>
    <t>NANDAYURE</t>
  </si>
  <si>
    <t>5-09-038-00 (X:354293 Y:1087967)</t>
  </si>
  <si>
    <t>Puente de Hamaca</t>
  </si>
  <si>
    <t>Construcción de puente y bastiones, remoción de estructuras existentes en mal estado</t>
  </si>
  <si>
    <t>Parcelas</t>
  </si>
  <si>
    <t>5-09-122-00 (X:354097 Y:1091093)</t>
  </si>
  <si>
    <t>5-09-028-00 (X:354465 Y:1108844)</t>
  </si>
  <si>
    <t>Vista Mar - Quebrada Grande</t>
  </si>
  <si>
    <t>RN 903</t>
  </si>
  <si>
    <t>1 paso</t>
  </si>
  <si>
    <t>Batería de Alcantillas corrugadas 5 unidades</t>
  </si>
  <si>
    <t>socavación de los rellenos de los cabezales en un 100%</t>
  </si>
  <si>
    <t>Alcantarilla Corrugada</t>
  </si>
  <si>
    <t>4 pasos</t>
  </si>
  <si>
    <t xml:space="preserve"> Alcantillas de concreto </t>
  </si>
  <si>
    <t xml:space="preserve">1 paso </t>
  </si>
  <si>
    <t>Alcantarilla de concreto</t>
  </si>
  <si>
    <t>Colpaso parcial de la vía, socavación de los rellenos de los cabezales en un 100%</t>
  </si>
  <si>
    <t>colocación de paso alcantarilla adicional y extención del existente, Relleno, Construcción de cabezales y muro de contención</t>
  </si>
  <si>
    <t>Alcantarilla Doble obstruida, Río con escombros</t>
  </si>
  <si>
    <t>Limpieza de Puente y dragado del Río</t>
  </si>
  <si>
    <t>Alcantarilla Multiple y de cuadro obstruida, Río con escombros</t>
  </si>
  <si>
    <t>Bache en la vía por alcantarilla socavada</t>
  </si>
  <si>
    <t>Recolocación de alcantarilla existente, relleno</t>
  </si>
  <si>
    <t>Paso de Alcantarilla doble socavado</t>
  </si>
  <si>
    <t>colocación de tuberías y relleno de aletones o sustitución por una alcantarilla de cuadro doble</t>
  </si>
  <si>
    <t>Alcantarilla socavada</t>
  </si>
  <si>
    <t>Relleno, Construcción de cabezales</t>
  </si>
  <si>
    <t>Líbano</t>
  </si>
  <si>
    <t>Libano/Vergel</t>
  </si>
  <si>
    <t>5-08-026</t>
  </si>
  <si>
    <t>Daño en superficie de ruedo, perdida de material de subbase, obstrucción de cunetas por deslizamientos, cortes totales en carretera por socavación</t>
  </si>
  <si>
    <t>Las actividades a realizar consisten en excavación, limpieza y conformación de cunetas y/ó zanjas, reacondicionamiento de la subrasante (5,77 km que se vieron afectados por las lluvias), así como la colocación de 15 cm de material de subbase en la superficie de ruedo con el fin de recuperar la transitabilidad de la ruta.</t>
  </si>
  <si>
    <t>Quebrada Grande</t>
  </si>
  <si>
    <t>Río Chiquito</t>
  </si>
  <si>
    <t>5-08-037</t>
  </si>
  <si>
    <t>Daño en superficie de ruedo, perdida de material de subbase, obstrucción de cunetas y calzada por deslizamientos</t>
  </si>
  <si>
    <t>Las actividades a realizar consisten en la atención de 6 km del camino (desde el cruce con la Quebrada Río Chiquito hacia San Pedro). Dichas actividades serían la excavación, limpieza y conformación de cunetas y/o zanjas, reacondicionamiento de subrasante y la colocación de aproximadamente 600 m3 de material de préstamo en los sectores más dañados.</t>
  </si>
  <si>
    <t>El Dos</t>
  </si>
  <si>
    <t>5-08-105</t>
  </si>
  <si>
    <t>Las actividades a realizar consisten en excavación, limpieza y conformación de cunetas y/ó zanjas, reacondicionamiento de la subrasante (4,00 km que se vieron afectados por las lluvias), así como la colocación de 15 cm de material de subbase en la superficie de ruedo con el fin de recuperar la transitabilidad de la ruta.</t>
  </si>
  <si>
    <t>Tilarán</t>
  </si>
  <si>
    <t>Chiripa/Río Chiquito</t>
  </si>
  <si>
    <t>5-08-010</t>
  </si>
  <si>
    <t>Las actividades a realizar consisten en excavación, limpieza y conformación de cunetas y/ó zanjas, reacondicionamiento de la subrasante (5,00 km que se vieron afectados por las lluvias), así como la colocación de 15 cm de material de subbase en la superficie de ruedo con el fin de recuperar la transitabilidad de la ruta.</t>
  </si>
  <si>
    <t>Las Nubes</t>
  </si>
  <si>
    <t>5-08-114</t>
  </si>
  <si>
    <t>Daño en superficie de ruedo por hundimiento, perdida de material de subbase, obstrucción de cunetas y calzada por deslizamientos</t>
  </si>
  <si>
    <t>Se necesita reubicar el camino debido a que un deslizamiento daño por completo la superficie de ruedo. Por lo tanto, se necesita excavar una nueva línea de centro para desviar el camino, así como excavación, limpieza y conformación de cunetas, reacondicionamiento de subrasante y colocación de material de préstamo en este tramo que será de aproximadamente 200 m. Es importante recalcar que se colocaran cerca de 600 m3 de material en 1 km del camino para reacondicionar la  subrasante y cunetas (limpieza y conformación) en los sectores más dañados.</t>
  </si>
  <si>
    <t>TILARÁN</t>
  </si>
  <si>
    <t>Puente de acero-concreto de un carril, barandas metálicas, no contaba con aceras</t>
  </si>
  <si>
    <t>Colapso total de la estructura</t>
  </si>
  <si>
    <t>Se requiere la reconstrucción del puente, para lo cual es necesario la realización de sus respectivos estudios geotécnicos, hidroógicos y topográficos así como sus correspondientes estudios preliminares y planos constructivos. El diseño será tomado de los Planos de Puentes en una vía hechos por la dirección de puentes del MOPT.  Es necesario además, la adjudicación del proyecto a una empresa constructora que se encargue de los trabajos tanto en superestructura como en subestructura.</t>
  </si>
  <si>
    <t>Campos de Oro</t>
  </si>
  <si>
    <t>5-08-107</t>
  </si>
  <si>
    <t>Río Cañas</t>
  </si>
  <si>
    <t>Tronadora</t>
  </si>
  <si>
    <t>Río Chiquito/La Leona</t>
  </si>
  <si>
    <t>NA*</t>
  </si>
  <si>
    <t>Puente de acero, un carril, no contaba con aceras</t>
  </si>
  <si>
    <t>Santa Rosa</t>
  </si>
  <si>
    <t>Parcelas Quebrada Azul</t>
  </si>
  <si>
    <t>5-08-095</t>
  </si>
  <si>
    <t>Sin Nombre</t>
  </si>
  <si>
    <t>Tubería de concreto reforzado de diametro 36" y 24"</t>
  </si>
  <si>
    <t>Colapso total de alcantarillado provocando corte de carretera</t>
  </si>
  <si>
    <t>Se necesita la realización de los correspondientes estudios hidrológicos así como la contratación de una empresa construtora o en su defecto los materiales para la construcción de un paso de alcantarilla con longitud de 20 metros y un diámetro de 2,13 m y sus respectivos cabezales. Se necesita además la maquinaria adecuada para la limpieza del cauce aguas arriba y abajo del paso de alcantarilla.</t>
  </si>
  <si>
    <t>La Florida</t>
  </si>
  <si>
    <t>5-08-016</t>
  </si>
  <si>
    <t>Tubería de concreto reforzado de diametro 36"</t>
  </si>
  <si>
    <t>Se necesita la realización de los correspondientes estudios hidrológicos así como la contratación de una empresa construtora o en su defecto los materiales para la construcción de un paso de alcantarilla con longitud de 12 metros y un diámetro de 2,13 m y sus respectivos cabezales. Se necesita además la maquinaria adecuada para la limpieza del cauce aguas arriba y abajo del paso de alcantarilla.</t>
  </si>
  <si>
    <t>5-08-032</t>
  </si>
  <si>
    <t>Los Tornos</t>
  </si>
  <si>
    <t>Tubería de concreto reforzado de diametro 80"</t>
  </si>
  <si>
    <t>Se necesita la realización de los correspondientes estudios hidrológicos así como la contratación de una empresa construtora o en su defecto los materiales para la construcción de un paso de alcantarilla con longitud de 15 metros y un diámetro de 2,13 m y sus respectivos cabezales. Se necesita además la maquinaria adecuada para la limpieza del cauce aguas arriba y abajo del paso de alcantarilla.</t>
  </si>
  <si>
    <t>Nubes</t>
  </si>
  <si>
    <t>Tubería de concreto reforzado de diametro 60"</t>
  </si>
  <si>
    <t>Se necesita la realización de los correspondientes estudios hidrológicos así como la contratación de una empresa construtora o en su defecto los materiales para la construcción de un paso doble de alcantarilla con longitud de 12 metros cada uno y un diámetro de 2,13 m y sus respectivos cabezales. Se necesita además la maquinaria adecuada para la limpieza del cauce aguas arriba y abajo del paso de alcantarilla.</t>
  </si>
  <si>
    <t>Vado en concreto reforzado</t>
  </si>
  <si>
    <t>Destrucción total de la estructura</t>
  </si>
  <si>
    <t>Se necesita la realización de los correspondientes estudios hidrológicos así como la contratación de una empresa construtora o en su defecto los materiales para la construcción de un vado, que consiste en la colocación de cuatro líneas de tubería de diámetro 1,22 m y una longitud de 6 m con su correspondiente losa de concreto. Se necesita además la maquinaria adecuada para la limpieza del cauce aguas arriba y abajo del paso de alcantarilla.</t>
  </si>
  <si>
    <t>San Gerardo</t>
  </si>
  <si>
    <t>5-08-036</t>
  </si>
  <si>
    <t>01-SAN JOSE</t>
  </si>
  <si>
    <t>03-Desamparados</t>
  </si>
  <si>
    <t>04-Puriscal</t>
  </si>
  <si>
    <t>05-Tarrazú</t>
  </si>
  <si>
    <t>06-Aserrí</t>
  </si>
  <si>
    <t>07-Mora</t>
  </si>
  <si>
    <t>09-Santa Ana</t>
  </si>
  <si>
    <t>11-Vázquez de Coronado</t>
  </si>
  <si>
    <t>12-Acosta</t>
  </si>
  <si>
    <t>14-Moravia</t>
  </si>
  <si>
    <t>16-Turrubares</t>
  </si>
  <si>
    <t>17-Dota</t>
  </si>
  <si>
    <t>18-Curridabat</t>
  </si>
  <si>
    <t>19-Pérez Zeledón</t>
  </si>
  <si>
    <t>20-León Cortés</t>
  </si>
  <si>
    <t>03-Grecia</t>
  </si>
  <si>
    <t>06-Naranjo</t>
  </si>
  <si>
    <t>07-Palmares</t>
  </si>
  <si>
    <t>08-Poás</t>
  </si>
  <si>
    <t>09-Orotina</t>
  </si>
  <si>
    <t>10-San Carlos</t>
  </si>
  <si>
    <t>11-Zarcero (Alfaro Ruiz)</t>
  </si>
  <si>
    <t>12-Valverde Vega (Sarchí)</t>
  </si>
  <si>
    <t>14-Los Chiles</t>
  </si>
  <si>
    <t>03-CARTAGO</t>
  </si>
  <si>
    <t>01-Cartago</t>
  </si>
  <si>
    <t>02-Paraíso</t>
  </si>
  <si>
    <t>05-Turrialba</t>
  </si>
  <si>
    <t>07-Oreamuno</t>
  </si>
  <si>
    <t>08-El Guarco</t>
  </si>
  <si>
    <t>04-HEREDIA</t>
  </si>
  <si>
    <t>04-Santa Bárbara</t>
  </si>
  <si>
    <t>05-GUANACASTE</t>
  </si>
  <si>
    <t>01-Liberia</t>
  </si>
  <si>
    <t>02-Nicoya</t>
  </si>
  <si>
    <t>03-Santa Cruz</t>
  </si>
  <si>
    <t>04-Bagaces</t>
  </si>
  <si>
    <t>05-Carrillo</t>
  </si>
  <si>
    <t>06-Cañas</t>
  </si>
  <si>
    <t>08-Tilarán</t>
  </si>
  <si>
    <t>09-Nandayure</t>
  </si>
  <si>
    <t>10-La Cruz</t>
  </si>
  <si>
    <t>11-Hojancha</t>
  </si>
  <si>
    <t>06-PUNTARENAS</t>
  </si>
  <si>
    <t>01-Puntarenas</t>
  </si>
  <si>
    <t>02-Esparza</t>
  </si>
  <si>
    <t>03-Buenos Aires</t>
  </si>
  <si>
    <t>04-Montes de Oro</t>
  </si>
  <si>
    <t>05-Osa</t>
  </si>
  <si>
    <t>06-Aguirre (Quepos)</t>
  </si>
  <si>
    <t>07-Golfito</t>
  </si>
  <si>
    <t>08-Coto Brus</t>
  </si>
  <si>
    <t>09-Parrita</t>
  </si>
  <si>
    <t>10-Corredores</t>
  </si>
  <si>
    <t>11-Garabito (Jacó)</t>
  </si>
  <si>
    <t>Cervantes</t>
  </si>
  <si>
    <t>Lepanto</t>
  </si>
  <si>
    <t>Paquera</t>
  </si>
  <si>
    <t>Monteverde</t>
  </si>
  <si>
    <t>Cóbano</t>
  </si>
  <si>
    <t>LIBERIA</t>
  </si>
  <si>
    <t>Liberia</t>
  </si>
  <si>
    <t>BARRIO LA CRUZ</t>
  </si>
  <si>
    <t>5-01-014-00</t>
  </si>
  <si>
    <t>Deformaciones en la superficie de ruedo y lavado de material, colapso de pasos de alcantarillas</t>
  </si>
  <si>
    <t>Incorporación de material y rehabilitación de los sistemas de drenaje</t>
  </si>
  <si>
    <t>Deterioro superficie asfaltica</t>
  </si>
  <si>
    <t>Bacheo Asfaltico</t>
  </si>
  <si>
    <t>EL PALENQUE</t>
  </si>
  <si>
    <t>5-01-019-00</t>
  </si>
  <si>
    <t>Deformaciones en la superficie de ruedo y lavado de material</t>
  </si>
  <si>
    <t>Relastreo del Camino y bacheo, rehabilitación de los sistemas de drenaje</t>
  </si>
  <si>
    <t>CUADRANTES LIBERIA</t>
  </si>
  <si>
    <t>5-01-020-00</t>
  </si>
  <si>
    <t>Colapso alcantarillado pluvial</t>
  </si>
  <si>
    <t>Rehabilitación sistemas drenaje</t>
  </si>
  <si>
    <t>CAPULIN CENTRO</t>
  </si>
  <si>
    <t>5-01-023-00</t>
  </si>
  <si>
    <t>RODEITO</t>
  </si>
  <si>
    <t>5-01-029-00,  5-01-080-00</t>
  </si>
  <si>
    <t>Deformaciones en la superficie de ruedo en suelo natural</t>
  </si>
  <si>
    <t>Bajo</t>
  </si>
  <si>
    <t>Mantenimiento en Lastre, conformación y bacheo mayor</t>
  </si>
  <si>
    <t>CUADRANTES ENTRE Q. PICHES Y Q</t>
  </si>
  <si>
    <t>5-01-040-00</t>
  </si>
  <si>
    <t>(ENT. N. 1) CAMBALACHE</t>
  </si>
  <si>
    <t>5-01-044-00</t>
  </si>
  <si>
    <t>Incorporación de material bacheo menor en lastre y rehabilitación de los sistemas de drenaje</t>
  </si>
  <si>
    <t>CAMINO EL SALTO VIEJO</t>
  </si>
  <si>
    <t>5-01-059-00</t>
  </si>
  <si>
    <t>LOS TERREROS</t>
  </si>
  <si>
    <t>5-01-085-00, 5-01-084-00, 5-01-019-00, 5-01-042-00</t>
  </si>
  <si>
    <t>ADAPTACION SOCIAL</t>
  </si>
  <si>
    <t>5-01-092-00</t>
  </si>
  <si>
    <t>ADAPTACION SOCIAL-LA MONTAÑITA, EL SALTO VIEJO</t>
  </si>
  <si>
    <t>5-01-093-00</t>
  </si>
  <si>
    <t>EL SALTO VIEJO-EL SALTO</t>
  </si>
  <si>
    <t>5-01-094-00</t>
  </si>
  <si>
    <t>LAS DELICIAS</t>
  </si>
  <si>
    <t>5-01-104-00</t>
  </si>
  <si>
    <t>Deterioro superficie asfaltica, colapso sistemas de drenaje</t>
  </si>
  <si>
    <t>Bacheo Asfaltico,  rehabilitación de los sistemas de drenaje</t>
  </si>
  <si>
    <t>CUADRANTE URBANO SANTA INES</t>
  </si>
  <si>
    <t>5-01-105-00</t>
  </si>
  <si>
    <t>URBANIZACION EL REAL</t>
  </si>
  <si>
    <t>5-01-113-00</t>
  </si>
  <si>
    <t>BARRIO ROJAS CHAVES</t>
  </si>
  <si>
    <t>5-01-115-00</t>
  </si>
  <si>
    <t>CURIME</t>
  </si>
  <si>
    <t>5-01-137-00</t>
  </si>
  <si>
    <t>B° NAZARETH</t>
  </si>
  <si>
    <t>5-01-138-00</t>
  </si>
  <si>
    <t>(ENT. C. 5-01-147-00) ESCUELA SANTA MARIA</t>
  </si>
  <si>
    <t>5-01-148-00</t>
  </si>
  <si>
    <t>ALASKA</t>
  </si>
  <si>
    <t>5-01-150-00</t>
  </si>
  <si>
    <t>EL PELONCITO</t>
  </si>
  <si>
    <t>5-01-164-00</t>
  </si>
  <si>
    <t>CAMINO ANGOSTO CARCEL</t>
  </si>
  <si>
    <t>5-01-165-00</t>
  </si>
  <si>
    <t>CUADRANTE URBANO LA CARAÑA PRO</t>
  </si>
  <si>
    <t>5-01-185-00</t>
  </si>
  <si>
    <t>(ENT. C. 5-01-089-00) CALLE LOS CAMARENOS</t>
  </si>
  <si>
    <t>5-01-193-00</t>
  </si>
  <si>
    <t>Cañas Dulces</t>
  </si>
  <si>
    <t>BUENA VISTA</t>
  </si>
  <si>
    <t>5-01-012-01</t>
  </si>
  <si>
    <t>CAMINO A BORINQUEN</t>
  </si>
  <si>
    <t>5-01-016-00</t>
  </si>
  <si>
    <t>CAÑAS DULCES CENTRO</t>
  </si>
  <si>
    <t>5-01-025-00</t>
  </si>
  <si>
    <t>CAMINO CAÑAS DULCES</t>
  </si>
  <si>
    <t>Cañas Dulces-El Cedro</t>
  </si>
  <si>
    <t>5-01-072-00</t>
  </si>
  <si>
    <t>Cañas Dulces-Curubandé</t>
  </si>
  <si>
    <t>5-01-005-00</t>
  </si>
  <si>
    <t>IRIGARAY</t>
  </si>
  <si>
    <t>5-01-054-00</t>
  </si>
  <si>
    <t xml:space="preserve">Curubandé </t>
  </si>
  <si>
    <t>GUADALUPE</t>
  </si>
  <si>
    <t>5-01-003-00</t>
  </si>
  <si>
    <t>CAMINO EL GALLO</t>
  </si>
  <si>
    <t>5-01-027-00</t>
  </si>
  <si>
    <t>EL ESCOBIO</t>
  </si>
  <si>
    <t>CUADRANTES DE COLORADO</t>
  </si>
  <si>
    <t>5-01-017-00</t>
  </si>
  <si>
    <t>A ASENTAMIENTO SANTA MARIA</t>
  </si>
  <si>
    <t>5-01-031-00</t>
  </si>
  <si>
    <t>SANTA ROSA</t>
  </si>
  <si>
    <t>5-01-111-00</t>
  </si>
  <si>
    <t>CURUBANDÉ</t>
  </si>
  <si>
    <t>5-01-057-00</t>
  </si>
  <si>
    <t>Guardia</t>
  </si>
  <si>
    <t>(ENT. N. 21) GUARDIA</t>
  </si>
  <si>
    <t>5-01-026-00</t>
  </si>
  <si>
    <t>EL TRIUNFO</t>
  </si>
  <si>
    <t>5-01-008-00</t>
  </si>
  <si>
    <t>LA CHOCOLATA</t>
  </si>
  <si>
    <t>EL FOSFORO</t>
  </si>
  <si>
    <t>5-01-045-00</t>
  </si>
  <si>
    <t>(ENT. C. 5-01-028-00) CATSA</t>
  </si>
  <si>
    <t>5-01-192-00</t>
  </si>
  <si>
    <t>Mayorga</t>
  </si>
  <si>
    <t>CAMINO A LAS LILAS</t>
  </si>
  <si>
    <t>5-01-011-00</t>
  </si>
  <si>
    <t>SANTA CLARA-EL CONSUELO</t>
  </si>
  <si>
    <t>5-01-053-00</t>
  </si>
  <si>
    <t>SANTA CLARA</t>
  </si>
  <si>
    <t>5-01-034-00</t>
  </si>
  <si>
    <t>SAN ANTONIO</t>
  </si>
  <si>
    <t>5-01-198-00</t>
  </si>
  <si>
    <t>QUEBRADA GRANDE</t>
  </si>
  <si>
    <t>5-01-024-00</t>
  </si>
  <si>
    <t>5-01-024-01</t>
  </si>
  <si>
    <t>Barrios: Pedro Hernández, Curime, San Roque, La Gallera</t>
  </si>
  <si>
    <t>Quebrada Piches</t>
  </si>
  <si>
    <t>Ancho: 9,1m Largo: 12,50 Altura: 3m</t>
  </si>
  <si>
    <t>Socavación accesos</t>
  </si>
  <si>
    <t>Construcción Muro retención</t>
  </si>
  <si>
    <t>Salto Viejo</t>
  </si>
  <si>
    <t>El Salto</t>
  </si>
  <si>
    <t>Puente Peatonal Largo: 25m, ancho:2,5m</t>
  </si>
  <si>
    <t>Lo arrastro el río</t>
  </si>
  <si>
    <t>Construcción puente nuevo</t>
  </si>
  <si>
    <t>Capulín</t>
  </si>
  <si>
    <t>Río Liberia</t>
  </si>
  <si>
    <t>Ancho:4 Largo: 33,10 Altura:2.28</t>
  </si>
  <si>
    <t>Río Sobre paso puente, Socavación de bastiones</t>
  </si>
  <si>
    <t>Construcción de Puente nuevo de doble vía 34 metros</t>
  </si>
  <si>
    <t>Quebrada Guacalito(La Chancha)</t>
  </si>
  <si>
    <t>Ancho:6,67  Largo: 18m Altura:3,4m</t>
  </si>
  <si>
    <t>Nacazcolo</t>
  </si>
  <si>
    <t>Los Lagos</t>
  </si>
  <si>
    <t>Entrada Escuela Los Lagos</t>
  </si>
  <si>
    <t>Q. Honda</t>
  </si>
  <si>
    <t>Puente Peatonal Largo: 15m, ancho:2,5m</t>
  </si>
  <si>
    <t>Sector Catsa</t>
  </si>
  <si>
    <t>ENT. C. 5-01-028-00</t>
  </si>
  <si>
    <t>Quebrada Honda</t>
  </si>
  <si>
    <t>Ancho: 4,2  Largo:16m  Altura: 4,6m</t>
  </si>
  <si>
    <t>En una lluvia semanas antes se había caído el puente, se había construido un vado, este se lo llevo la crecida de Quebrada Honda</t>
  </si>
  <si>
    <t>Terreros</t>
  </si>
  <si>
    <t xml:space="preserve"> 5-01-084-00</t>
  </si>
  <si>
    <t xml:space="preserve">Quebrada Caraña </t>
  </si>
  <si>
    <t>Vado, Largo: 10 m Ancho 7,5 m</t>
  </si>
  <si>
    <t>Reconstrucción Accesos</t>
  </si>
  <si>
    <t>Irigaray</t>
  </si>
  <si>
    <t>Alcantarilla, Largo: 6 m Ancho 5 m</t>
  </si>
  <si>
    <t>Reconstrucción Accesos y Ampliacion Alcantarilla</t>
  </si>
  <si>
    <t xml:space="preserve">Nacascolo </t>
  </si>
  <si>
    <t>El Triunfo</t>
  </si>
  <si>
    <t>Vado</t>
  </si>
  <si>
    <t>Socavación</t>
  </si>
  <si>
    <t>Ampliacion Vado</t>
  </si>
  <si>
    <t>Playa Iguanita</t>
  </si>
  <si>
    <t>5-01-035-00</t>
  </si>
  <si>
    <t>Reconstruccion Vado</t>
  </si>
  <si>
    <t>Playa Cabuyal</t>
  </si>
  <si>
    <t>5-01-010-00</t>
  </si>
  <si>
    <t>Quebrada El Ahogado</t>
  </si>
  <si>
    <t>Erosión del vado</t>
  </si>
  <si>
    <t>Construicción Vado Tipo Alcantarilla</t>
  </si>
  <si>
    <t>NICOYA</t>
  </si>
  <si>
    <t>Nicoya</t>
  </si>
  <si>
    <t xml:space="preserve">Sabana Grande </t>
  </si>
  <si>
    <t>5-02-002-00. Ent.N.921.Barrio San Martín Nicoya - Ent.N.21 Nambí, Escuela</t>
  </si>
  <si>
    <t>Daños en la calzada, cunetas y espaldones, camino cortado e intransitable.</t>
  </si>
  <si>
    <t>Relastreo de 15 cm a todo el camino</t>
  </si>
  <si>
    <t>La Sompopa, Dulce Nombre, La Virginia, Pilas Blancas</t>
  </si>
  <si>
    <t>5-02-045-00. Curime - Pilas Blancas</t>
  </si>
  <si>
    <t>Daños en la calzada, cunetas y espaldones.</t>
  </si>
  <si>
    <t>Quirimán</t>
  </si>
  <si>
    <t>5-02-063-00. Nicoya,Casa de ANDE - Quirimán</t>
  </si>
  <si>
    <t>Daños en la calzada, cunetas y espaldones, deslizamientos.</t>
  </si>
  <si>
    <t>Nosara</t>
  </si>
  <si>
    <t>Las Delicias</t>
  </si>
  <si>
    <t>C-5-02-018-00 Ruta Garza – Delicias</t>
  </si>
  <si>
    <t>Belén de Nosarita</t>
  </si>
  <si>
    <t>La Virginia</t>
  </si>
  <si>
    <t>C-5-02-216-00 Virginia – Montaña Grande, FCA Adonay Espinoza</t>
  </si>
  <si>
    <t>Daños en la calzada, cunetas y espaldones, deslizamientos, camino cortado.</t>
  </si>
  <si>
    <t>C-5-02-373-00 Virginia – Fila Picuda Cruce a Arcos</t>
  </si>
  <si>
    <t>Santa Marta</t>
  </si>
  <si>
    <t>C-5-02-181-00 Santa Marta – Rio Montaña Limite Santa Cruz</t>
  </si>
  <si>
    <t>Río Montaña, Miramar</t>
  </si>
  <si>
    <t xml:space="preserve">C-5-02-295-00 Miramar  – Rio Montaña </t>
  </si>
  <si>
    <t>C-5-02-217-00 Santa Marta – Barrio Los Angeles</t>
  </si>
  <si>
    <t>Los Angeles</t>
  </si>
  <si>
    <t>C-5-02-229-00 San Juan Cerro Ceibo  – Zaragoza, Plaza.</t>
  </si>
  <si>
    <t>C-5-02-122-00 Hotel Estancia – Nosara</t>
  </si>
  <si>
    <t>C-5-02-040-00 Nosara – Plaza Nosara</t>
  </si>
  <si>
    <t>Nosara, Santa Teresita</t>
  </si>
  <si>
    <t>C-5-02-046-00 Plaza Nosara – Sta Teresita, Nosara</t>
  </si>
  <si>
    <t>Nosara, Arenales</t>
  </si>
  <si>
    <t>C-5-02-047-00 Plaza Nosara – Arenales.</t>
  </si>
  <si>
    <t>C-5-02-347-00 Típico La Casona – Rancho Arenales.</t>
  </si>
  <si>
    <t>Nosara, Arenales, Cerro Ceibo</t>
  </si>
  <si>
    <t>C-5-02-348-00 Arenales – Cerro Ceibo.</t>
  </si>
  <si>
    <t>Lajas de Quirimán</t>
  </si>
  <si>
    <t>C-5-02-008-00 Dulce Nombre – Lajas, Plaza Escuela.</t>
  </si>
  <si>
    <t>Daños en la calzada, cunetas y espaldones, deslizamientos, camino cortado e intransitable.</t>
  </si>
  <si>
    <t>La Esperanza- Los Angeles</t>
  </si>
  <si>
    <t>C-5-02-048-00 La Esperanza Norte – Los Angeles, Escuela.</t>
  </si>
  <si>
    <t>Barco Quebrado</t>
  </si>
  <si>
    <t>C-5-02-072-00 Barco Quebrado – Playa Barco Quebrado.</t>
  </si>
  <si>
    <t>Cuesta Grande,Naranjal, Zaragoza.</t>
  </si>
  <si>
    <t>C-5-02-081-00 Cuesta Grande – Zaragoza, Plaza.</t>
  </si>
  <si>
    <t>Sámara</t>
  </si>
  <si>
    <t>Santo Domingo</t>
  </si>
  <si>
    <t>C-5-02-089-00 Rancho Vegas, Aserradero – Barrio Matapalo, Sámara.</t>
  </si>
  <si>
    <t>Playa Pelada</t>
  </si>
  <si>
    <t>C-5-02-125-00 Rótulo Lodge Vista de Mar – Hotel Lagar.</t>
  </si>
  <si>
    <t>C-5-02-124-00 Reserva Biológica – Hotel Lagarta Lodge.</t>
  </si>
  <si>
    <t>Playa Barrigona</t>
  </si>
  <si>
    <t>C-5-02-128-00 Arbol de Guanacaste, Esterones – Playa Barrigona.</t>
  </si>
  <si>
    <t>C-5-02-123-00 Reserva Nosara – Playa Pelada.</t>
  </si>
  <si>
    <t>Cerro Negro</t>
  </si>
  <si>
    <t>C-5-02-244-00 Miramar – Cerro Negro, Igleia,Escuela.</t>
  </si>
  <si>
    <t>La Esperanza, GarciMuñoz</t>
  </si>
  <si>
    <t>C-5-02-242-00 La Esperanza Norte  – Garci Muñoz.</t>
  </si>
  <si>
    <t>Ponedero</t>
  </si>
  <si>
    <t>C-5-02-346-00 Ponedero – Oriente, FCA Pánfilo Ponedero.</t>
  </si>
  <si>
    <t>C-5-02-251-00 El Jobo Ecuela – Oriente, Juan Díaz.</t>
  </si>
  <si>
    <t>San Juan, Pochote, Copal, Tortuguero</t>
  </si>
  <si>
    <t>C-5-02-19-00 San Juan – Tortuguero.</t>
  </si>
  <si>
    <t>La Esperanza, Colegio</t>
  </si>
  <si>
    <t>C-5-02-426-00 Esperanza Norte, Fca. G Ramos  – Esperanza Norte.</t>
  </si>
  <si>
    <t>C-5-02-410-00 Cuadrantes Calles Urbanas  – Barrio San Martín, Nicoya.</t>
  </si>
  <si>
    <t>Daños en la calzada, cunetas y espaldones, calles cortadas.</t>
  </si>
  <si>
    <t>C-5-02-065-00 Quebrachos – El Jobo,  Escuela.</t>
  </si>
  <si>
    <t>Santa Teresa</t>
  </si>
  <si>
    <t>C-5-02-046-00  Plaza Nosara– Santa Teresita, Nosara.</t>
  </si>
  <si>
    <t>Mala Noche</t>
  </si>
  <si>
    <t>Se necesita la Construcción de Un puente de 30 m para comunicar una comunidad del otro lado de  la Quebrada Mala Noche.</t>
  </si>
  <si>
    <t>San Juan</t>
  </si>
  <si>
    <t>Nacaome</t>
  </si>
  <si>
    <t>Puente Peatonal</t>
  </si>
  <si>
    <t>Puente que ha llegado a su vida útil, en pésimo estado, sin condiciones de tránsito peatonal, sin embargo debido a la necesidad, estudiantes lo utilizan. Ya se cuenta con estudios Hidrológicos del mismo.</t>
  </si>
  <si>
    <t>Reconstrucción total del puente</t>
  </si>
  <si>
    <t>Delicias de Garza</t>
  </si>
  <si>
    <t>C-5-02-18-00 San Delicias-Garza.</t>
  </si>
  <si>
    <t>Rio Garza</t>
  </si>
  <si>
    <t>Puente que ha llegado a su vida útil, en pésimo estado, sin condiciones de tránsito peatonal.</t>
  </si>
  <si>
    <t>Ruta nacional 160</t>
  </si>
  <si>
    <t>Rio Nosara</t>
  </si>
  <si>
    <t>Puente Santa Marta</t>
  </si>
  <si>
    <t>El puente estrangula el caudal de agua transportado por el dique. Por lo que, produjo el colapso de lasección Norte aguas abajo del dique.</t>
  </si>
  <si>
    <t>Es necesario eliminar el estrangulamiento del caudal de agua y ampliar la sección hidraulica construyendo un nuevo puente</t>
  </si>
  <si>
    <t>Quebrada La Barrialosa</t>
  </si>
  <si>
    <t>Puente</t>
  </si>
  <si>
    <t>Colapso de estructura</t>
  </si>
  <si>
    <t>Construcción de puente</t>
  </si>
  <si>
    <t>C-5-02-241-00  Quirimán– El Jobo.</t>
  </si>
  <si>
    <t>Canal que desemboca en Río Zapote</t>
  </si>
  <si>
    <t>Alcantarilla Doble de 80 cm de diámetro</t>
  </si>
  <si>
    <t>Capacidad hidráulica insuficiente</t>
  </si>
  <si>
    <t>Se podría construir una alcantarilla de cuadro</t>
  </si>
  <si>
    <t>Nosara centro</t>
  </si>
  <si>
    <t xml:space="preserve">Dique </t>
  </si>
  <si>
    <t>Reconstrucción de aproximdamente 400 metros lineales de la sección principal del dique. En el tramo de Santa Marta</t>
  </si>
  <si>
    <t>Reconstrucción de 400 metros lineales de la sección del dique, en el tramo de Santa Marta. Con las especificaciones técnicas descritas en la contratación EMER-026-2012</t>
  </si>
  <si>
    <t>Rio Montaña</t>
  </si>
  <si>
    <t>Sedimento de río</t>
  </si>
  <si>
    <t>Exceso de sedimentarios en la parte baja del río montaña</t>
  </si>
  <si>
    <t>Dragado de río</t>
  </si>
  <si>
    <t>Reconstrucción de aproximdamente 400 metros lineales de la sección principal del dique. En el tramo del aeropuerto.</t>
  </si>
  <si>
    <t>Reconstrucción de 80 metros lineales y 2 cabezales de la sección del dique, en el tramo del aeropuerto. Con las especificaciones técnicas descritas en la contratación EMER-026-2012</t>
  </si>
  <si>
    <t>01° Santa Cruz</t>
  </si>
  <si>
    <t>Santa Cruz centro y barrios aledaños (Barrio Estocolmo, Las Maravillas, Los Camarenos, Barrio Limón, Barrio Lajas, Tulita Sandino, Santa Cecilia, Barrio Tenorio, El Guabo, Buenos Aires, Chorotega, Guayabal, Esquipulas)</t>
  </si>
  <si>
    <t>5-03-049-00</t>
  </si>
  <si>
    <t>Afectación por exceso de escorrentía superficial.</t>
  </si>
  <si>
    <t>Conformación de calzada y cunetas. Lastreado total de las vías.</t>
  </si>
  <si>
    <t>Arado-Parque Nacional Diriá</t>
  </si>
  <si>
    <t>5-03-038-00</t>
  </si>
  <si>
    <t>Afectación por deslizamiento ocasionado por falla de talud.</t>
  </si>
  <si>
    <t>Remoción de material que interrumpe el paso por la vía.</t>
  </si>
  <si>
    <t>San Juan, La Lechuza, Santa María</t>
  </si>
  <si>
    <t>5-03-155-00</t>
  </si>
  <si>
    <t>Conformación de calzada y cunetas. Lastreado total de la vía y restitución de pasos de alcantarilla.</t>
  </si>
  <si>
    <t>5-03-190-00</t>
  </si>
  <si>
    <t>Conformación de calzada y cuneta. Lastreado total de la vía.</t>
  </si>
  <si>
    <t>San Juan y Chumico</t>
  </si>
  <si>
    <t>5-03-156-00</t>
  </si>
  <si>
    <t>Conformación de calzada y cunetas. Bacheo mecanizado, lastreado total de la vía y restitución de un paso de alcantarilla.</t>
  </si>
  <si>
    <t>Hato Viejo y Arado</t>
  </si>
  <si>
    <t>5-03-020-00</t>
  </si>
  <si>
    <t>Conformación de calzada y cunetas. Lastreado total de la vía.</t>
  </si>
  <si>
    <t xml:space="preserve"> La Garuba</t>
  </si>
  <si>
    <t>5-03-075-00</t>
  </si>
  <si>
    <t>Arado centro</t>
  </si>
  <si>
    <t>5-03-261-00</t>
  </si>
  <si>
    <t>La Esperanza, Los Ángeles, Vista al Mar</t>
  </si>
  <si>
    <t>5-03-258-00</t>
  </si>
  <si>
    <t>Limpieza, remoción de material, conformación de calzada, cunetas, taludes y lastreado total de la vía.</t>
  </si>
  <si>
    <t>Cacao y Bernabela</t>
  </si>
  <si>
    <t>5-03-104-00</t>
  </si>
  <si>
    <t>Bernabela</t>
  </si>
  <si>
    <t>5-03-076-00</t>
  </si>
  <si>
    <t>Afectación por exceso de escorrentía superficial y por inundación en parte de la vía por las aguas del Río Diriá.</t>
  </si>
  <si>
    <t>Limpieza, remoción de material, conformación de calzada, cunetas y lastreado total de la vía.</t>
  </si>
  <si>
    <t>Montegalán</t>
  </si>
  <si>
    <t>5-03-298-00</t>
  </si>
  <si>
    <t>San José de la Montaña</t>
  </si>
  <si>
    <t>5-03-042-00</t>
  </si>
  <si>
    <t>Remoción de árboles, restitución de pasos de alcantarilla, bacheo mecanizado, conformación de superficie de ruedo y cunetas. Lastreado total de la vía.</t>
  </si>
  <si>
    <t>Lagunilla</t>
  </si>
  <si>
    <t>5-03-050-00</t>
  </si>
  <si>
    <t>Bacheo mecanizado, conformación de calzada, conformación de cunetas, restitución de pasos de alcantarilla y lastreado total de las calles.</t>
  </si>
  <si>
    <t>Lagunilla y Mojal</t>
  </si>
  <si>
    <t>5-03-081-00</t>
  </si>
  <si>
    <t>Bacheo mecanizado, conformación de calzada, conformación de cunetas, restitución de pasos de alcantarilla y lastreado total de la vía.</t>
  </si>
  <si>
    <t>Río Cañas Viejo</t>
  </si>
  <si>
    <t>5-03-264-00</t>
  </si>
  <si>
    <t>Camino completamente inundado por las aguas del Río Diriá y Río Cañas.</t>
  </si>
  <si>
    <t>02° Bolsón</t>
  </si>
  <si>
    <t>Ortega y Bolsón</t>
  </si>
  <si>
    <t>5-03-163-00</t>
  </si>
  <si>
    <t>Anegamiento total de la vía por desbordamiento del Río Charco.</t>
  </si>
  <si>
    <t>Conformación y bacheo mecanizado.</t>
  </si>
  <si>
    <t>Barrio Estocolmo y Residencial Los Amigos</t>
  </si>
  <si>
    <t>5-03-166-00</t>
  </si>
  <si>
    <t>Inundación total de casas y comercios por destrucción total de dique en una longitud aproximada de 800 metros. Aproximadamente 100 viviendas inundadas.</t>
  </si>
  <si>
    <t>Reconstrucción de dique, construcción de obra de protección en margen izquierda y rehabilitación de la sección hidráulica del río.</t>
  </si>
  <si>
    <t>Barrio Estocolmo y Barrio El Cacao</t>
  </si>
  <si>
    <t>El puente colgante que comunica los dos barrios sufrió severos daños por el impacto de árboles que cayeron al cauce del río.</t>
  </si>
  <si>
    <t>Reparar estructura del puente.</t>
  </si>
  <si>
    <t>La Garuba</t>
  </si>
  <si>
    <t>5-03-157-00</t>
  </si>
  <si>
    <t>El puente colgante que comunica el sector de La Garuba, al otro lado del río, fue impactado y totalmente destruido por grandes árboles que cayeron al cauce. Varias familias incomunicadas.</t>
  </si>
  <si>
    <t>Construir un nuevo puente colgante.</t>
  </si>
  <si>
    <t>La Lechuza</t>
  </si>
  <si>
    <t xml:space="preserve">Bacheo mecanizado, conformación de calzada, conformación de cunetas y lastreado total de la vía.
</t>
  </si>
  <si>
    <t>Santa Bárbara y Oriente</t>
  </si>
  <si>
    <t>5-03-217-00</t>
  </si>
  <si>
    <t>Barrio El Cacao</t>
  </si>
  <si>
    <t>Los accesos al puente vehícular-peatonal, fueron totalmente anegados por el desbordamiento de las aguas del río. Sector noreste de Barrio El Cacao estuvo incomunicado por varias horas.</t>
  </si>
  <si>
    <t>Levantar el nivel de la superficie de rodamiento de las calles que dan acceso al puente y de una parte de sus rellenos de aproximación.</t>
  </si>
  <si>
    <t>Ortega</t>
  </si>
  <si>
    <t>5-03-062-00</t>
  </si>
  <si>
    <t>Bolsón</t>
  </si>
  <si>
    <t>5-03-063-00</t>
  </si>
  <si>
    <t>Bacheo mecanizado, conformación de calzada, conformación de cunetas y lastreado total de las calles.</t>
  </si>
  <si>
    <t>03° Veintisiete de Abril</t>
  </si>
  <si>
    <t>5-03-153-00</t>
  </si>
  <si>
    <t>Guapote</t>
  </si>
  <si>
    <t>5-03-152-00</t>
  </si>
  <si>
    <t>Guapote, Las Delicias, Cañas gordas</t>
  </si>
  <si>
    <t>5-03-291-00</t>
  </si>
  <si>
    <t>Bacheo mecanizado, conformación de calzada, conformación de cunetas y lastreado total de la vía.</t>
  </si>
  <si>
    <t>Los Jobos</t>
  </si>
  <si>
    <t>5-03-072-00</t>
  </si>
  <si>
    <t>Veintisiete de Abril</t>
  </si>
  <si>
    <t>5-03-269-00</t>
  </si>
  <si>
    <t>5-03-052-00</t>
  </si>
  <si>
    <t>Paraíso, Los Pargos, Playa Negra, Lagartillo, Avellanas, Pinilla, Hernández</t>
  </si>
  <si>
    <t>5-03-067-00</t>
  </si>
  <si>
    <t>Afectación por exceso de escorrentía superficial. Un tramo de la vía fue inundada por aguas de la Quebrada Guacalillo.</t>
  </si>
  <si>
    <t>Bacheo mecanizado, conformación de calzada, conformación de cunetas y lastreado total de la vía y colocación de pasos de alcantarilla</t>
  </si>
  <si>
    <t>Hatillo, Los Ranchos, Linderos</t>
  </si>
  <si>
    <t>5-03-004-00</t>
  </si>
  <si>
    <t>San Francisco</t>
  </si>
  <si>
    <t>5-03-003-00</t>
  </si>
  <si>
    <t xml:space="preserve">Las Mesas, Florida, Socorro, Río Verde, Alemania </t>
  </si>
  <si>
    <t>5-03-045-00</t>
  </si>
  <si>
    <t>Afectación por exceso de escorrentía superficial. Derrumbes por fallas de taludes y árboles caídos en la vía.</t>
  </si>
  <si>
    <t>Limpieza de material sobre la vía, remoción de árboles, conformación de taludes. Bacheo mecanizado, conformación de calzada, conformación de cunetas y lastreado total de la vía. Construcción de puente sobre Río Tabaco, a la altura de Espabelar.</t>
  </si>
  <si>
    <t>Las Pilas, Florida y Venado</t>
  </si>
  <si>
    <t>5-03-094-00</t>
  </si>
  <si>
    <t>Paraíso, Las Parcelas</t>
  </si>
  <si>
    <t>5-03-095-00</t>
  </si>
  <si>
    <t>04° Tempate</t>
  </si>
  <si>
    <t>Tempate</t>
  </si>
  <si>
    <t>5-03-058-00</t>
  </si>
  <si>
    <t>5-03-023-00</t>
  </si>
  <si>
    <t>Bacheo mecanizado, conformación de calzada, conformación de cunetas y lastreado total de la vía. Colocación de pasos de alcantarilla.</t>
  </si>
  <si>
    <t>5-03-080-00</t>
  </si>
  <si>
    <t>Bacheo mecanizado, conformación de calzada, conformación de cunetas y lastreado total de la vía. Construcción de un puente sobre la Quebrada Cacao y restitución de pasos de alcantarilla.</t>
  </si>
  <si>
    <t>Portegolpe</t>
  </si>
  <si>
    <t>5-03-054-00</t>
  </si>
  <si>
    <t>Afectación por exceso de escorrentía superficial. Inundación de calles.</t>
  </si>
  <si>
    <t>Bacheo mecanizado, conformación de calzada, conformación de cunetas y lastreado total de las calles. Construcción de sistemas de evacuación de aguas pluviales.</t>
  </si>
  <si>
    <t>Portegolpe y Santa Rosa</t>
  </si>
  <si>
    <t>5-03-093-00</t>
  </si>
  <si>
    <t>Bacheo mecanizado, conformación de calzada, conformación de cunetas. Restitución de pasos de alcantarilla.</t>
  </si>
  <si>
    <t>El Llano</t>
  </si>
  <si>
    <t>5-03-055-00</t>
  </si>
  <si>
    <t>Bacheo mecanizado, conformación de calzada, conformación de cunetas. Restitución de pasos de alcantarilla. Construcción de sistemas de evacuación de aguas convencionales.</t>
  </si>
  <si>
    <t>5-03-056-00</t>
  </si>
  <si>
    <t>05° Cartagena</t>
  </si>
  <si>
    <t>Cartagena centro</t>
  </si>
  <si>
    <t>Ruta nacional</t>
  </si>
  <si>
    <t xml:space="preserve">Bacheo mecanizado, conformación de calzada, conformación de cunetas y lastreado total de la vía. </t>
  </si>
  <si>
    <t>5-03-059-00</t>
  </si>
  <si>
    <t>El Edén</t>
  </si>
  <si>
    <t>5-03-008-00</t>
  </si>
  <si>
    <t>Bacheo mecanizado, conformación de calzada, conformación de cunetas y lastreado total de la vía. Construcción de sistemas de evacuación de aguas pluviales.</t>
  </si>
  <si>
    <t>5-03-007-00</t>
  </si>
  <si>
    <t>Lorena</t>
  </si>
  <si>
    <t>5-03-091-00</t>
  </si>
  <si>
    <t>5-03-011-00</t>
  </si>
  <si>
    <t>Afectación por exceso de escorrentía superficial. Vía inundada.</t>
  </si>
  <si>
    <t>Florida, Socorro, Alemania y La Unión</t>
  </si>
  <si>
    <t>5-03-047-00</t>
  </si>
  <si>
    <t>Afectación por exceso de escorrentía superficial, derrumbes y caída de árboles.</t>
  </si>
  <si>
    <t>Limpieza de material y árboles. Bacheo mecanizado, conformación de calzada, conformación de cunetas y lastreado total de la vía.</t>
  </si>
  <si>
    <t>San Juanillo</t>
  </si>
  <si>
    <t>5-03-283-00</t>
  </si>
  <si>
    <t>Bacheo mecanizado, conformación de calzada, conformación de cunetas y lastreado total de la vía. Restitución de paso de alcantarilla. Construcción de sistemas de evacuación de aguas pluviales.</t>
  </si>
  <si>
    <t>Palmares</t>
  </si>
  <si>
    <t>5-03-048-00</t>
  </si>
  <si>
    <t>Bacheo mecanizado, conformación de calzada, conformación de cunetas y lastreado total de la vía. Restitución de paso de alcantarilla.</t>
  </si>
  <si>
    <t>Marbella y Playa Frijolar</t>
  </si>
  <si>
    <t>5-03-079-00</t>
  </si>
  <si>
    <t>Bacheo mecanizado, conformación de calzada, conformación de cunetas y lastreado total de la vía. Restitución de pasos de alcantarilla. Construcción de sistemas de evacuación de aguas pluviales.</t>
  </si>
  <si>
    <t>Santa Bárbara</t>
  </si>
  <si>
    <t>5-03-061-00</t>
  </si>
  <si>
    <t>Afectación por exceso de escorrentía superficial y falla en talud en la margen del rio Santa Barbara, el cual inabilitó el paso hacia los angeles</t>
  </si>
  <si>
    <t>Bacheo mecanizado, conformación de calzada, conformación de cunetas y lastreado total de la vía. Construcción de sistemas de evacuación de aguas pluviales.  Construccción de una obra de protección en la margen del rio Santa Barbara para habilitar el paso hacia los Angeles.</t>
  </si>
  <si>
    <t>5-03-204-00</t>
  </si>
  <si>
    <t>Los Ángeles, Espabelar, Los Duendes</t>
  </si>
  <si>
    <t>5-03-214-00</t>
  </si>
  <si>
    <t xml:space="preserve">Afectación por exceso de escorrentía superficial. </t>
  </si>
  <si>
    <t>Restitución de camino, construcción de obra de protección en margen izquierda del Río Santa Bárbara. Bacheo mecanizado, conformación de calzada, conformación de cunetas y lastreado total de la vía. Construcción de sistemas de evacuación de aguas pluviales.</t>
  </si>
  <si>
    <t>San Pedro</t>
  </si>
  <si>
    <t>5-03-015-00</t>
  </si>
  <si>
    <t>San Pedro y Los Ángeles</t>
  </si>
  <si>
    <t>San Pedro y Espabelar</t>
  </si>
  <si>
    <t>Los Duendes</t>
  </si>
  <si>
    <t>5-03-213-00</t>
  </si>
  <si>
    <t>Sequeira</t>
  </si>
  <si>
    <t>5-03-235-00</t>
  </si>
  <si>
    <t>San Miguel y Diriá</t>
  </si>
  <si>
    <t>5-03-017-00</t>
  </si>
  <si>
    <t>San Miguel</t>
  </si>
  <si>
    <t>5-03-168-00</t>
  </si>
  <si>
    <t>Matapalo</t>
  </si>
  <si>
    <t>5-03-057-00</t>
  </si>
  <si>
    <t>Lomas</t>
  </si>
  <si>
    <t>5-03-065-00</t>
  </si>
  <si>
    <t>Playa Real</t>
  </si>
  <si>
    <t>5-03-034-00</t>
  </si>
  <si>
    <t>Salinas</t>
  </si>
  <si>
    <t>5-03-009-00</t>
  </si>
  <si>
    <t>Colinas</t>
  </si>
  <si>
    <t>5-03-294-00</t>
  </si>
  <si>
    <t>Playa Grande</t>
  </si>
  <si>
    <t>5-03-292-00</t>
  </si>
  <si>
    <t>Playa Ventanas</t>
  </si>
  <si>
    <t>5-03-132-00</t>
  </si>
  <si>
    <t>5-03-293-00</t>
  </si>
  <si>
    <t>La Garita Vieja</t>
  </si>
  <si>
    <t>5-03-143-00</t>
  </si>
  <si>
    <t>La Garita Vieja y La Garita Nueva</t>
  </si>
  <si>
    <t>5-03-144-00</t>
  </si>
  <si>
    <t>Playa Brasilito</t>
  </si>
  <si>
    <t>5-03-295-00</t>
  </si>
  <si>
    <t>Playa Flamingo</t>
  </si>
  <si>
    <t>5-03-139-00</t>
  </si>
  <si>
    <t>5-03-266-00</t>
  </si>
  <si>
    <t>San Juan y Arado</t>
  </si>
  <si>
    <t>5-03-263-00</t>
  </si>
  <si>
    <t>San Juan y La Lechuza</t>
  </si>
  <si>
    <t>La Esperanza</t>
  </si>
  <si>
    <t>5-03-272-00</t>
  </si>
  <si>
    <t>Bacheo mecanizado, conformación de calzada, conformación de cunetas y lastreado total de la vía. Construcción de puentes sobre Río En Medio y Quebradas.</t>
  </si>
  <si>
    <t>Los Ángeles</t>
  </si>
  <si>
    <t>5-03-019-00</t>
  </si>
  <si>
    <t>Bacheo mecanizado, conformación de calzada, conformación de cunetas y lastreado total de la vía. Construcción de puente sobre Río En Medio.</t>
  </si>
  <si>
    <t xml:space="preserve">Vista al Mar y San Juanillo </t>
  </si>
  <si>
    <t>5-03-046-00</t>
  </si>
  <si>
    <t>Bacheo mecanizado, conformación de calzada, conformación de cunetas y lastreado total de la vía. Construcción de pasos de alcantarilla.</t>
  </si>
  <si>
    <t>Moya</t>
  </si>
  <si>
    <t>5-03-022-00</t>
  </si>
  <si>
    <t>Los Camarenos</t>
  </si>
  <si>
    <t>5-03-030-00</t>
  </si>
  <si>
    <t>Chircó y Lagunilla</t>
  </si>
  <si>
    <t>5-03-078-00</t>
  </si>
  <si>
    <t>5-03-259-00</t>
  </si>
  <si>
    <t>5-03-102-00</t>
  </si>
  <si>
    <t>5-03-060-00</t>
  </si>
  <si>
    <t>Cacao, Bernabela, La Danta, cantones que disponen los residuos sólidos en el Parque Tecnológico Ambiental</t>
  </si>
  <si>
    <t>5-03-089-00</t>
  </si>
  <si>
    <t>Bacheo mecanizado, conformación de calzada, conformación de cunetas y lastreado total de la vía. Construcción de sistema de evacuación de aguas pluviales.</t>
  </si>
  <si>
    <t>Hatillo</t>
  </si>
  <si>
    <t>5-03-053-00</t>
  </si>
  <si>
    <t>Trapiche</t>
  </si>
  <si>
    <t>5-03-002-00</t>
  </si>
  <si>
    <t>Las Brisas</t>
  </si>
  <si>
    <t>5-03-044-00</t>
  </si>
  <si>
    <t>Limpieza de material sobre la vía, remoción de árboles, conformación de taludes. Bacheo mecanizado, conformación de calzada, conformación de cunetas y lastreado total de la vía.</t>
  </si>
  <si>
    <t>09° Tamarindo</t>
  </si>
  <si>
    <t>Playa Tamarindo y Playa Langosta</t>
  </si>
  <si>
    <t>5-03-257-00</t>
  </si>
  <si>
    <t>Afectación por exceso de escorrentía superficial, principalmente en superficie en lastre.</t>
  </si>
  <si>
    <t>Playa Tamarindo centro</t>
  </si>
  <si>
    <t>5-03-277-00</t>
  </si>
  <si>
    <t>Playa Tamarindo centro y Cerro Koen</t>
  </si>
  <si>
    <t>Playa Tamarindo, Urbanización Puesta del Sol</t>
  </si>
  <si>
    <t>Bacheo mecanizado, conformación de calzada, conformación de cunetas y lastreado total de la vía. Construcción de un nuevo sistema de evacuación de aguas pluviales en el sector Urbanización Puesta del Sol-Ruta Nacional N° 152-Desfogue en la playa.</t>
  </si>
  <si>
    <t>Refundores</t>
  </si>
  <si>
    <t>5-03-131-00</t>
  </si>
  <si>
    <t>El Llanito</t>
  </si>
  <si>
    <t>5-03-127-00</t>
  </si>
  <si>
    <t>Playa Tamarindo y El Llanito</t>
  </si>
  <si>
    <t>5-03-130-00</t>
  </si>
  <si>
    <t>Bacheo mecanizado, conformación de calzada, conformación de cunetas y lastreado total de la vía. Construcción de un puente sobre el Río San Andrés.</t>
  </si>
  <si>
    <t>5-03-006-00</t>
  </si>
  <si>
    <t>Construcción de una nueva estructura de pavimento asfáltico y de sistemas de evacuación de aguas pluviales.</t>
  </si>
  <si>
    <t>Santa Rosa, Guatemala, Linderos</t>
  </si>
  <si>
    <t>5-03-066-00</t>
  </si>
  <si>
    <t>Santa Rosa y Villarreal</t>
  </si>
  <si>
    <t>5-03-013-00</t>
  </si>
  <si>
    <t>5-03-122-00</t>
  </si>
  <si>
    <t>La Garita Nueva</t>
  </si>
  <si>
    <t>5-03-124-00</t>
  </si>
  <si>
    <t>´Caserío Los Mangos</t>
  </si>
  <si>
    <t>La Garita Nueva, La Garita Vieja</t>
  </si>
  <si>
    <t>Bacheo mecanizado, conformación de calzada, conformación de cunetas y lastreado total de la vía. Construcción de puente en río.</t>
  </si>
  <si>
    <t>Linderos y San Francisco</t>
  </si>
  <si>
    <t>5-03-121-00</t>
  </si>
  <si>
    <t>Limpieza, bacheo mecanizado, conformación de calzada, conformación de cunetas y lastreado total de la vía.</t>
  </si>
  <si>
    <t>Villarreal</t>
  </si>
  <si>
    <t>Sin clasificar</t>
  </si>
  <si>
    <t>Salinitas</t>
  </si>
  <si>
    <t>Playa Minas</t>
  </si>
  <si>
    <t>5-03-012-00</t>
  </si>
  <si>
    <t>Paraíso</t>
  </si>
  <si>
    <t>5-03-027-00</t>
  </si>
  <si>
    <t>Limpieza, bacheo mecanizado, conformación de calzada, conformación de cunetas y lastreado total de la vía. Construir un puente sobre el Río En Medio.</t>
  </si>
  <si>
    <t>San Pedro viejo</t>
  </si>
  <si>
    <t>5-03-165-00</t>
  </si>
  <si>
    <t>Limpieza, bacheo mecanizado, conformación de calzada, conformación de cunetas y lastreado total de las calles.</t>
  </si>
  <si>
    <t>5-03-086-00</t>
  </si>
  <si>
    <t>Guaitil, Oriente</t>
  </si>
  <si>
    <t>5-03-092-00</t>
  </si>
  <si>
    <t>Las Mesas, Florida</t>
  </si>
  <si>
    <t>Manzanillo, Barrosa</t>
  </si>
  <si>
    <t>5-03-096-00</t>
  </si>
  <si>
    <t>Playa Negra</t>
  </si>
  <si>
    <t>5-03-099-00</t>
  </si>
  <si>
    <t>Callejones, Playa Junquillal</t>
  </si>
  <si>
    <t>5-03-151-00</t>
  </si>
  <si>
    <t>Los Pargos-Pinilla</t>
  </si>
  <si>
    <t>5-03-084-00</t>
  </si>
  <si>
    <t>La Garita Nueva, Huacas</t>
  </si>
  <si>
    <t>Los Mangos</t>
  </si>
  <si>
    <t>5-03-254-00</t>
  </si>
  <si>
    <t>Las Pilas</t>
  </si>
  <si>
    <t>5-03-154-00</t>
  </si>
  <si>
    <t>Limpieza, bacheo mecanizado, conformación de calzada, conformación de cunetas y lastreado total de la vía. Restitución de paso de alcantarilla.</t>
  </si>
  <si>
    <t>Caña Fistola-Pinilla</t>
  </si>
  <si>
    <t>5-03-037-00</t>
  </si>
  <si>
    <t>Limpieza, bacheo mecanizado, conformación de calzada, conformación de cunetas y lastreado total de la vía. Reconstrucción de estructuras de paso sobre las QuebradasYuca y Marcos</t>
  </si>
  <si>
    <t>Caserío El Tronco</t>
  </si>
  <si>
    <t>5-03-162-00</t>
  </si>
  <si>
    <t>Pinilla, Paraíso</t>
  </si>
  <si>
    <t>5-03-147-00</t>
  </si>
  <si>
    <t>SANTA CRUZ</t>
  </si>
  <si>
    <t>Santa Cruz</t>
  </si>
  <si>
    <t>Diriá</t>
  </si>
  <si>
    <t>Veintisiete de Abril y Cuajiniquil</t>
  </si>
  <si>
    <t>Cartagena</t>
  </si>
  <si>
    <t>Cuajiniquil</t>
  </si>
  <si>
    <t>Cabo Velas</t>
  </si>
  <si>
    <t>Tamarindo</t>
  </si>
  <si>
    <t xml:space="preserve"> Cartagena</t>
  </si>
  <si>
    <t>Tamarindo y Tempate</t>
  </si>
  <si>
    <t xml:space="preserve"> Veintisiete de Abril</t>
  </si>
  <si>
    <t>Santa Rosa-Polideportivo (Camino sin clasificar)</t>
  </si>
  <si>
    <t>Quebrada la Escuela</t>
  </si>
  <si>
    <t>Alcantarilla de Cuadro</t>
  </si>
  <si>
    <t>Pérdida sustancial del concreto de recubrimiento de la losa del puente vehícular que comunica el centro de Santa Rosa con el Polideportivo de esa comunidad. El acero de refuerzo está expuesto, por lo que hay dificultad de tránsito.</t>
  </si>
  <si>
    <t>Reparar losa</t>
  </si>
  <si>
    <t>Potrero</t>
  </si>
  <si>
    <t>5-03-148-00</t>
  </si>
  <si>
    <t>Quebrada Pilas</t>
  </si>
  <si>
    <t>Puente vehicular</t>
  </si>
  <si>
    <t>Paso inhabilitado por varias horas en puente sobre Quebrada Pilas, entrada a Playa Potrero. Paso inhabilitado porque las aguas de la quebrada sobrepasaron, en significativa magnitud, el nivel de la superestructura del puente.</t>
  </si>
  <si>
    <t>Construcción de puente nuevo</t>
  </si>
  <si>
    <t>La Garuba, Arado, San José de la Montaña</t>
  </si>
  <si>
    <t>Río Diria</t>
  </si>
  <si>
    <t>Puente colgante para uso peatonal, aproximadamente 40 metros de longitud.</t>
  </si>
  <si>
    <t>Puente totalmente arrasado y destruido por impacto de árbol que cayó en cauce del río.</t>
  </si>
  <si>
    <t>Construcción de puente peatonal nuevo.</t>
  </si>
  <si>
    <t>Río En Medio</t>
  </si>
  <si>
    <t>Puente colgante para uso peatonal, aproximadamente 20 metros de longitud.</t>
  </si>
  <si>
    <t>Estructura deformada de puente por impacto de árbol que cayó al cauce del río.</t>
  </si>
  <si>
    <t>Reparación de estructura de puente</t>
  </si>
  <si>
    <t>Río San Juan</t>
  </si>
  <si>
    <t>Socavamiento de cimiento de pila de puente.</t>
  </si>
  <si>
    <t>Reparación de cimiento de puente</t>
  </si>
  <si>
    <t>El Cacao y Río Seco</t>
  </si>
  <si>
    <t>Río Andamojo</t>
  </si>
  <si>
    <t>Puente colgante para uso peatonal, aproximadamente 30 metros de longitud.</t>
  </si>
  <si>
    <t>Cuatro calles, Urbanización Surfside</t>
  </si>
  <si>
    <t>5-03-300-00</t>
  </si>
  <si>
    <t>Quebrada Guapes</t>
  </si>
  <si>
    <t>Puente para uso peatonal, aproximadamente 30 metros de longitud.</t>
  </si>
  <si>
    <t>Construcción de puente vehícular-peatonal</t>
  </si>
  <si>
    <t>Cartagena centro y Barrio La Toyosa</t>
  </si>
  <si>
    <t>5-03-114-00</t>
  </si>
  <si>
    <t>Quebrada La Toyosa</t>
  </si>
  <si>
    <t>Puente para uso peatonal, aproximadamente 20 metros de longitud.</t>
  </si>
  <si>
    <t>Socavamiento significativo en cimientos de las pilas del puente</t>
  </si>
  <si>
    <t>Construcción de un puente vehícular-peatonal.</t>
  </si>
  <si>
    <t>El Socorro, Alemania, La Unión, Espavelar</t>
  </si>
  <si>
    <t>Río Tabaco</t>
  </si>
  <si>
    <t>Puente para uso peatonal, aproximadamente 40 metros de longitud.</t>
  </si>
  <si>
    <t>Estructura deformada por impacto de árbol que cayó al cauce del río.</t>
  </si>
  <si>
    <t>5-03-205-00</t>
  </si>
  <si>
    <t>Río Santa Bárbara</t>
  </si>
  <si>
    <t>Cimiento expuesto de pila por erosión de la margen derecha del Río.</t>
  </si>
  <si>
    <t>Construcción de obra de protección en margen del río</t>
  </si>
  <si>
    <t xml:space="preserve"> Tempate</t>
  </si>
  <si>
    <t>5-03-085-00</t>
  </si>
  <si>
    <t xml:space="preserve">Quebrada Charcón </t>
  </si>
  <si>
    <t>Paso de alcantarilla</t>
  </si>
  <si>
    <t>Pérdida de rellenos de acceso, arrasados por las corrientes de la quebrada. Vía incomunicada.</t>
  </si>
  <si>
    <t>Reconstrucción de rellenos de aproxuiación muro de gaviones para proteger nel relleno de nuevas socavaciones y obras de evacación pluvuial aledañas a la estructura.</t>
  </si>
  <si>
    <t>Cebadilla</t>
  </si>
  <si>
    <t>Quebrada Yuca</t>
  </si>
  <si>
    <t>Alcantarilla Metálica</t>
  </si>
  <si>
    <t>Pérdida sustancial del relleno de aproximación.</t>
  </si>
  <si>
    <t>Reconstruir el relleno de aproximación y los cabezales de concreto</t>
  </si>
  <si>
    <t>Quebrada Marcos</t>
  </si>
  <si>
    <t>Vado en concreto</t>
  </si>
  <si>
    <t>El vado se encuentra muy dañado por el golpe de arboles y material que arrastró el rio.</t>
  </si>
  <si>
    <t xml:space="preserve">Construcción de paso de alcantarilla. </t>
  </si>
  <si>
    <t>Pinilla</t>
  </si>
  <si>
    <t>Quebrada Huacalito</t>
  </si>
  <si>
    <t>El vado se encuentra muy dañado por el golpe de arboles y material que arrastró el rio, además que por su baja capacidad hidraulica imposibilita el paso cuando hay grandes crecidas.</t>
  </si>
  <si>
    <t xml:space="preserve">El paso de alcantarilla tiene muy poca capacidad, y cuando hay avenidas máximas corta el paso, además </t>
  </si>
  <si>
    <t>Santa Cruz centro, Barrio Santa Cecilia, Barrio Limón, Barrio El Cacao, Los Churucos, Los Camisita, Bernabela y Río Cañas Viejo.</t>
  </si>
  <si>
    <t>Río Diriá</t>
  </si>
  <si>
    <t>Inundación de viviendas, carreteras (Ruta Nacional N° 21) y caminos públicos.</t>
  </si>
  <si>
    <t>2 km de carretera y aproximadamente 150 viviendas inundadas</t>
  </si>
  <si>
    <t>Incomunicación por carreteras y caminos anegados. Pérdidas de enseres y equipo en viviendas anegadas.</t>
  </si>
  <si>
    <t>Rehabilitación de la sección hidráulica del cauce del Río Diriá. Limpieza, recaba y extracción de material del cauce del Río Diriá, en una longitud total aproximada de 20 km.</t>
  </si>
  <si>
    <t>Barrio Tucurrique, Barrio Lajas, Barrio Esquipulas, Barrio Panamá, Residencial Corobicí 2, Barrio Estocolmo, Barrio Las Maravillas y Barrio El Cacao.Todos estos barrios del sector este, sureste y noreste de la ciudad de Santa Cruz.</t>
  </si>
  <si>
    <t>Inundación de viviendas y calles públicas.</t>
  </si>
  <si>
    <t>500 metros de calles públicas y aproximadamente 100 viviendas inundadas.</t>
  </si>
  <si>
    <t>Incomunicación por calles públicas inundadas. Pérdidas de enseres y equipo en viviendas anegadas.</t>
  </si>
  <si>
    <t>Rehabilitación de la sección hidráulica del cauce del Río En Medio. Limpieza, recaba y extracción de material del cauce del Río En Medio, en una longitud total aproximada de 6 km. Reconstrucción de dique en Tucurrique, Barrio Esquipulas y en tramo Corobici 2-Estocolmo-Las Maravillas, para una longitud total de 1000 metros.</t>
  </si>
  <si>
    <t>Camino público San Juan - La Lechuza.</t>
  </si>
  <si>
    <t>75 metros de camino público.</t>
  </si>
  <si>
    <t>Disminución significativa de ancho de camino público debido a socavación provocada por las corrientes del Río San Juan.</t>
  </si>
  <si>
    <t>Rehabilitación de la sección hidráulica del cauce del Río San Juan. Limpieza, recaba y extracción de material del cauce del Río San Juan, en una longitud total aproximada de 500 metros. Reconstrucción de dique en la comuniadad de La Lechuza, para una longitud total de 75 metros.</t>
  </si>
  <si>
    <t>Terrenos de fincas dedicados a la agricultura y a laganadería.</t>
  </si>
  <si>
    <t>200 hectáreas</t>
  </si>
  <si>
    <t>Anegamiento de terrenos por desbordamiento del Río San Juan.</t>
  </si>
  <si>
    <t>Rehabilitación de la sección hidráulica del cauce del Río San Juan. Limpieza, recaba y extracción de material del cauce del Río San Juan, en una longitud total aproximada de 6 km.</t>
  </si>
  <si>
    <t>Quebrada La Lima</t>
  </si>
  <si>
    <t>Lotes urbanos de tipo redidencial</t>
  </si>
  <si>
    <t>10 lotes</t>
  </si>
  <si>
    <t>Erosión de margen de la quebrada, lo que produjo una significativa pérdida de terreno en lotes y riesgo de estabilidad para viviendas.</t>
  </si>
  <si>
    <t>Rehabilitación de la sección hidráulica del cauce de la Qeubrada La Liman. Limpieza, recaba y extracción de material del cauce de la Quebrada La Lima, en una longitud total aproximada de 1 km.</t>
  </si>
  <si>
    <t>Lotes urbanos de tipo residencial y viviendas.</t>
  </si>
  <si>
    <t>50 viviendas y lotes</t>
  </si>
  <si>
    <t>Anegamiento de terrenos, lotes y viviendas, por desbordamiento del Río Cañas.</t>
  </si>
  <si>
    <t>Construcción de dique en la margen derecha del Río Cañas, para protección de la comunidad de Río Cañas. Longitud total aproximada de dique: 500 metros.</t>
  </si>
  <si>
    <t>Río Charco</t>
  </si>
  <si>
    <t>Anegamiento total de la Ruta Nacional Oriente - Ortega.</t>
  </si>
  <si>
    <t>300 viviendas</t>
  </si>
  <si>
    <t>300 viviendas incomunicadas y 50 viviendas inundadas.</t>
  </si>
  <si>
    <t>Rehabilitación de la sección hidráulica del cauce del Río Charco. Limpieza y recaba del cauce del Río Charco, en una longitud total aproximada de 10 km. Elevación del nivel de la rasante de la ruta nacional mencionada en un tramo aproximado de 8 kilómetros y una altura mínima de 2,0 metros.</t>
  </si>
  <si>
    <t>Río Bolsón</t>
  </si>
  <si>
    <t>50 viviendas</t>
  </si>
  <si>
    <t>Anegamiento total de viviendas por desbordamiento del Río Bolsón (cauce viejo y cauce actual).</t>
  </si>
  <si>
    <t xml:space="preserve">Rehabilitación de la sección hidráulica del cauce del Río Bolsón. Limpieza y recaba del cauce del Río Bolsón, en una longitud total aproximada de 5 km. </t>
  </si>
  <si>
    <t>Río Arenal</t>
  </si>
  <si>
    <t>Inundación de viviendas, carreteras (Ruta Nacional N° 160) y caminos públicos.</t>
  </si>
  <si>
    <t>1 km de carretera y aproximadamente 50 viviendas inundadas</t>
  </si>
  <si>
    <t>Rehabilitación de la sección hidráulica del cauce del Río Arenal. Limpieza, recaba y extracción de material del cauce del Río Arenal, en una longitud total aproximada de 10 km.</t>
  </si>
  <si>
    <t>Río Seco y Barrio El Cacao</t>
  </si>
  <si>
    <t>1 km de carretera y aproximadamente 75 viviendas inundadas</t>
  </si>
  <si>
    <t>Rehabilitación de la sección hidráulica del cauce del Río Andamojo. Limpieza, recaba y extracción de material del cauce del Río Andamojo, en una longitud total aproximada de 2 km. Construcción de dique en una longitud total de 1000 metros.</t>
  </si>
  <si>
    <t>Río Limones</t>
  </si>
  <si>
    <t>Inundación de viviendas, carreteras y caminos públicos.</t>
  </si>
  <si>
    <t>Aproximadamente 20 viviendas inundadas</t>
  </si>
  <si>
    <t>Pérdidas de enseres y equipo en viviendas anegadas.</t>
  </si>
  <si>
    <t>Rehabilitación de la sección hidráulica del cauce del Río Limones. Limpieza, recaba y extracción de material del cauce del Río Limones, en una longitud total aproximada de 3 km.</t>
  </si>
  <si>
    <t>Barrio Cuatro Calles, Playa Potrero</t>
  </si>
  <si>
    <t>Camino público de acceso a Barrio Cuatro Calles.</t>
  </si>
  <si>
    <t>100 metros</t>
  </si>
  <si>
    <t>Inhabilitación de camino público anegado por desbordamiento de Quebrada Guapes.</t>
  </si>
  <si>
    <t>Rehabilitación de la sección hidráulica del cauce de la Quebrada Guapes. Limpieza, recaba y extracción de material del cauce de la Quebrada  Guapes, en una longitud total aproximada de 1 km.</t>
  </si>
  <si>
    <t>Playa Potrero centro</t>
  </si>
  <si>
    <t>Puente de acceso a la comunidad.</t>
  </si>
  <si>
    <t>Un puente</t>
  </si>
  <si>
    <t>Inhabilitación de puente de acceso a la comunidad, por desbordamiento de la Quebrada Pilas. Aproximadamente 500 personas incomunicadas.</t>
  </si>
  <si>
    <t>Rehabilitación de la sección hidráulica del cauce de la Quebrada Pilas. Limpieza, recaba y extracción de material del cauce de la Quebrada  Pilas, en una longitud total aproximada de 1 km.</t>
  </si>
  <si>
    <t>Barrio El Edén, Barrio Los Ángeles, Barrio Lourdes y centro de Cartagena.</t>
  </si>
  <si>
    <t>Quebrada Lomas</t>
  </si>
  <si>
    <t>Dique de protección y margenes de la quebrada.</t>
  </si>
  <si>
    <t>100 viviendas y 2 km de calles y caminos públicos</t>
  </si>
  <si>
    <t>Inundación de viviendas, calles y caminos públicos, debido a destrucción de dique de protección. Erosión significativa de margenes.</t>
  </si>
  <si>
    <t>Rehabilitación de la sección hidráulica del cauce de la Quebrada Lomas y sus afluentes. Limpieza del cauce de la Quebrada  Lomas, en una longitud total aproximada de 1 km. Reconstrucción de dique destruido en una longitud aproximada de 100 metros</t>
  </si>
  <si>
    <t>Barrio La Toyosa</t>
  </si>
  <si>
    <t>Inundación de viviendas, carreteras (Ruta Nacional N° 910) y calles públicas.</t>
  </si>
  <si>
    <t>50 viviendas y 500 metros de carreteras, calles y caminos públicos</t>
  </si>
  <si>
    <t>Inundación de viviendas, calles y caminos públicos, debido a desbordamiento de Quebrada La Toyosa. Erosión significativa de margen derecha de la quebrada.</t>
  </si>
  <si>
    <t>Rehabilitación de la sección hidráulica del cauce de la Quebrada La Toyosa. Limpieza del cauce de la Quebrada  La Toyosa, en una longitud total aproximada de 1 km. Construcción de dique en una longitud aproximada de 500 metros</t>
  </si>
  <si>
    <t>07° Diria</t>
  </si>
  <si>
    <t>Terrenos de fincas dedicados a la agricultura y a laganadería, camino público Santa Bárbara-Los Ángeles y Santa Bárbara -San Miguel (Por la Plazuela).</t>
  </si>
  <si>
    <t>50 héctaréas y 5 kilómetros de camino público.</t>
  </si>
  <si>
    <t>Pérdida de área de terreno por socavación producida por por la acción erosiva de las corrientes de agua del río.</t>
  </si>
  <si>
    <t>Rehabilitación de la sección hidráulica del cauce del Río Santa Bárbara. Limpieza, recaba y extracción de material del cauce del Río Santa Bárbara, en una longitud total aproximada de 3 km. Reconstrucción de dique para protección de margenes colindando con caminos, en una longitud total de 150 metros.</t>
  </si>
  <si>
    <t xml:space="preserve">Rehabilitación de la sección hidráulica del cauce del Río San Andrés. Limpieza, recaba y extracción de material del cauce del Río San Andrés, en una longitud total aproximada de 6 km. </t>
  </si>
  <si>
    <t>Santa Rosa, Villarreal, El Llanito, Refundores</t>
  </si>
  <si>
    <t>Río San Andrés</t>
  </si>
  <si>
    <t>Viviendas, comercios, carreteras (Ruta Nacional N° 152), lotes, terrenos y caminos públicos.</t>
  </si>
  <si>
    <t>50 viviendas y 2 km de carreteras y caminos públicos</t>
  </si>
  <si>
    <t>Anegamiento total de viviendas, carreteras y caminos por desbordamiento del Río San Andrés.</t>
  </si>
  <si>
    <t xml:space="preserve">Bagaces </t>
  </si>
  <si>
    <t>Huaquitas</t>
  </si>
  <si>
    <t xml:space="preserve">5-04-010 </t>
  </si>
  <si>
    <t xml:space="preserve">Superficies de ruedos con daños considerables en  su capa de rodamiento por la saturacion de agua de los suelos </t>
  </si>
  <si>
    <t xml:space="preserve">conformacion y relastrado en la superficie de ruedo </t>
  </si>
  <si>
    <t>Pijije</t>
  </si>
  <si>
    <t xml:space="preserve">5-04-017                      </t>
  </si>
  <si>
    <t>Zanja del Barro</t>
  </si>
  <si>
    <t xml:space="preserve">5-04-018 </t>
  </si>
  <si>
    <t xml:space="preserve">Llanos del Cortes Marañonal y bejuquito </t>
  </si>
  <si>
    <t xml:space="preserve">5-04-035  </t>
  </si>
  <si>
    <t xml:space="preserve">San Ramon </t>
  </si>
  <si>
    <t xml:space="preserve">5-004-017 </t>
  </si>
  <si>
    <t>Montenegro</t>
  </si>
  <si>
    <t>5-04-011</t>
  </si>
  <si>
    <t xml:space="preserve">Montenegro agua caliente </t>
  </si>
  <si>
    <t>5-04-049</t>
  </si>
  <si>
    <t xml:space="preserve">5-04-033 </t>
  </si>
  <si>
    <t xml:space="preserve">Agua caliente bebedero  </t>
  </si>
  <si>
    <t xml:space="preserve">5-04-015 </t>
  </si>
  <si>
    <t xml:space="preserve">El Salto  </t>
  </si>
  <si>
    <t>5-04-010</t>
  </si>
  <si>
    <t xml:space="preserve">El Rastro  </t>
  </si>
  <si>
    <t xml:space="preserve">5-04-021 </t>
  </si>
  <si>
    <t>Montano</t>
  </si>
  <si>
    <t xml:space="preserve">5-04-001  </t>
  </si>
  <si>
    <t xml:space="preserve">La francesa </t>
  </si>
  <si>
    <t xml:space="preserve">camino Francesa  Rio Chiricano </t>
  </si>
  <si>
    <t xml:space="preserve">chile mico pintado </t>
  </si>
  <si>
    <t xml:space="preserve">5-04-050   </t>
  </si>
  <si>
    <t xml:space="preserve">puente Quemado </t>
  </si>
  <si>
    <t xml:space="preserve">Salitral </t>
  </si>
  <si>
    <t>5-04-032</t>
  </si>
  <si>
    <t xml:space="preserve">Guayabo </t>
  </si>
  <si>
    <t xml:space="preserve">Limonal </t>
  </si>
  <si>
    <t xml:space="preserve">5-04-025    </t>
  </si>
  <si>
    <t>San Jorge  cementerio</t>
  </si>
  <si>
    <t>5-04-037</t>
  </si>
  <si>
    <t xml:space="preserve">San Isidro </t>
  </si>
  <si>
    <t>5-04-023</t>
  </si>
  <si>
    <t xml:space="preserve">Pueblo Nuevo </t>
  </si>
  <si>
    <t>5-04-007</t>
  </si>
  <si>
    <t>5-04-006</t>
  </si>
  <si>
    <t xml:space="preserve">Rio Naranjo </t>
  </si>
  <si>
    <t xml:space="preserve">Sector Este </t>
  </si>
  <si>
    <t xml:space="preserve">Rio Chiquito </t>
  </si>
  <si>
    <t xml:space="preserve">Fortuna </t>
  </si>
  <si>
    <t xml:space="preserve">Los  Rodriguez </t>
  </si>
  <si>
    <t xml:space="preserve">cuipilapa San Bernardo </t>
  </si>
  <si>
    <t>5-04-081</t>
  </si>
  <si>
    <t xml:space="preserve">BAGACES </t>
  </si>
  <si>
    <t>5-04-015</t>
  </si>
  <si>
    <t xml:space="preserve">rio Bebedero </t>
  </si>
  <si>
    <t xml:space="preserve">puente peatonal  de hamacas con tablones </t>
  </si>
  <si>
    <t xml:space="preserve">dañoe en la superestructura del puente peatonal </t>
  </si>
  <si>
    <t xml:space="preserve">cambio de tablones cambio de vigas y amarres   estudio diseño y construccion </t>
  </si>
  <si>
    <t xml:space="preserve">El Chile </t>
  </si>
  <si>
    <t xml:space="preserve">Quebrada sin nombre </t>
  </si>
  <si>
    <t>paso de alcantarillas</t>
  </si>
  <si>
    <t xml:space="preserve">se lavo por completo el material exixtente </t>
  </si>
  <si>
    <t xml:space="preserve">Consteruccion de cabezales y construccion de losa </t>
  </si>
  <si>
    <t xml:space="preserve">la Francesa </t>
  </si>
  <si>
    <t>rio Chiricano</t>
  </si>
  <si>
    <t xml:space="preserve">Vado </t>
  </si>
  <si>
    <t xml:space="preserve">daños importantes en la lsa del bado  y desimentacion de alcntarillas </t>
  </si>
  <si>
    <t>CARRILLO</t>
  </si>
  <si>
    <t>FILADELFIA</t>
  </si>
  <si>
    <t>Filadelfia</t>
  </si>
  <si>
    <t>5-05-031-00 de Calles Urbanas (Cuadrantes) a Calles Urbanas Cuadrantes  Filadelfia</t>
  </si>
  <si>
    <t>Socavaiento de de la pared del Dique, provocando desprendimiento exesivo del talud existente</t>
  </si>
  <si>
    <t xml:space="preserve">Colocacion de material grueso para la reconstruccion del Dique, </t>
  </si>
  <si>
    <t>5-05-082-00 de (Ent.N.920) Cementerio de Filadelfia a fin de camino</t>
  </si>
  <si>
    <t xml:space="preserve">Erocion, agrietamiento en la superficie de ruedo de los caminos </t>
  </si>
  <si>
    <t>Se debe realizar trabajos de conformación de calzada y elementos de drenajes y salidas de aguas</t>
  </si>
  <si>
    <t>Guacimada</t>
  </si>
  <si>
    <t>5-05-078-00 de(ENT.N.920) Finca La Guanislama a (Ent.N.920) Antigua Arrocera Palo Blanco</t>
  </si>
  <si>
    <t>Guinea</t>
  </si>
  <si>
    <t>5-05-077-00 de Calles Urbanas Cuadrantes a La Guinea Filadelfia</t>
  </si>
  <si>
    <t>Corralillos</t>
  </si>
  <si>
    <t>5-05-076-00 (ENT. C04) Calles de Corralillos a (ENT. C25) Calles de Corralillos</t>
  </si>
  <si>
    <t>Cruce de Guinea a Cruce de Ballena</t>
  </si>
  <si>
    <t>5-05-004-00 (ENT.R.920) Cruce a Corralillos a (Ent. RN920) Cruce a Puerto Ballena, pueblos Ortega-Bolsón</t>
  </si>
  <si>
    <t>Rio Cañas a Corralillos</t>
  </si>
  <si>
    <t>5-05-025-00 de (Ent.C.55) Cuadrantes de Rio Cañas a (Ent.C.76) Calles de Corralillos de Filadelfia</t>
  </si>
  <si>
    <t>Cruce de ballena al Puerto Ballena</t>
  </si>
  <si>
    <t>5-05-029-00 de (Ent.N.920) Cruce a Puerto Ballena a Fin de Camino Límite Cantonal</t>
  </si>
  <si>
    <t>Verolis</t>
  </si>
  <si>
    <t>5-05-088-00 de Calles Urbanas Cuadrantes a Barrio el Verolís</t>
  </si>
  <si>
    <t>Camino  del Colegio</t>
  </si>
  <si>
    <t>5-05-089-00 de (Ent.N.21) Camino contiguo al Colegio a Fin de Camino</t>
  </si>
  <si>
    <t>B° Los Jocotes</t>
  </si>
  <si>
    <t>5-05-090-00 (Ent. RN21) 1era. entrada lado derecho, Bº Los Jocotes a (Ent. RN21) 2da. entrada lado derecho , Bº Los Jocotes</t>
  </si>
  <si>
    <t>PALMIRA</t>
  </si>
  <si>
    <t>5-05-034-00 de Calles Urbanas (Cuadrantes) a Palmira de Carrillo</t>
  </si>
  <si>
    <t>Paso Tempisque</t>
  </si>
  <si>
    <t>5-05-099-00 Calles  Urbanas (Cuadrantes)  Paso tempisque</t>
  </si>
  <si>
    <t>Entrada a Exporpac</t>
  </si>
  <si>
    <t>5-05-037-00 de (Ent.N.21) Palmira a Hda. El Porvenir</t>
  </si>
  <si>
    <t>Iglesia Los Angeles</t>
  </si>
  <si>
    <t>5-05-103-00 de (Ent.RN21) 0+080 sur de Iglesia Los Ángeles, a Fin de Camino</t>
  </si>
  <si>
    <r>
      <t xml:space="preserve">5-05-104-00 </t>
    </r>
    <r>
      <rPr>
        <sz val="8"/>
        <rFont val="Arial"/>
        <family val="2"/>
      </rPr>
      <t>de (Ent.N.21) Iglesia Los Ángeles a Fin de Camino Bajo Tempisque</t>
    </r>
  </si>
  <si>
    <t>Camino a Comunidad</t>
  </si>
  <si>
    <t>5-05-105-00 (Ent.RN21) 0+350 NO de iglesia Los Ángeles, a Fin de Camino</t>
  </si>
  <si>
    <t>El Cucuy</t>
  </si>
  <si>
    <t>5-05-106-00 de (Ent.N.21) Frente a la gasolinera  a (Ent.N.151) Cementerio barrio el Cucuy</t>
  </si>
  <si>
    <t>Calles Comunidad</t>
  </si>
  <si>
    <t>5-05-107-00 de Calles Urbanas Cuadrantes a Comunidad de Carrillo</t>
  </si>
  <si>
    <t>5-05-109-00 de (Ent.N.21) Frente a la Escuela a Cementerio Barrio Cucuy</t>
  </si>
  <si>
    <t>Calles detrás de la Escuela</t>
  </si>
  <si>
    <t>5-05-108-00(Ent.RN21) Calles (cuadrantes) Bº San Martín, Comunidad. a (Ent.RN21) Calles (cuadrantes) Bº San Martín, Comunidad.</t>
  </si>
  <si>
    <t>Monte Galan</t>
  </si>
  <si>
    <r>
      <t>5-05-110-00 (Ent.RN253) 5+000 NO de Do it Center, Comunidad.</t>
    </r>
    <r>
      <rPr>
        <sz val="12"/>
        <rFont val="Times New Roman"/>
        <family val="1"/>
      </rPr>
      <t xml:space="preserve"> </t>
    </r>
    <r>
      <rPr>
        <sz val="8"/>
        <rFont val="Arial"/>
        <family val="2"/>
      </rPr>
      <t>(Ent.RN253) 5+780 NO de Do it Center, Comunidad.</t>
    </r>
  </si>
  <si>
    <t>SARDINAL</t>
  </si>
  <si>
    <t>La Libertad</t>
  </si>
  <si>
    <t>5-05-008-00 de Calles (Ent.N.912) La Libertad, Sardinal a Fin de camino finca San Antonio</t>
  </si>
  <si>
    <t>Camino a Plias</t>
  </si>
  <si>
    <t>5-05-009-00 de (Ent.C.033) Cuadrantes de Sardinal a Límite Cantonal Pilas</t>
  </si>
  <si>
    <t>Carpintero a Artola por dentro</t>
  </si>
  <si>
    <t>5-05-010-00 de (Ent. Río Sardinal) Barrio Nicomedes a (Ent.N.911) Camino Viejo hacia Artola</t>
  </si>
  <si>
    <t>Canopi a Zapotal</t>
  </si>
  <si>
    <t>5-05-011-00 de (Ent.N.911) Canopy, Nuevo Colón a Fin de Camino Playa Zapotal</t>
  </si>
  <si>
    <t>del RIU a la Playa</t>
  </si>
  <si>
    <t>5-05-012-00 de (Ent.N.911) Nuevo Colón Plaza de deportes a Fin de Camino Playa Matapalo</t>
  </si>
  <si>
    <t>Cruce de Sta Rita a RAASA</t>
  </si>
  <si>
    <t>5-05-014-00 de  (Ent.N.151) Santa Rita de (Ent.N.254)  Plantel RAASA</t>
  </si>
  <si>
    <t>Nancital - Obandito</t>
  </si>
  <si>
    <t>5-05-016-00 de (Ent.C.9) Caserío Nancital a Fin de Camino Quebrada Contreras</t>
  </si>
  <si>
    <t>Altos del Roble</t>
  </si>
  <si>
    <t>5-05-028-00 de (Ent.N.253) a Fin de Camino Altos del Roble</t>
  </si>
  <si>
    <t>Sardinal, sectores en lastre</t>
  </si>
  <si>
    <t>5-05-033-00 de Calles Urbanas (Cuadrantes) a Cuadrantes Sardinal de Carrillo</t>
  </si>
  <si>
    <t>Playas del Coco</t>
  </si>
  <si>
    <t>5-05-035-00 de Calles Urbanas (Cuadrantes) a Playas del Coco</t>
  </si>
  <si>
    <t>B° Verdum a Pueblo Panama</t>
  </si>
  <si>
    <t>5-05-040-00 de (Ent.C.116) Servicentro Sardinal a (Ent.C.27) Pueblo Panamá</t>
  </si>
  <si>
    <t>B° Tabores</t>
  </si>
  <si>
    <t>5-05-043-00 de Cruce Nancital de Sardinal a Entrada a Tabores</t>
  </si>
  <si>
    <t>Artolita</t>
  </si>
  <si>
    <t>5-05-047-00 de (Ent.C.09) Cruce Obandito a (Ent.N.911) Escuela de Artola</t>
  </si>
  <si>
    <t>San Blas</t>
  </si>
  <si>
    <t>5-05-050-00 de Calles Urbanas Cuadrantes a San Blas de Carrillo</t>
  </si>
  <si>
    <t>B° Carpintero</t>
  </si>
  <si>
    <t>5-05-111-00 de (Ent.N.911) Barrio el Carpintero  a (Ent.C.10) Barrio el Carpintero</t>
  </si>
  <si>
    <t>5-05-113-00 de Calles Urbanas Cuadrantes a La Libertad, Sardinal</t>
  </si>
  <si>
    <t>Sapal a Sta Rita</t>
  </si>
  <si>
    <t>5-05-114-00 de Calles Urbanas Cuadrantes a El Sapal Sardinal</t>
  </si>
  <si>
    <t>BELEN</t>
  </si>
  <si>
    <t>Rio Cañas, sectores en lastre</t>
  </si>
  <si>
    <r>
      <t xml:space="preserve">CALLES URBANAS (CUADRANTES) - RÍO CAÑAS DE BELÉN </t>
    </r>
    <r>
      <rPr>
        <b/>
        <sz val="8"/>
        <rFont val="Arial"/>
        <family val="2"/>
      </rPr>
      <t>5-05-55</t>
    </r>
  </si>
  <si>
    <t>Palestina</t>
  </si>
  <si>
    <r>
      <t>(ENT.RN21) El Bosque, PALESTINA - (ENT.RN155) Bº La Villita, BELÉN</t>
    </r>
    <r>
      <rPr>
        <b/>
        <sz val="8"/>
        <rFont val="Arial"/>
        <family val="2"/>
      </rPr>
      <t xml:space="preserve"> 5-05-005</t>
    </r>
  </si>
  <si>
    <t>La Villita</t>
  </si>
  <si>
    <r>
      <t xml:space="preserve">CALLES y CUADRANTES - Bº LA VILLITA DE BELÉN </t>
    </r>
    <r>
      <rPr>
        <b/>
        <sz val="8"/>
        <rFont val="Arial"/>
        <family val="2"/>
      </rPr>
      <t>5-05-056</t>
    </r>
  </si>
  <si>
    <t>Guanislama</t>
  </si>
  <si>
    <r>
      <t xml:space="preserve">(Ent.RN21) Palestina- LA GUANISLAMA - (Ent. C53) Cuadrantes de Sta. Ana de Belén </t>
    </r>
    <r>
      <rPr>
        <b/>
        <sz val="8"/>
        <rFont val="Arial"/>
        <family val="2"/>
      </rPr>
      <t>5-05-030</t>
    </r>
  </si>
  <si>
    <t>Santa Ana</t>
  </si>
  <si>
    <t>CALLES URBANAS (CUADRANTES) - SANTA ANA DE BELÉN 5-05-053</t>
  </si>
  <si>
    <t>Coyolito</t>
  </si>
  <si>
    <t>CALLES URBANAS (CUADRANTES) - COYOLITO DE BELÉN 5-05-054</t>
  </si>
  <si>
    <t>Belen</t>
  </si>
  <si>
    <r>
      <t>CALLES URBANAS (CUADRANTES) - BELEN DE CARRILLO</t>
    </r>
    <r>
      <rPr>
        <b/>
        <sz val="8"/>
        <rFont val="Arial"/>
        <family val="2"/>
      </rPr>
      <t xml:space="preserve"> 5-05-032</t>
    </r>
  </si>
  <si>
    <t>Sto Domingo Planes</t>
  </si>
  <si>
    <r>
      <t xml:space="preserve">(ENT. C007) Cruce a Sto. Domingo-Los Planes - (Ent. C052) Cuadrantes de Los Planes </t>
    </r>
    <r>
      <rPr>
        <b/>
        <sz val="8"/>
        <rFont val="Arial"/>
        <family val="2"/>
      </rPr>
      <t>5-05-006</t>
    </r>
  </si>
  <si>
    <t>Belen San Blas</t>
  </si>
  <si>
    <r>
      <t xml:space="preserve">(ENT. RN912) HUACAS DE SAN BLAS - (Ent. C32) Calles Urb. De Belén (Urb. Ana Paula) </t>
    </r>
    <r>
      <rPr>
        <b/>
        <sz val="8"/>
        <rFont val="Arial"/>
        <family val="2"/>
      </rPr>
      <t>5-05-007</t>
    </r>
  </si>
  <si>
    <t>Belen Molinos</t>
  </si>
  <si>
    <r>
      <t>(ENT. RN.21) Bº LOS MOLINOS, BELÉN - (ENT. RN.21) Bº LOS MOLINOS, BELÉN</t>
    </r>
    <r>
      <rPr>
        <b/>
        <sz val="8"/>
        <rFont val="Arial"/>
        <family val="2"/>
      </rPr>
      <t xml:space="preserve"> 5-05-060 </t>
    </r>
  </si>
  <si>
    <t>Calle de CEMEX</t>
  </si>
  <si>
    <r>
      <t xml:space="preserve">(ENT.RN.21) TAJO GALLINA -CEMEX - (ENT.C07) LOMA BONITA-OJOCHAL </t>
    </r>
    <r>
      <rPr>
        <b/>
        <sz val="8"/>
        <rFont val="Arial"/>
        <family val="2"/>
      </rPr>
      <t>5-05-039</t>
    </r>
  </si>
  <si>
    <r>
      <t xml:space="preserve">(Ent. RN21) 0+630 S.O. de Caserío Las Palmas de Belén. - (Ent. C07) Castilla de Oro </t>
    </r>
    <r>
      <rPr>
        <b/>
        <sz val="8"/>
        <rFont val="Arial"/>
        <family val="2"/>
      </rPr>
      <t>5-05-046</t>
    </r>
  </si>
  <si>
    <t>Camino Gallina</t>
  </si>
  <si>
    <r>
      <t xml:space="preserve">(Ent. RN21) Las Palmas - (Ent. RN21) Bº Gallina, Belén. </t>
    </r>
    <r>
      <rPr>
        <b/>
        <sz val="8"/>
        <rFont val="Arial"/>
        <family val="2"/>
      </rPr>
      <t>5-05-071</t>
    </r>
  </si>
  <si>
    <t>Asentamiento Filadelfia</t>
  </si>
  <si>
    <r>
      <t xml:space="preserve">(Ent. C71) Las Palmas- Bº Gallina, Belén. - Ent. fin de camino, finca privada. </t>
    </r>
    <r>
      <rPr>
        <b/>
        <sz val="8"/>
        <rFont val="Arial"/>
        <family val="2"/>
      </rPr>
      <t>5-05-097</t>
    </r>
  </si>
  <si>
    <t xml:space="preserve">Sto Domingo a Castilla de Oro, </t>
  </si>
  <si>
    <r>
      <t xml:space="preserve">CALLES URBANAS (CUADRANTES) - SANTO DOMINGO DE BELÉN </t>
    </r>
    <r>
      <rPr>
        <b/>
        <sz val="8"/>
        <rFont val="Arial"/>
        <family val="2"/>
      </rPr>
      <t>5-05-051</t>
    </r>
  </si>
  <si>
    <t>Planes y camino Poro Poro</t>
  </si>
  <si>
    <r>
      <t xml:space="preserve">CALLES URBANAS (CUADRANTES) - LOS PLANES  DE BELÉN </t>
    </r>
    <r>
      <rPr>
        <b/>
        <sz val="8"/>
        <rFont val="Arial"/>
        <family val="2"/>
      </rPr>
      <t>5-05-052</t>
    </r>
  </si>
  <si>
    <t>5-05-035 CALLES URBANAS (CUADRANTES) - PLAYAS DEL COCO</t>
  </si>
  <si>
    <t>Quebrada Alcornoque</t>
  </si>
  <si>
    <t xml:space="preserve">Puente Vado de alcantarillas, con loza de concreto reforzado </t>
  </si>
  <si>
    <t xml:space="preserve">Socavación de Rellenos de Aproximación </t>
  </si>
  <si>
    <t xml:space="preserve">ALTA </t>
  </si>
  <si>
    <t>Reemplazar el puente vado por un puente Vehicular (22 mts)</t>
  </si>
  <si>
    <t>Sardinal</t>
  </si>
  <si>
    <t>5-05-033 CALLES URBANAS SARDINAL</t>
  </si>
  <si>
    <t xml:space="preserve">Río Sardinal </t>
  </si>
  <si>
    <t xml:space="preserve">Puente Peatonal </t>
  </si>
  <si>
    <t xml:space="preserve">Socavación de las cimentaciones del Puente Peatonal </t>
  </si>
  <si>
    <t>Reconstrucción del puente dañado (60 mts)</t>
  </si>
  <si>
    <t>Playa Hermosa</t>
  </si>
  <si>
    <t xml:space="preserve">5-05-125 (Ent. RN159) 1era. Entrada a  Playa Hermosa - Calles públicas Playa Hermosa. </t>
  </si>
  <si>
    <t>Quebrada Vallejos</t>
  </si>
  <si>
    <r>
      <rPr>
        <sz val="11"/>
        <rFont val="Arial"/>
        <family val="2"/>
      </rPr>
      <t xml:space="preserve">Alcantarillas de Concreto reforzado C76- Clase III </t>
    </r>
    <r>
      <rPr>
        <sz val="11"/>
        <rFont val="Calibri"/>
        <family val="2"/>
      </rPr>
      <t>Ø</t>
    </r>
    <r>
      <rPr>
        <sz val="11"/>
        <rFont val="Arial"/>
        <family val="2"/>
      </rPr>
      <t xml:space="preserve"> = 0,60 mts (18 mts)</t>
    </r>
  </si>
  <si>
    <t xml:space="preserve">Socavación de los rellenos sobre las alcantarillas y de aproximación </t>
  </si>
  <si>
    <t xml:space="preserve">MEDIA </t>
  </si>
  <si>
    <t xml:space="preserve">Construcción de Alcantarilla de cuadro para el paso vehicular y peatonal hacia la Escuela de la Comunidad de Playa Hermosa </t>
  </si>
  <si>
    <t xml:space="preserve">La villita </t>
  </si>
  <si>
    <t>5-05-032 CALLES URBANAS (CUADRANTES) - Belén de Carrillo</t>
  </si>
  <si>
    <t xml:space="preserve">Río Belén </t>
  </si>
  <si>
    <t>Destrucción del puente peatonal</t>
  </si>
  <si>
    <t>Reemplazar el puente peatonal por un puente nuevo (60 mts)</t>
  </si>
  <si>
    <t>Playa del Coco</t>
  </si>
  <si>
    <t>N.A.</t>
  </si>
  <si>
    <r>
      <rPr>
        <sz val="11"/>
        <rFont val="Arial"/>
        <family val="2"/>
      </rPr>
      <t xml:space="preserve">Alcantarillas de Metal Corrugado </t>
    </r>
    <r>
      <rPr>
        <sz val="11"/>
        <rFont val="Calibri"/>
        <family val="2"/>
      </rPr>
      <t>Ø</t>
    </r>
    <r>
      <rPr>
        <sz val="11"/>
        <rFont val="Arial"/>
        <family val="2"/>
      </rPr>
      <t xml:space="preserve"> = 2 mts (8 mts)</t>
    </r>
  </si>
  <si>
    <t xml:space="preserve">Socavación de los rellenos sobre las alcantarillas y de los cabezales  </t>
  </si>
  <si>
    <t>Reemplazar el puente alcantarilla por un puente Vehicular (18 mts)</t>
  </si>
  <si>
    <t>BAMBÚ</t>
  </si>
  <si>
    <t>SIN NOMBRE</t>
  </si>
  <si>
    <t xml:space="preserve">CAUCE </t>
  </si>
  <si>
    <t>DEPÓSITO DE MATERIAL EN EL CAUCE</t>
  </si>
  <si>
    <t>ALTA</t>
  </si>
  <si>
    <t>RECAVA</t>
  </si>
  <si>
    <t>LAS PALMAS</t>
  </si>
  <si>
    <t>DESBORDAMIENTO DEL RÍO PROVOCANDO INUNDACIONES POR FALTA CAPACIDAD EN EL CAUCE</t>
  </si>
  <si>
    <t>TEMPISQUE</t>
  </si>
  <si>
    <t>DIQUE</t>
  </si>
  <si>
    <t xml:space="preserve">FISURAS PROVOCADAS POR SATURACIÓN </t>
  </si>
  <si>
    <t>MEDIA</t>
  </si>
  <si>
    <t xml:space="preserve">OBRAS DE PROTECCIÓN LADERA DEL RÍO, ESTUDIOS DE ESTABILIZACIÓN </t>
  </si>
  <si>
    <t>BELÉN</t>
  </si>
  <si>
    <t>RÍO CAÑAS</t>
  </si>
  <si>
    <t>CAMINO</t>
  </si>
  <si>
    <t>SOCAVACIÓN Y PÉRDIDA PARTE DEL CAMINO</t>
  </si>
  <si>
    <t>RECUPERACIÓN DEL CAMINO POR MEDIO DE ESPIGONES U OTRO QUE INDIQUE ESTUDIO DE INGENIERÍA</t>
  </si>
  <si>
    <t>PALESTINA</t>
  </si>
  <si>
    <t>CARRIZAL</t>
  </si>
  <si>
    <t>OBRAS DE PROTECCIÓN LADERA DEL RÍO</t>
  </si>
  <si>
    <t>RECAVA Y LIMPIEZA</t>
  </si>
  <si>
    <t>RIO BRASIL</t>
  </si>
  <si>
    <t>PUENTE</t>
  </si>
  <si>
    <t xml:space="preserve">SOCAVACIÓN </t>
  </si>
  <si>
    <t>PLAYAS DEL COCO</t>
  </si>
  <si>
    <t>SAN FRANCISCO</t>
  </si>
  <si>
    <t>RECAVA, OBRAS DE PROTECCCIÓN Y LIMPIEZA</t>
  </si>
  <si>
    <t>ALCORNOQUE</t>
  </si>
  <si>
    <t>La Soledad</t>
  </si>
  <si>
    <t>Maicillal</t>
  </si>
  <si>
    <t>Playa Caletas</t>
  </si>
  <si>
    <t>Islita</t>
  </si>
  <si>
    <t>Playa Bejuco</t>
  </si>
  <si>
    <t>San Rafael</t>
  </si>
  <si>
    <t>Cacao</t>
  </si>
  <si>
    <t>Rio de Ora</t>
  </si>
  <si>
    <t>La Uvita</t>
  </si>
  <si>
    <t>Morote</t>
  </si>
  <si>
    <t>Tacaní</t>
  </si>
  <si>
    <t>Puerto San Pablo</t>
  </si>
  <si>
    <t>Puerto Thiel</t>
  </si>
  <si>
    <t>San Bosco</t>
  </si>
  <si>
    <t>Rio Blanco</t>
  </si>
  <si>
    <t>Pavones</t>
  </si>
  <si>
    <t>Canjelito</t>
  </si>
  <si>
    <t>Pilas de Canjel</t>
  </si>
  <si>
    <t>San Martin</t>
  </si>
  <si>
    <t>Bella Vista</t>
  </si>
  <si>
    <t>Corozalito</t>
  </si>
  <si>
    <t>La Guaria</t>
  </si>
  <si>
    <t>San Josecito</t>
  </si>
  <si>
    <t>Rio Ora</t>
  </si>
  <si>
    <t>La Leona</t>
  </si>
  <si>
    <t>Vista Mar</t>
  </si>
  <si>
    <t>Playa San Miguel</t>
  </si>
  <si>
    <t>La Y Griega</t>
  </si>
  <si>
    <t xml:space="preserve"> La Uvita</t>
  </si>
  <si>
    <t>LAS PARCELAS</t>
  </si>
  <si>
    <t>La Roxana</t>
  </si>
  <si>
    <t>Colonia del Valle</t>
  </si>
  <si>
    <t>Poilas de Bejuco</t>
  </si>
  <si>
    <t>Moravia</t>
  </si>
  <si>
    <t>San Francisco de Coyote</t>
  </si>
  <si>
    <t>San Jorge</t>
  </si>
  <si>
    <t>Playa Costa de Oro</t>
  </si>
  <si>
    <t>Puerto Coyote</t>
  </si>
  <si>
    <t>Rio de Oro</t>
  </si>
  <si>
    <t>Pencal</t>
  </si>
  <si>
    <t>La Rusia</t>
  </si>
  <si>
    <t>Las Parcelas</t>
  </si>
  <si>
    <t>Costa de Oro</t>
  </si>
  <si>
    <t>Camaronal</t>
  </si>
  <si>
    <t>El Carmen</t>
  </si>
  <si>
    <t>La Javilla</t>
  </si>
  <si>
    <t>Barrio Los Zorros</t>
  </si>
  <si>
    <t>Barrio Los Venegas</t>
  </si>
  <si>
    <t>Playa Camaronal</t>
  </si>
  <si>
    <t>Río Bejuco</t>
  </si>
  <si>
    <t>puente colapsado, bastiones socavados, sin paso</t>
  </si>
  <si>
    <t>puente derribado, bastiones socavados, paso regulado</t>
  </si>
  <si>
    <t>Río Santa Rita</t>
  </si>
  <si>
    <t>LA CRUZ</t>
  </si>
  <si>
    <t>San Luis</t>
  </si>
  <si>
    <t>PRESA SAN LUIS</t>
  </si>
  <si>
    <t>75 m</t>
  </si>
  <si>
    <t>Socavación de la estructura, sedimentación del canal y depósito de árboles (PRIMER IMPACTO)</t>
  </si>
  <si>
    <t>alto</t>
  </si>
  <si>
    <t xml:space="preserve">Limpieza de escombros y reconstrucción bordo margen derecha </t>
  </si>
  <si>
    <t>Río Magdalena</t>
  </si>
  <si>
    <t>PRESA MIGUEL PABLO DNGO BENAVIDES</t>
  </si>
  <si>
    <t>Colapso de compuerta en Presa Miguel Pablo dengo Benavides</t>
  </si>
  <si>
    <t>recosntrucción de la compuerta</t>
  </si>
  <si>
    <t>Rio Cañas</t>
  </si>
  <si>
    <t>TUBERIA DE BAJA PRESIÓN CANAL SUR II</t>
  </si>
  <si>
    <t>300 m</t>
  </si>
  <si>
    <t>Erosión del relleno en un tamo de 300 metros (PRIMER IMPACTO)</t>
  </si>
  <si>
    <t>Rellenar la tuberia y protegerla con un enrocamiento</t>
  </si>
  <si>
    <t>ZANJA LATERAL EST 14+800</t>
  </si>
  <si>
    <t>50 m</t>
  </si>
  <si>
    <t>Erosión de un tramo de la zanja en la intecección con río San Miguel</t>
  </si>
  <si>
    <t>medio</t>
  </si>
  <si>
    <t>Colocado de tuberia y relleno para habilitar paso</t>
  </si>
  <si>
    <t>SIFÓN CANAL CS-12-A</t>
  </si>
  <si>
    <t>Socavación de la estructura de entrada al sifón y de la tubería (PRIMER IMPACTO)</t>
  </si>
  <si>
    <t xml:space="preserve">Rellenar la tuberia </t>
  </si>
  <si>
    <t>Canal Sur II</t>
  </si>
  <si>
    <t xml:space="preserve">LOSAS DE REVESTIMIENTO CANAL SUR II </t>
  </si>
  <si>
    <t>30 m</t>
  </si>
  <si>
    <t>Colapso de losas del revestimiento por efecto del agua</t>
  </si>
  <si>
    <t>sustitución de losas</t>
  </si>
  <si>
    <t>DESLIZAMIENTOS TALUDES EXTERNOS CANAL SUR II</t>
  </si>
  <si>
    <t>Por efectos de las lluvias se han deslizado los taludes en algunos tramos (PRIMER IMPACTO)</t>
  </si>
  <si>
    <t>Remosión y traslado de material y conformación de taludes</t>
  </si>
  <si>
    <t>Lajas</t>
  </si>
  <si>
    <t>CAMINOS EN CANAL SUR II</t>
  </si>
  <si>
    <t>16,5 km</t>
  </si>
  <si>
    <t>Afectación de 16,5 km de caminos y caída de material de taludes en canal Sur II</t>
  </si>
  <si>
    <t>Reparación de los tramos caminos afectados</t>
  </si>
  <si>
    <t>La Pacifica</t>
  </si>
  <si>
    <t>Canal Oeste I</t>
  </si>
  <si>
    <t>DESLIZAMIENTOS TALUDES EXTERNOS CANAL OESTE I</t>
  </si>
  <si>
    <t>Por efectos de las lluvias se han deslizado los taludes en algunos tramos en canal Oeste I</t>
  </si>
  <si>
    <t xml:space="preserve">Remosión del material </t>
  </si>
  <si>
    <t>Canal Trasvase Corobicí</t>
  </si>
  <si>
    <t>CAMINOS EN TRASVASE COROBICI</t>
  </si>
  <si>
    <t>1 km</t>
  </si>
  <si>
    <t>Afectación 1 km caminos por perdida de base  y caida de material de taludes en canal Trasvase Corobicí</t>
  </si>
  <si>
    <t>Reconstrucción del camino</t>
  </si>
  <si>
    <t>Las Juntas</t>
  </si>
  <si>
    <t>La Palma</t>
  </si>
  <si>
    <t>COLAPSO DE SECCIÓN TRANSVERSAL CANAL SUR II</t>
  </si>
  <si>
    <t>Debido a exceso de lluvia el agua lavó totalmente bordo derecho del canal Sur II</t>
  </si>
  <si>
    <t>Recosntrucción de la sección del canal en 75 m</t>
  </si>
  <si>
    <t>2,5 km</t>
  </si>
  <si>
    <t>Afectación de 2,5 km caminos y caída de material de taludes en canal Sur II</t>
  </si>
  <si>
    <t>Canal CO-7</t>
  </si>
  <si>
    <t>CAMINOS EN EL CANAL CO-7</t>
  </si>
  <si>
    <t>12 km</t>
  </si>
  <si>
    <t>Afectación de 12 km caminos y caída de material de taludes</t>
  </si>
  <si>
    <t>San Ramón</t>
  </si>
  <si>
    <t>Canal Oeste II</t>
  </si>
  <si>
    <t xml:space="preserve">DERRUMBES EN  CANAL OESTE II </t>
  </si>
  <si>
    <t>15 km</t>
  </si>
  <si>
    <t>Caída de  derrumbes en los taludes del canal Oeste II, obstruyendolo</t>
  </si>
  <si>
    <t>Conformación de taludes</t>
  </si>
  <si>
    <t>Bagatzi</t>
  </si>
  <si>
    <t xml:space="preserve">DERRUMBES EN CAMINO DEL CANAL OESTE II </t>
  </si>
  <si>
    <t>15 m</t>
  </si>
  <si>
    <t xml:space="preserve">Derrumbes en bordes de camino del canal Oeste II, impidiendo paso de vehículos </t>
  </si>
  <si>
    <t>Relleno y conformación del camino</t>
  </si>
  <si>
    <t>SIFÓN RÍO CABUYO</t>
  </si>
  <si>
    <t>Socavamiento de la transición de salida del sifón rio Cabuyo</t>
  </si>
  <si>
    <t>Sustitución de la escollera de la transición de salida</t>
  </si>
  <si>
    <t>COLAPSO DE SECCIÓN TRANSVERSAL CANAL OESTE II</t>
  </si>
  <si>
    <t>Debido a exceso de agua lavó totalmente parte bordo izquierdo del canal oeste II</t>
  </si>
  <si>
    <t>Reconstricción del bordo izquierdo del canal</t>
  </si>
  <si>
    <t>Canal CO-13-3</t>
  </si>
  <si>
    <t>ALCANATRILLA EN CANAL CO 13-3</t>
  </si>
  <si>
    <t>Colapso del relleno del bordo izquierdo del canal CO-13-3</t>
  </si>
  <si>
    <t>Recosntrucción bordo izquiero y construicción de cabezal de alcantarilla</t>
  </si>
  <si>
    <t>BAGACES</t>
  </si>
  <si>
    <t>ABANGARES</t>
  </si>
  <si>
    <t>TARRAZÚ</t>
  </si>
  <si>
    <t xml:space="preserve">San Lorenzo </t>
  </si>
  <si>
    <t>105-020</t>
  </si>
  <si>
    <t>Deformacion de superficie de ruedo y lavado de material</t>
  </si>
  <si>
    <t>Incorporacion de material tipo lastre, en superficie de ruedo</t>
  </si>
  <si>
    <t>San Marcos</t>
  </si>
  <si>
    <t>El Balar</t>
  </si>
  <si>
    <t>105-022</t>
  </si>
  <si>
    <t>Bajo Los Morales</t>
  </si>
  <si>
    <t>105-028</t>
  </si>
  <si>
    <t>105-029</t>
  </si>
  <si>
    <t>Luz Cruz</t>
  </si>
  <si>
    <t>105-032</t>
  </si>
  <si>
    <t>San Lorenzo</t>
  </si>
  <si>
    <t>105-042</t>
  </si>
  <si>
    <t>La Laguna</t>
  </si>
  <si>
    <t>105-078</t>
  </si>
  <si>
    <t>Canet</t>
  </si>
  <si>
    <t>105-077</t>
  </si>
  <si>
    <t>La Pastora</t>
  </si>
  <si>
    <t>105-080</t>
  </si>
  <si>
    <t>El Vapor</t>
  </si>
  <si>
    <t>105-086</t>
  </si>
  <si>
    <t>Calle Vargas</t>
  </si>
  <si>
    <t>105-132</t>
  </si>
  <si>
    <t>105-135</t>
  </si>
  <si>
    <t>Bajo Canet</t>
  </si>
  <si>
    <t>105-141</t>
  </si>
  <si>
    <t>Don Mayo</t>
  </si>
  <si>
    <t>105-142</t>
  </si>
  <si>
    <t>María Auxiliadora</t>
  </si>
  <si>
    <t>105-143</t>
  </si>
  <si>
    <t>El Rodeo</t>
  </si>
  <si>
    <t>105-145</t>
  </si>
  <si>
    <t>San Guillermo</t>
  </si>
  <si>
    <t>105-148</t>
  </si>
  <si>
    <t>105-155</t>
  </si>
  <si>
    <t>El Salado</t>
  </si>
  <si>
    <t>105-156</t>
  </si>
  <si>
    <t>105-159</t>
  </si>
  <si>
    <t>Parritilla</t>
  </si>
  <si>
    <t>105-162</t>
  </si>
  <si>
    <t>105-176</t>
  </si>
  <si>
    <t>105-180</t>
  </si>
  <si>
    <t>105-183</t>
  </si>
  <si>
    <t>Naranjillo</t>
  </si>
  <si>
    <t>105-184</t>
  </si>
  <si>
    <t>105-185</t>
  </si>
  <si>
    <t>105-186</t>
  </si>
  <si>
    <t>105-187</t>
  </si>
  <si>
    <t>El Cura</t>
  </si>
  <si>
    <t>105-189</t>
  </si>
  <si>
    <t>San Bernardo</t>
  </si>
  <si>
    <t>105-191</t>
  </si>
  <si>
    <t>105-193</t>
  </si>
  <si>
    <t>Bajo Godinez</t>
  </si>
  <si>
    <t>105-201</t>
  </si>
  <si>
    <t>Bajo San José</t>
  </si>
  <si>
    <t>105-202</t>
  </si>
  <si>
    <t>San Jerónimo</t>
  </si>
  <si>
    <t>105-211</t>
  </si>
  <si>
    <t>Esquipulas</t>
  </si>
  <si>
    <t>105-216</t>
  </si>
  <si>
    <t>Deformacion de superficie de ruedo y lavado de material, desvío de quebrada por catarata</t>
  </si>
  <si>
    <t>Incorporacion de material tipo lastre, en superficie de ruedo, desvío de catarata</t>
  </si>
  <si>
    <t>Napoles</t>
  </si>
  <si>
    <t>105-221</t>
  </si>
  <si>
    <t>105-222</t>
  </si>
  <si>
    <t>Mata de Caña</t>
  </si>
  <si>
    <t>105-227</t>
  </si>
  <si>
    <t>105-228</t>
  </si>
  <si>
    <t>Quebrada Seca</t>
  </si>
  <si>
    <t>105-229</t>
  </si>
  <si>
    <t>Honorio Garro</t>
  </si>
  <si>
    <t>105-235</t>
  </si>
  <si>
    <t>105-238</t>
  </si>
  <si>
    <t>105-243</t>
  </si>
  <si>
    <t>San Martín</t>
  </si>
  <si>
    <t>105-244</t>
  </si>
  <si>
    <t>San Joaquin</t>
  </si>
  <si>
    <t>105-245</t>
  </si>
  <si>
    <t>105-247</t>
  </si>
  <si>
    <t>105-248</t>
  </si>
  <si>
    <t>San Jeronimo</t>
  </si>
  <si>
    <t>105-252</t>
  </si>
  <si>
    <t>Los Camacho</t>
  </si>
  <si>
    <t>105-253</t>
  </si>
  <si>
    <t>San Cayetano Nuevo</t>
  </si>
  <si>
    <t>105-254</t>
  </si>
  <si>
    <t>Rodeo</t>
  </si>
  <si>
    <t>105-255</t>
  </si>
  <si>
    <t>105-256</t>
  </si>
  <si>
    <t>Guadalupe</t>
  </si>
  <si>
    <t>105-257</t>
  </si>
  <si>
    <t xml:space="preserve">Canet-Cedral </t>
  </si>
  <si>
    <t>105-083</t>
  </si>
  <si>
    <t>Deformacion de superficie de ruedo, lavado de material y deslizamiento de ruta</t>
  </si>
  <si>
    <t xml:space="preserve">Incorporacion de material estabilizacion de taludes, construccion de muro de retencion   </t>
  </si>
  <si>
    <t xml:space="preserve">Canet </t>
  </si>
  <si>
    <t xml:space="preserve">Deformacion de superficie de ruedo, lavado de material y colapso de paso de alcantarilla y socavamiento de puente </t>
  </si>
  <si>
    <t>Incorporacion de material rehabilitacion de sistema de drenaje</t>
  </si>
  <si>
    <t>105-150</t>
  </si>
  <si>
    <t>Deslizamiento de Talud, socavamiento de carretera</t>
  </si>
  <si>
    <t>Estabilizacion de Taludes, construccion de muro de retencion</t>
  </si>
  <si>
    <t>El Salado/Zapotal</t>
  </si>
  <si>
    <t xml:space="preserve">Deformacion de superficie de ruedo, lavado de material y colapso de paso de alcantarilla, deslizamientos sobre la ruta </t>
  </si>
  <si>
    <t xml:space="preserve">Incorporacion de material rehabilitacion de sistema de drenaje, estabilizacion de taludes, construccion de muro de retencion </t>
  </si>
  <si>
    <t xml:space="preserve">San Carlos </t>
  </si>
  <si>
    <t xml:space="preserve">Camino el Cura </t>
  </si>
  <si>
    <t>Sistema de drenaje, Afectación del cabezal, socavamiento mayor del piso del camino</t>
  </si>
  <si>
    <t xml:space="preserve">Construccion de cabezal y gaviones para estabilizar la ruta </t>
  </si>
  <si>
    <t xml:space="preserve">Bajo San José </t>
  </si>
  <si>
    <t>Deslizamiento en la ruta</t>
  </si>
  <si>
    <t xml:space="preserve">Construccion de muro de retencion </t>
  </si>
  <si>
    <t>San Jeronimo/Alto San Juan</t>
  </si>
  <si>
    <t>105-219</t>
  </si>
  <si>
    <t xml:space="preserve">Afectacion de la superficie de ruedo, destruccion total de la calzada por paso de aguas, sistemas de drenaje obstruidos </t>
  </si>
  <si>
    <t>Incorporacion de material rehabilitacion de sistema de drenaje,  reconstruccion y relleno de ruta, construccion de dique</t>
  </si>
  <si>
    <t xml:space="preserve">Napoles/ Santa Juana </t>
  </si>
  <si>
    <t xml:space="preserve">Deformacion de superficie de ruedo, lavado de material , deslizamientos sobre la ruta </t>
  </si>
  <si>
    <t xml:space="preserve">Incorporacion de material rehabilitacion de sistema de drenaje, estabilizacion de taludes y construccion de muros de retencion </t>
  </si>
  <si>
    <t xml:space="preserve">San Jeronimo </t>
  </si>
  <si>
    <t>105-242</t>
  </si>
  <si>
    <t xml:space="preserve"> Colapso de paso de alcantarilla, deslizamiento de ruta, socavacion de ruta </t>
  </si>
  <si>
    <t xml:space="preserve">Rehabilitacion de sistema de drenaje, construccion de muro de retencion </t>
  </si>
  <si>
    <t xml:space="preserve">Los Camacho </t>
  </si>
  <si>
    <t xml:space="preserve">Socavamiento de ruta, perdida de cabezal </t>
  </si>
  <si>
    <t xml:space="preserve">Construccion de muro de retencion para estabilizacion de ruta </t>
  </si>
  <si>
    <t>La Sabana/ Candelilla</t>
  </si>
  <si>
    <t>105-090</t>
  </si>
  <si>
    <t>Socavacion de terreno y superficie de ruedo de camino</t>
  </si>
  <si>
    <t>Salado/Zapotal</t>
  </si>
  <si>
    <t>Construccion de muro de retencion, proteccion de carretera</t>
  </si>
  <si>
    <t>DESAMPARADOS</t>
  </si>
  <si>
    <t>PURISCAL</t>
  </si>
  <si>
    <t xml:space="preserve">San Marcos </t>
  </si>
  <si>
    <t xml:space="preserve">El Balar </t>
  </si>
  <si>
    <t xml:space="preserve">Quebrada Zoncho </t>
  </si>
  <si>
    <t xml:space="preserve">Puente Alcantarilla de cuadro </t>
  </si>
  <si>
    <t xml:space="preserve">Destruccion de Puente </t>
  </si>
  <si>
    <t xml:space="preserve">Construccion de nuevo puente dos carriles </t>
  </si>
  <si>
    <t xml:space="preserve">Naranjillo </t>
  </si>
  <si>
    <t xml:space="preserve">Quebrada Pedregosa </t>
  </si>
  <si>
    <t xml:space="preserve">Puente viga acero rodamiento en concreto </t>
  </si>
  <si>
    <t xml:space="preserve">Construccion nuevo puente </t>
  </si>
  <si>
    <t xml:space="preserve">Zapotal-Bajo San José </t>
  </si>
  <si>
    <t xml:space="preserve">Quebrada Zapotal </t>
  </si>
  <si>
    <t xml:space="preserve">Socavamiento relleno de aproximacion </t>
  </si>
  <si>
    <t xml:space="preserve">Puente en concreto </t>
  </si>
  <si>
    <t>Socavamiento de bastiones</t>
  </si>
  <si>
    <t xml:space="preserve">Construccion nuevo puente doble carril </t>
  </si>
  <si>
    <t xml:space="preserve">Rodeo </t>
  </si>
  <si>
    <t>105-048</t>
  </si>
  <si>
    <t xml:space="preserve">Quebrada la Cruz </t>
  </si>
  <si>
    <t>Alcantarilas</t>
  </si>
  <si>
    <t xml:space="preserve">Socavamiento de alcantarillas </t>
  </si>
  <si>
    <t>Construccion de nuevo paso de alcantarilla</t>
  </si>
  <si>
    <t xml:space="preserve">San Gillermo </t>
  </si>
  <si>
    <t>Alcantarilla de cuadro</t>
  </si>
  <si>
    <t xml:space="preserve">Destruccion de relleno de aproximacion </t>
  </si>
  <si>
    <t xml:space="preserve">Quebrada Martinez </t>
  </si>
  <si>
    <t>Socavamiento de paso</t>
  </si>
  <si>
    <t xml:space="preserve">Cañal-Canet </t>
  </si>
  <si>
    <t xml:space="preserve">Destruccion de paso </t>
  </si>
  <si>
    <t xml:space="preserve">Construccion de paso alcantarilla de diametro mayor </t>
  </si>
  <si>
    <t xml:space="preserve">Quebrada Napoleón </t>
  </si>
  <si>
    <t>Paso de alcantarillas</t>
  </si>
  <si>
    <t xml:space="preserve">Destruccion completa de paso y ruta </t>
  </si>
  <si>
    <t>105-049</t>
  </si>
  <si>
    <t>No identificada</t>
  </si>
  <si>
    <t>Perdida de cabezales y daño de alcantarillas</t>
  </si>
  <si>
    <t>Perdida de cabezales</t>
  </si>
  <si>
    <t>Construcción de cabezal</t>
  </si>
  <si>
    <t>Quebrada Arroyo</t>
  </si>
  <si>
    <t>105-250</t>
  </si>
  <si>
    <t>Quebrada Paso el Caimito</t>
  </si>
  <si>
    <t>Socavamiento de alcantarilla</t>
  </si>
  <si>
    <t>Quebrada Paso Hondo</t>
  </si>
  <si>
    <t xml:space="preserve">Rio Pirris </t>
  </si>
  <si>
    <t>Superficie de ruedo en el camino 105-156</t>
  </si>
  <si>
    <t>Dragado de río, construccion de dique</t>
  </si>
  <si>
    <t>ASERRÍ</t>
  </si>
  <si>
    <t>Aserrí</t>
  </si>
  <si>
    <t>Barrio Azulillos</t>
  </si>
  <si>
    <t>Camino de calle Azulillos</t>
  </si>
  <si>
    <t xml:space="preserve">Destrucción de dos pasos de alcantarillas de 36" por insuficiencia hidráulica y deslizamientos en varios puntos. </t>
  </si>
  <si>
    <t xml:space="preserve">Relastrado, Conformación y Limpieza de Derrumbes. </t>
  </si>
  <si>
    <t>Barrio Concepción</t>
  </si>
  <si>
    <t xml:space="preserve">Camino principal </t>
  </si>
  <si>
    <t>Colapso de muro de Gaviones, pérdida de la superficie de ruedo. Actualmente se encuentra habiltado un tramo de la via.</t>
  </si>
  <si>
    <t xml:space="preserve">Construcción de  muro de retención </t>
  </si>
  <si>
    <t>Barrio Lourdes</t>
  </si>
  <si>
    <t>Sector Carreta</t>
  </si>
  <si>
    <t xml:space="preserve">Pérdida de carpeta asfáltica . </t>
  </si>
  <si>
    <t xml:space="preserve">Colocación de carpeta asfáltica </t>
  </si>
  <si>
    <t>Barrio Los Ángeles</t>
  </si>
  <si>
    <t xml:space="preserve">Caminio principal de Barrio Los Ángeles </t>
  </si>
  <si>
    <t xml:space="preserve">Pérdida de la superficie de ruedo </t>
  </si>
  <si>
    <t>Poás de Aserrí</t>
  </si>
  <si>
    <t>Camino Las Minas</t>
  </si>
  <si>
    <t>Deslizamientos y perdida de la superficie de ruedo</t>
  </si>
  <si>
    <t>Construccion de muro de contencion para establilidad de superficie de ruedo</t>
  </si>
  <si>
    <t>Tarbaca</t>
  </si>
  <si>
    <t xml:space="preserve">Barrio San Rafael </t>
  </si>
  <si>
    <t>Camino viejo de Tarbaca de Barrio San Rafael - Cedral</t>
  </si>
  <si>
    <t>Lavado de material, zanjas en calzada y derrumbes en varios trechos del camino</t>
  </si>
  <si>
    <t xml:space="preserve">Relastreo, conformación y limpieza de derrumbes. </t>
  </si>
  <si>
    <t>Barrio San Rafael - Ojo de Agua</t>
  </si>
  <si>
    <t xml:space="preserve">Camino viejo de Tarbaca </t>
  </si>
  <si>
    <t>Deslizamientos y afectación sobre superficie de ruedo</t>
  </si>
  <si>
    <t>Relastreo, conformación y limpieza de derrumbes</t>
  </si>
  <si>
    <t>El Tigre</t>
  </si>
  <si>
    <t>Camino principal</t>
  </si>
  <si>
    <t>Deslizamientos y hundimientos en el camino. Pérdida de la superficie de ruedo, destrucción de pasos de alcantarilla</t>
  </si>
  <si>
    <t>Construcción de muro de gaviones</t>
  </si>
  <si>
    <t xml:space="preserve">Relastreo del camino. </t>
  </si>
  <si>
    <t>Camino Los Segura</t>
  </si>
  <si>
    <t>Deslizamientos</t>
  </si>
  <si>
    <t>Vuelta de Jorco</t>
  </si>
  <si>
    <t>La Uruca- Monterrey</t>
  </si>
  <si>
    <t>Camino Principal</t>
  </si>
  <si>
    <t xml:space="preserve">Deslizamientos en varios puntos, pérdida completa de la carretera por desbordamiento del Río Candelaria </t>
  </si>
  <si>
    <t>Conformación del camino con lastreo. Dragado del río Candelaria</t>
  </si>
  <si>
    <t>Camino Jocotal</t>
  </si>
  <si>
    <t>Camino Principal de Jocotal</t>
  </si>
  <si>
    <t>Deslizamientos masivos en varios tramos del camino. Destrucción de los tablones del puente y colapsos en varios pasos de alcantarilla. Afectación sobre la superficie de ruedo. Socavación  de camino originado por el río la Candelaria</t>
  </si>
  <si>
    <t xml:space="preserve">Limpieza de los derrumbes, estabilización del camino y dragado del río. </t>
  </si>
  <si>
    <t>La Legua de los Naranjos</t>
  </si>
  <si>
    <t>Camino de la Legua</t>
  </si>
  <si>
    <t>Jorco</t>
  </si>
  <si>
    <t>Calle Antiguo Coopejorco</t>
  </si>
  <si>
    <t>Agrietamiento y hundimiento de la via, deslizamiento afectando superficie de ruedo</t>
  </si>
  <si>
    <t xml:space="preserve">Construccion de muro de estabilizacion </t>
  </si>
  <si>
    <t>San Gabriel</t>
  </si>
  <si>
    <t>Limonal - Monteredondo</t>
  </si>
  <si>
    <t>Camino de Limonal hacia Monteredondo</t>
  </si>
  <si>
    <t>Deslizamiento en varios tramos</t>
  </si>
  <si>
    <t>Limpieza y conformación de camino</t>
  </si>
  <si>
    <t xml:space="preserve">San Gabriel </t>
  </si>
  <si>
    <t>Calle Los Angeles</t>
  </si>
  <si>
    <t xml:space="preserve">Camino Barrio Los Angeles a San Gabriel </t>
  </si>
  <si>
    <t xml:space="preserve">Afectación de superficie de ruedo y colapso del camino. Hundimiento en tramo de la carretera y Colapso de Dos pasos de alcantarilla por insuficiencia hidraulica. Afectación en paso sobre el rio Pital   </t>
  </si>
  <si>
    <t>Construccion de dos muros de estabilizacion en el tramo de hundimiento</t>
  </si>
  <si>
    <t>Limonal</t>
  </si>
  <si>
    <t>Camino principal a Limonal</t>
  </si>
  <si>
    <t>Deslizamientos y afectación sobre superficie de ruedo. Obstruccion de dos pasos de alcantarilla</t>
  </si>
  <si>
    <t>Relastreo, conformación y limpieza de derrumbes y colocacion de alcantarillas de diametro superior y reforzadas</t>
  </si>
  <si>
    <t>Barrio Santa Eduvijez</t>
  </si>
  <si>
    <t>.4</t>
  </si>
  <si>
    <t>Colapsio de via y perdida completa de un carril</t>
  </si>
  <si>
    <t>Santa Teresita</t>
  </si>
  <si>
    <t>Camino de Barrio Santa Teresita a salir a Salitral</t>
  </si>
  <si>
    <t>Colapso en pasos de alcantarilla y daños en la superficie de ruedo. Colapso parcial del puente sobre quebrada Salitral</t>
  </si>
  <si>
    <t>Relastreo y conformación de la superficie de ruedo. Construccion de puente sobre quebrada Salitral</t>
  </si>
  <si>
    <t>La Legua</t>
  </si>
  <si>
    <t>Ojo de Agua</t>
  </si>
  <si>
    <t xml:space="preserve">Camino principal de Ojo de Agua </t>
  </si>
  <si>
    <t>Deslizamientos en varios puntos, pérdida completa de la carretera y desbordamiento de la quebrada El Salvaje. Principalmente por insuficiencia hidráulica.</t>
  </si>
  <si>
    <t xml:space="preserve">Relastreo y conformación del camino.  </t>
  </si>
  <si>
    <t>Barrio San Isidro</t>
  </si>
  <si>
    <t>Camino Calle Máquinas</t>
  </si>
  <si>
    <t>Deslizamientos y hundimientos en el camino. Pérdida de la superficie de ruedo, destrucción de paso de alcantarilla</t>
  </si>
  <si>
    <t>Relastreo y conformación del camino. Limpieza del paso del salto y refuerzo en su estructura.</t>
  </si>
  <si>
    <t>Camino principal de Parritilla</t>
  </si>
  <si>
    <t>Deslizamientos en varios tramos del camino. Destrucción del dos puente y colapsos en varios pasos de alcantarillas. Afectación sobre la superficie de ruedo y destrucción de vados en concreto. Destrucción de tablones en puente.</t>
  </si>
  <si>
    <t xml:space="preserve">La Legua </t>
  </si>
  <si>
    <t>Centro</t>
  </si>
  <si>
    <t xml:space="preserve">Barrio El Gabriel </t>
  </si>
  <si>
    <t>Hundimiento en la via y colapso parcial de 2 pasos de alcantarilla</t>
  </si>
  <si>
    <t xml:space="preserve">Construccion de muro de estabilización </t>
  </si>
  <si>
    <t>Bijagual</t>
  </si>
  <si>
    <t>Camino principal hacia Bijagual</t>
  </si>
  <si>
    <t xml:space="preserve">Deslizamientos en varios tramos del camino. Colapsos en varios pasos de alcantarillas. Afectación sobre la superficie de ruedo y destrucción de vados en concreto. </t>
  </si>
  <si>
    <t xml:space="preserve">Limpieza y conformación del camino. </t>
  </si>
  <si>
    <t>Camino de Bijagual - El Carmen</t>
  </si>
  <si>
    <t>Deslizamientos en varios tramos del camino. Destrucción del puente y colapsos en varios pasos de alcantarillas. Afectación sobre la superficie de ruedo y destrucción de vados en concreto. Destrucción de tablones en puente.</t>
  </si>
  <si>
    <t>Monterrey</t>
  </si>
  <si>
    <t>Camino Hacia La Uruca</t>
  </si>
  <si>
    <t xml:space="preserve">Pérdida de la superficie de ruedo en la entrada de la Uruca hacia Monterrey, por erosión del río Caraigres </t>
  </si>
  <si>
    <t xml:space="preserve">Construcción de muro de retención o muro de gaviones para estabilizar el camino de acceso al puente sobre rio Caraigres. </t>
  </si>
  <si>
    <t>Salitrillos</t>
  </si>
  <si>
    <t xml:space="preserve">Barrio El Chiflon </t>
  </si>
  <si>
    <t>Camino hacia las Tamaleras</t>
  </si>
  <si>
    <t>Pérdida de la superficie de ruedo y socavación al margen derecho del río Cañas. Colapso en paso de alcantarilla y destrucción de tres puentes peatonales</t>
  </si>
  <si>
    <t xml:space="preserve">Construcción de muro de retención o muro de gaviones para estabilizar la superficie de ruedo. </t>
  </si>
  <si>
    <t>Barrio Guadalupe</t>
  </si>
  <si>
    <t>Camino Los Marines</t>
  </si>
  <si>
    <t>Relastreo, conformación y limpieza de derrumbres</t>
  </si>
  <si>
    <t>Salitrillos arriba-Jerico</t>
  </si>
  <si>
    <t>Camino Principal hacia Jerico</t>
  </si>
  <si>
    <t xml:space="preserve">Pérdida completa de la superficie de ruedo por hundimiento </t>
  </si>
  <si>
    <t xml:space="preserve">Construcción de dos muro de gaviones para estabilización del camino y mejoramiento de la superficie de ruedo. </t>
  </si>
  <si>
    <t>Poas</t>
  </si>
  <si>
    <t>Rio Poas</t>
  </si>
  <si>
    <t>Puente Vehicular de 10 m de largo, 4,5 m de ancho, bastiones en concreto ciclopeo</t>
  </si>
  <si>
    <t>Colapso completo del puente</t>
  </si>
  <si>
    <t>Construccion de puente con paso peatonal</t>
  </si>
  <si>
    <t>Camino hacia Los Limones</t>
  </si>
  <si>
    <t>Río Saurez</t>
  </si>
  <si>
    <t>Paso de alcantarilla cuadrada</t>
  </si>
  <si>
    <t>Colapso parcial del paso</t>
  </si>
  <si>
    <t xml:space="preserve">Construcción de un puente de una vía </t>
  </si>
  <si>
    <t>Cedral</t>
  </si>
  <si>
    <t xml:space="preserve">Camino Principal - La Playa </t>
  </si>
  <si>
    <t xml:space="preserve">Quebrada Agua Blanca </t>
  </si>
  <si>
    <t>Puente de 10 m de largo, de una vía con bastiones de concreto masivo. Conocidos como puente Los Lopez</t>
  </si>
  <si>
    <t xml:space="preserve">Colapso completo del puente </t>
  </si>
  <si>
    <t xml:space="preserve">Tarbaca </t>
  </si>
  <si>
    <t>Rio Jorco</t>
  </si>
  <si>
    <t xml:space="preserve">Puente de 6 m de largo, de una vía con bastiones de concreto masivo </t>
  </si>
  <si>
    <t>Camino Cedral</t>
  </si>
  <si>
    <t>Rio Tarbaca</t>
  </si>
  <si>
    <t>Colapso parcial en los bastiones del puente</t>
  </si>
  <si>
    <t xml:space="preserve">Construccion de puente vehicular de dos vias </t>
  </si>
  <si>
    <t>Camino al Chiflón</t>
  </si>
  <si>
    <t>Puentes peatonales, losas de concreto con rieles de dos y pasamanos de hierro en tubo hierro.</t>
  </si>
  <si>
    <t>Colapso de dos  puentes peatonales</t>
  </si>
  <si>
    <t>Dragado del cauce y construcción de los puentes peatonales</t>
  </si>
  <si>
    <t>Barrio Guadalupe camino a las Tamaleras</t>
  </si>
  <si>
    <t>Colapso de Paso de Alcantarilla. Dos Alcantarillas gemelas de 60 pulgadas reforzadas de concreto con  cabezales CA-1</t>
  </si>
  <si>
    <t>Colapso de paso de alcantarilla y desviacion del cauce afectando casas de habitación cercanas</t>
  </si>
  <si>
    <t>Construcción de puente vehicular de dos vías</t>
  </si>
  <si>
    <t>Puente vehicular de un carril de 8 metros de largo y 3 m de ancho</t>
  </si>
  <si>
    <t>Colapso parcial del puente, bastiones socavados y barandas peatonales destruidas</t>
  </si>
  <si>
    <t>Construcción de un puente de una vía y paso peatonal</t>
  </si>
  <si>
    <t>Monteredondo</t>
  </si>
  <si>
    <t>Camino Monteredondo - Jocotal</t>
  </si>
  <si>
    <t>Río Pital</t>
  </si>
  <si>
    <t>Puente de una vía de 4,5 m, en concreto ciclopeo, bastiones de 4 metros.</t>
  </si>
  <si>
    <t>Colapso Completo del Puente</t>
  </si>
  <si>
    <t>Dragado del cauce para brindar  mayor capacidad hidráulica al río. Construcción del puente de una vía. Con paso peatonal</t>
  </si>
  <si>
    <t>Jocotal</t>
  </si>
  <si>
    <t>Camino de Limonal y Monteredondo hacia Jocotal</t>
  </si>
  <si>
    <t>Río Candelaria</t>
  </si>
  <si>
    <t>Puente Bailey con estructuras de hierro, bastiones y aletones en concreto ciclopeo. Estructura muy antigua, con piso de madera y techo en láminas de Zing.</t>
  </si>
  <si>
    <t xml:space="preserve">Daños en su estructura metálica y pérdida parcial  del piso de madera y socavación en los bastiones. </t>
  </si>
  <si>
    <t xml:space="preserve">Se debe realizar un refuerzo estructural en las bases del puente mediante un concreto ciclopeo para mitigar la socavación.Realizar una recava ya que existe mucho material de sedimentación. Realizar refuerzo en la estructura del Bailey ya que se desprendieron piezas y tornillos por la presión del agua. Colocación de un piso más resistente o cambiar los tablones. </t>
  </si>
  <si>
    <t>Camino a Jocotal</t>
  </si>
  <si>
    <t>Río Caraigres</t>
  </si>
  <si>
    <t>Puente de una vía</t>
  </si>
  <si>
    <t>Desgaste en el enrocado de protección del puente sobre el Río Caragires. Inicio de socavación en los bastiones del puente</t>
  </si>
  <si>
    <t>Protección en los bastiones del puente y protección con enrocado en ellos</t>
  </si>
  <si>
    <t>Camino de Monteredondo hacia Limonal</t>
  </si>
  <si>
    <t>Puente de una vía de 4,5 m, en concreto ciclopeo y aletones de 2,5 m de longitud con 4 m de altura.</t>
  </si>
  <si>
    <t>Dragado del cauce para brindar  mayor capacidad hidruálica al río. Corta de árboles caidos a la margen de cauce. Se debe realizar la construcción de un puente de una vía.</t>
  </si>
  <si>
    <t xml:space="preserve">Camino a Santa Teresita </t>
  </si>
  <si>
    <t>Quebrada Salitral</t>
  </si>
  <si>
    <t>Puente de una vía de 5 m, en concreto ciclopeo y aletones de 2,5 m de longitud con 4 m de altura.</t>
  </si>
  <si>
    <t>Colapso parcial del bastión al margen derecho del río.</t>
  </si>
  <si>
    <t>Construcion de puente con paso peatonal.</t>
  </si>
  <si>
    <t>Camino Los Mangos - Calle Los Angeles</t>
  </si>
  <si>
    <t>Rio Pital</t>
  </si>
  <si>
    <t xml:space="preserve">Estructura de vado </t>
  </si>
  <si>
    <t>Destruccion Total</t>
  </si>
  <si>
    <t>Construcion de puente vehicular de dos vias con paso peatonal.</t>
  </si>
  <si>
    <t>Río Las Delicias</t>
  </si>
  <si>
    <t>Puentes con bastiones en concreto ciclopeo y aletones masivos</t>
  </si>
  <si>
    <t>Construcción del puente sobre la quebrada Las Delicias. Dragado de la sección hidráulica del río aguas abajo y aguas arriba</t>
  </si>
  <si>
    <t>Camino Bijagual -El Carmen</t>
  </si>
  <si>
    <t>Rio La Dicha</t>
  </si>
  <si>
    <t>Puente de una via de 5 m de ancho, aletones sobre roca natural y superestructura en tablones</t>
  </si>
  <si>
    <t xml:space="preserve">Afectacion directa sobre la super estructura daño completo y perdida del piso de madera </t>
  </si>
  <si>
    <t>Construccion de puente vehicular con paso peatonal</t>
  </si>
  <si>
    <t>Camino principal de Jocotal</t>
  </si>
  <si>
    <t>Quebrada División</t>
  </si>
  <si>
    <t>Paso de alcantarilla de 50 pulgadas de diametro</t>
  </si>
  <si>
    <t>Pérdida completa de la superficie de ruedo por insuficiencia hidráulica.Colapso completo de los cabezales</t>
  </si>
  <si>
    <t>Construcción de Alcantarilla cuadrada</t>
  </si>
  <si>
    <t>Paso de alcantarilla de 36 pulgadas Tipo C-14</t>
  </si>
  <si>
    <t>Obstruccion completa del paso de alcantarilla. Originando perdida completa de la loza de concreto</t>
  </si>
  <si>
    <t xml:space="preserve">Alcantarilla de cuadro </t>
  </si>
  <si>
    <t xml:space="preserve"> Construcción de dos alcantarillas cuadradas </t>
  </si>
  <si>
    <t>Barrio La Piedra</t>
  </si>
  <si>
    <t>Camino La Piedra</t>
  </si>
  <si>
    <t>Quebrada La Bruja</t>
  </si>
  <si>
    <t xml:space="preserve">Paso de Alcantarilla en tubo novalock PVC de 42 pulgadas de diametro </t>
  </si>
  <si>
    <t>Obstruccion completa por cabeza de agua que origino taponamiento por insuficiencia hidraulica, perdida de la superficie de ruedo, camino en lastre</t>
  </si>
  <si>
    <t>Construcción de Alcantarilla cuadradra</t>
  </si>
  <si>
    <t>Camino La Piedra - Bellavista</t>
  </si>
  <si>
    <t>Paso de Alcantarilla con alcantarillas de 50 pulgadas de concreto reforzadas</t>
  </si>
  <si>
    <t>Pérdida completa de la superficie de ruedo en asfalto y colapso del paso de alcantarilla</t>
  </si>
  <si>
    <t>Construcción de  Alcantarilla cuadrada con paso peatonal</t>
  </si>
  <si>
    <t>Rio Suerre</t>
  </si>
  <si>
    <t>Paso de alcantarilla de 42 pulgadas de diametro</t>
  </si>
  <si>
    <t>Obstruccion completa del paso de alcantarilla y perdida de la superficie de ruedo la cual tenia loza de concreto</t>
  </si>
  <si>
    <t>Construcción de dos alcantarillas cuadradas</t>
  </si>
  <si>
    <t>Alcantarillado de 36 pulgadas de diámetro de 800 m de longitud</t>
  </si>
  <si>
    <t xml:space="preserve">Colapso en alcantarillado pluvial. </t>
  </si>
  <si>
    <t>Colocación de alcantarillas de 36" de diámetro</t>
  </si>
  <si>
    <t>Pasos de alcantarilla de 36 pulgadas Tipo C-14</t>
  </si>
  <si>
    <t>Colapso en dos pasos de alcantarillas</t>
  </si>
  <si>
    <t>Calle Los Angeles - Los Mangos</t>
  </si>
  <si>
    <t xml:space="preserve">Sin Nombre </t>
  </si>
  <si>
    <t>Sector conocido donde Marlene Paso de alcantarilla de 50 pulgadas de diametro.</t>
  </si>
  <si>
    <t>Daño completo en la  superficie de ruedo y colapso del paso de alcantarillas</t>
  </si>
  <si>
    <t>Construcción de alcantarilla cuadrada</t>
  </si>
  <si>
    <t>Paso de alcantarilla de 36 pulgadas</t>
  </si>
  <si>
    <t xml:space="preserve">Obstruccion completa por insuficiencia hidraulica, perdida de la superficie de ruedo </t>
  </si>
  <si>
    <t xml:space="preserve">Costruccion de alcantarilla de cuadro </t>
  </si>
  <si>
    <t>Paso de alcantarilla de 36 pulgadas reforzadas</t>
  </si>
  <si>
    <t>Colocación de alcantarillas de pasos de alcantarillas reforzadas.</t>
  </si>
  <si>
    <t xml:space="preserve">Jocotal </t>
  </si>
  <si>
    <t>Camino a Santa Marta</t>
  </si>
  <si>
    <t xml:space="preserve">Paso de alcantarilla con alcantarillas de 36 pulgadas de concreto, conocido como Paso de Angel </t>
  </si>
  <si>
    <t>Pérdida de la superficie de ruedo por insuficiencia hidráulica. Colapso completo</t>
  </si>
  <si>
    <t>La Uruca</t>
  </si>
  <si>
    <t xml:space="preserve">Insuficiencia Hidraulica y perdida completa del camino </t>
  </si>
  <si>
    <t>Construccion de alcantarilla cuadrada con paso peatonal</t>
  </si>
  <si>
    <t>Camino La Legua de Naranjo - La Ceiba</t>
  </si>
  <si>
    <t>Quebrada El Roble</t>
  </si>
  <si>
    <t>Alcantarilla de cuadro de dimensiones de 2 x 2 metros</t>
  </si>
  <si>
    <t>Vado de concreto</t>
  </si>
  <si>
    <t xml:space="preserve">Perdida completa de la superficie de ruedo y del camino </t>
  </si>
  <si>
    <t>Construcción de un vado de concreto para el paso de la quebrada</t>
  </si>
  <si>
    <t>Colapso parcial de 2 pasos de alcantarilla</t>
  </si>
  <si>
    <t>Construccion de pasos de alcantarilla</t>
  </si>
  <si>
    <t>Quebrada Pilas y Chilamate</t>
  </si>
  <si>
    <t>Pasos de alcantarilla de 36 pulgadas</t>
  </si>
  <si>
    <t xml:space="preserve">Colapsos en varios pasos de alcantarillas.  de vados en concreto. </t>
  </si>
  <si>
    <t>Colocación de alcantarillas de 36" en varios puntos. Se debe dinamitar en varios tramos ya que existen piedras de gran volumen.</t>
  </si>
  <si>
    <t>Río Pirrís</t>
  </si>
  <si>
    <t xml:space="preserve">Destrucción del puente y colapsos en varios pasos de alcantarillas y destrucción de vados en concreto. </t>
  </si>
  <si>
    <t xml:space="preserve"> Colocación de alcantarillas de 36" en varios puntos. Reconstrucción de vados en concreto</t>
  </si>
  <si>
    <t xml:space="preserve">Construcción de alcantarilla de cuadro en quebrada El Salvaje. </t>
  </si>
  <si>
    <t>Camino Los campos</t>
  </si>
  <si>
    <t>Quebrada Delicias</t>
  </si>
  <si>
    <t xml:space="preserve"> Construcción de alcantarilla cuadrada</t>
  </si>
  <si>
    <t>Camino principal hacia Bijagual - Parritilla</t>
  </si>
  <si>
    <t>Pasos de alcantarilla y  alcantarillas de cuatro</t>
  </si>
  <si>
    <t>Obstrucción de paso de alcantarilla y colapso completo</t>
  </si>
  <si>
    <t>Construccion de dos alcantarillas de cuadro sector de chirracal  con dimensiones de de 3x2 y colococación de 7 pasos de alcantarilla con tuberia C-76 de diámetro de 36 pulgadas anchos de via de 10m , con sus respectivos cabezales tipo CA-1</t>
  </si>
  <si>
    <t>Camino Ojo de Agua</t>
  </si>
  <si>
    <t>Quebrada el Salvaje</t>
  </si>
  <si>
    <t xml:space="preserve">Pasos de alcantarilla con alcantarillas de 50 pulgadas de concreto. </t>
  </si>
  <si>
    <t>Viviendas aledañas</t>
  </si>
  <si>
    <t>Socavación a ambos márgenes y pérdida completa del camino en varios tramos</t>
  </si>
  <si>
    <t>Construcción de obras de estabilizacion en secciones criticas del cauce</t>
  </si>
  <si>
    <t>Rio Parruas</t>
  </si>
  <si>
    <t>Socavacion en la margen izquierda hacia las viviendas de la Urb. Villa Alegre</t>
  </si>
  <si>
    <t>Construccion de muro de contencion para evitar socavacion en viviendas</t>
  </si>
  <si>
    <t>Escuela de Santa Teresita</t>
  </si>
  <si>
    <t>Socavacion de muro de gaviones al costado de la Escuela de Santa Teresita</t>
  </si>
  <si>
    <t xml:space="preserve">Construccion de muro de contencion para evitar socavacion en la Escuela </t>
  </si>
  <si>
    <t xml:space="preserve">Viviendas aledañas, puente colapsado </t>
  </si>
  <si>
    <t>Socavación a ambos márgenes y perdida del puente</t>
  </si>
  <si>
    <t>Dragado del cauce ya que existe mucho sedimento</t>
  </si>
  <si>
    <t>Rio Parruás</t>
  </si>
  <si>
    <t>Camino púbilico y cementerio de Aserrí</t>
  </si>
  <si>
    <t xml:space="preserve">Socavación del margen izquierdo del Rió Parruás hacia el camino público </t>
  </si>
  <si>
    <t>Construcción de muro de contención para protección del camino y el cementerio</t>
  </si>
  <si>
    <t>Camino principal hacia la Uruca</t>
  </si>
  <si>
    <t xml:space="preserve">Dragado del cauce en los puntos criticas y construccion de un dique reforzado para evitar la socavacion </t>
  </si>
  <si>
    <t>Jocotal y Santa Marta</t>
  </si>
  <si>
    <t xml:space="preserve">Camino principal hacia Jocotal </t>
  </si>
  <si>
    <t>Socavación a ambos márgenes, afectacion directa a viviendas al margen izquierdo de la cuenca y pérdida completa del camino en varios tramos</t>
  </si>
  <si>
    <t>Dragado del cauce y para estabilizar tramos del camino erosionados, mediante la construccion de un dique reforzado en concreto en Jocotal La Playa y construcción de muro ciclópeo frente a la escuela de Jocotal para proteccion de las viviendas en el centro de jocotal y varios puntos de afectacion directa del camino.</t>
  </si>
  <si>
    <t>Río Jorco</t>
  </si>
  <si>
    <t>Socavación del camino a la margen izquierda, originando pérdida completa del camino en varios tramos</t>
  </si>
  <si>
    <t>Dragado del cauce, construccion de dique para proteccion de las viviendas y el camino principal de acceso al cedral</t>
  </si>
  <si>
    <t>Rio Saurez</t>
  </si>
  <si>
    <t>Escuela Faustino Sarmiento ladera con el río</t>
  </si>
  <si>
    <t>Socavación del margen derecha del cauce del Río Saurez colindando con la escuela</t>
  </si>
  <si>
    <t>Construccion de muro de contencion para evitar socavacion en la Escuela Faustino Sarmiento</t>
  </si>
  <si>
    <t>Viviendas aledañas a la Urbanización Santa Elena</t>
  </si>
  <si>
    <t>.25</t>
  </si>
  <si>
    <t xml:space="preserve">Caida del muro / cabezal para salidas de agua de las vivienadas al rio </t>
  </si>
  <si>
    <t>Bellavista- La Piedra</t>
  </si>
  <si>
    <t>Presa</t>
  </si>
  <si>
    <t>Tubería de conducción y de distribución</t>
  </si>
  <si>
    <t>Destrucción de 200 metros de tubería de 2", 150 metros de 1" y 200 metros de 1/2"</t>
  </si>
  <si>
    <t>Compra e instalación de tubería faltante para conducción y distribución</t>
  </si>
  <si>
    <t>Las Mercedes</t>
  </si>
  <si>
    <t>Tanque de Almacenamiento</t>
  </si>
  <si>
    <t xml:space="preserve">Tanque de almacenamiento </t>
  </si>
  <si>
    <t xml:space="preserve">Destruccion parcial del tanque de almacenamiento </t>
  </si>
  <si>
    <t>Construccion completa del tanque de almacenamiento</t>
  </si>
  <si>
    <t>Toma de captación de Quebrada La Piedra</t>
  </si>
  <si>
    <t>Compra de materiales y construcción de nueva toma de captación en el sector aguas arriba</t>
  </si>
  <si>
    <t>Barrio Los Angeles</t>
  </si>
  <si>
    <t>Destrucción de 250metros de tubería de 1"y 200 metros de tubería de 1/2"</t>
  </si>
  <si>
    <t>Compra y colocación de tubería faltante en el Barrio Loas Angeles</t>
  </si>
  <si>
    <t>El Chiflón</t>
  </si>
  <si>
    <t>Pasos de tubería sobre ríos Cañas</t>
  </si>
  <si>
    <t>Destruido el paso de la toma Los Campos</t>
  </si>
  <si>
    <t xml:space="preserve">Diseño y construccion de paso elevado de tuberia potable </t>
  </si>
  <si>
    <t>Lourdes</t>
  </si>
  <si>
    <t>Pasos de tubería sobre ríos Sáurez</t>
  </si>
  <si>
    <t>Destruido el paso de la toma El Guaco</t>
  </si>
  <si>
    <t>Toma de captación La Palmira</t>
  </si>
  <si>
    <t>Destrucción parcial de la toma de captación</t>
  </si>
  <si>
    <t>Construcción de la toma de captación La Palmira</t>
  </si>
  <si>
    <t>Tubería de conducción en 6", 4", 3" y 2". Material de PVC</t>
  </si>
  <si>
    <t>Destrucción de 600 metros de tubería de 2", 500 metros de 6", 200 metros de 3"y 100 metros de 4"</t>
  </si>
  <si>
    <t>Compra y colocación de la tubería faltante para conducción Toma La Palmira</t>
  </si>
  <si>
    <t>Tubería de distribución de 1" y 1/2"</t>
  </si>
  <si>
    <t>Destrucción de 120 metros de tubería de 1" y 110 metros de 1/2"</t>
  </si>
  <si>
    <t>Compra y colocación de la tubería faltante para distribución en la zona de Lourdes</t>
  </si>
  <si>
    <t>Toma de captación El Chiflón</t>
  </si>
  <si>
    <t>Compra de materiales y construcción de la toma de captación El Chiflón</t>
  </si>
  <si>
    <t>Tubería de conducción en 6"y 2"</t>
  </si>
  <si>
    <t>Destrucción de 250 metros de tubería en 2" y 160 metros en 6"</t>
  </si>
  <si>
    <t>Compra y colocación de la tubería faltante entre la toma de captación y la zona de distribución</t>
  </si>
  <si>
    <t>Desarenador</t>
  </si>
  <si>
    <t>Destrucción de desarenador de 6x5x1m</t>
  </si>
  <si>
    <t xml:space="preserve">Compra de materiales y construcción de desarenador </t>
  </si>
  <si>
    <t>MORA</t>
  </si>
  <si>
    <t>TABARCIA</t>
  </si>
  <si>
    <t>1-07-066-00</t>
  </si>
  <si>
    <t xml:space="preserve">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total de la superficie de ruedo y cierre total del camino </t>
  </si>
  <si>
    <t>ALTO</t>
  </si>
  <si>
    <t xml:space="preserve">Este camino sufrió problemas de deslizamiento en pie de talud de la carretera lo que provocó pérdida de la calzada generando el cierre total del camino,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 </t>
  </si>
  <si>
    <t xml:space="preserve">CALLE VARGAS </t>
  </si>
  <si>
    <t>1-07-010-00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</si>
  <si>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un hundimiento lo que genera inseguridad a los usuarios que utilizan esta única vía de acceso hacia su comunidad.</t>
  </si>
  <si>
    <t>Este camino sufrió problemas de deslizamiento en pie de talud de la carretera lo que provocó pérdida de la calzada generando hundimiento en la via,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</si>
  <si>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 xml:space="preserve">PIEDRA BLANCA </t>
  </si>
  <si>
    <t>1-07-011-00</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</si>
  <si>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provocando pérdida de ancho de carretera lo que genera inseguridad a los usuarios que utilizan esta vía de acceso hacia su comunidad.</t>
  </si>
  <si>
    <t>Este camino sufrió problemas de deslizamiento en pie de talud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</si>
  <si>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BAJO LOAIZA</t>
  </si>
  <si>
    <t xml:space="preserve">GUAYABO </t>
  </si>
  <si>
    <t>CALLE SAUCES</t>
  </si>
  <si>
    <t>1-07-075-00</t>
  </si>
  <si>
    <t>CALLE EL TRAFICO/PUNTA LANZA</t>
  </si>
  <si>
    <t>1-07-033-00</t>
  </si>
  <si>
    <t xml:space="preserve">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la estabilidad de una vivienda y tambien afectando parte del derecho de vía  </t>
  </si>
  <si>
    <t>Este camino sufrió problemas de deslizamiento en el talud superior de carretera lo que esta provocando problemas de estabilización de una vivienda y afectando el derecho de vía  de la carretera,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</si>
  <si>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JARIS</t>
  </si>
  <si>
    <t>NARANJITO JARIS</t>
  </si>
  <si>
    <t>1-07-015-00</t>
  </si>
  <si>
    <t>CALLE LOS SEGURA</t>
  </si>
  <si>
    <t>Debido a los efectos climatologicos de la Tormenta Tropical Nate la cual ocasionó fuertes lluvias y provocó saturación de los suelos y un aumento considerable en la escorrentía superficial este punto se afectó generando un deslizamiento en el pie del talud inferior de carretera y superior de carretera, provocando pérdida de ancho de carretera y deslizamiento de la corona superior, lo que genera inseguridad a los usuarios que utilizan esta vía de acceso hacia su comunidad.</t>
  </si>
  <si>
    <t>Este camino sufrió problemas de deslizamiento en pie de talud y talud superior de la carretera lo que provocó pérdida de ancho de calzada, por lo que se requiere la contratación de una consultoria en geotecnia que brinde los servicios de estudios de suelos (perforaciones), topografia de sitio, diseño de obra de contención. Lo anterior con el objetivo de mejorar las condiciones actuales y brindar seguridad a los usuarios.</t>
  </si>
  <si>
    <t>CALLE EL GUAPINOL</t>
  </si>
  <si>
    <t>1-07-093-00</t>
  </si>
  <si>
    <t xml:space="preserve">PIEDRAS NEGRAS </t>
  </si>
  <si>
    <t>LA PALMA</t>
  </si>
  <si>
    <t>1-07-016-00</t>
  </si>
  <si>
    <t>Debido a los efectos climatologicos de la Tormenta Tropical Nate la cual ocasionó fuertes lluvias y provocó saturación de los suelos y un aumento considerable en la escorrentía superficial este camino sufrio problemas de deslizamientos generando desprendimientos de material, problemas en la superficie de rodamiento, desbordamiento de quebradas, obstrucción de pasos transversales, lo que pone en peligro y riesgo la seguridad de los usuarios que utilizan esta vía.</t>
  </si>
  <si>
    <t xml:space="preserve">Se requiere realizar labores de mejoramiento de la superficie de rodamiento mediante la contratación de una empresa que realice las labores de acarreo de lastre, reacondicionamiento de la superficie de ruedo y compactación de material colocado, y mejoramiento pasos transversales </t>
  </si>
  <si>
    <t xml:space="preserve">COLON </t>
  </si>
  <si>
    <t>RODEO</t>
  </si>
  <si>
    <t>1-07-002</t>
  </si>
  <si>
    <t>Debido a los efectos climatologicos de la Tormenta Tropical Nate la cual ocasionó fuertes lluvias y provocó saturación de los suelos y un aumento considerable en la escorrentía superficial este punto se afectó generando un deslizamiento en el talud superior de carretera poniendo en peligro el paso de los usuarios de la via afectando parte del derecho de vía, el punto afectado se encuentra en las inmediaciones de la salida del puente sobre quebrada honda sentido colón-rodeo.</t>
  </si>
  <si>
    <t xml:space="preserve">RODEO-PIEDRAS NEGRAS </t>
  </si>
  <si>
    <t>ALTOS DE SAN RAFAEL</t>
  </si>
  <si>
    <t>1-07-001</t>
  </si>
  <si>
    <t>QUITIRRISI</t>
  </si>
  <si>
    <t>SECTOR JUAN SANCHEZ</t>
  </si>
  <si>
    <t>1-07-043</t>
  </si>
  <si>
    <t xml:space="preserve">VUELTA EL MUÑECO </t>
  </si>
  <si>
    <t>COLON</t>
  </si>
  <si>
    <t>1-07-002-00</t>
  </si>
  <si>
    <t>Puente de 18 metros de longitud, superficie de rodamiento constituido por tablones de madera, superestructura vigas de acero, bastiones ciclopeos con un sentadero de muro de gaviones, con una pila central</t>
  </si>
  <si>
    <t>socavación de la pila central por el efecto de las lluvias y crecidas generadas por la tormenta tropical Nate</t>
  </si>
  <si>
    <t xml:space="preserve">Se requiere contratar a un consultor o empresa que lleve a cabo los estudios prelimares y diseño, y  que determinen el estado actual de la estructura, si se requiere un reforzamiento de la estructura o bien si se requiere el cambio total de la estructura </t>
  </si>
  <si>
    <t>BARRIO LAUREL</t>
  </si>
  <si>
    <t>PACACUA</t>
  </si>
  <si>
    <t xml:space="preserve">Talud Carretero afectado por la crecida generada por el paso de la tormenta nate </t>
  </si>
  <si>
    <t>debido a la dinamica y corriente  del Río pacacua durante los dias de lluvia por el paso de la tormenta Nate se vio afectado el talud de carretera colindante con el acceso a la comunidad de Barrio los Laureles provocando la pérdida de ancho de calzada</t>
  </si>
  <si>
    <t>Se requiere la contratación de una empresa que realice los estudios preliminares hidraulicos correspondientes para determinar las obras a realizar en el punto de afectación, diseño de las obras de contención del talud carretero, topografia, y construcción de las obras, además de realizar la limpieza y/o recava de la zona.</t>
  </si>
  <si>
    <t xml:space="preserve">BARBACOAS </t>
  </si>
  <si>
    <t xml:space="preserve">CORTEZAL </t>
  </si>
  <si>
    <t>300 M SUR RUTA NACIONAL 137.</t>
  </si>
  <si>
    <t>DESLIZAMIENTOS, PERDIDA ANCHO DE CALZADA</t>
  </si>
  <si>
    <t>CONSTRUCCIÓN DE OBRAS DE CONTENCIÓN, ESTUDIOS DE SUELOS</t>
  </si>
  <si>
    <t xml:space="preserve">SAN JUAN </t>
  </si>
  <si>
    <t xml:space="preserve">100 M NORTE PLAZA DEPORTES SAN JUAN </t>
  </si>
  <si>
    <t>DESLIZAMIENTO, SUPERFICIE DE RUEDO(CONCRETO) EN EL AIRE PROPENSO A CAER.</t>
  </si>
  <si>
    <t xml:space="preserve">SECTOR PISCINAS </t>
  </si>
  <si>
    <t xml:space="preserve">MERCEDES </t>
  </si>
  <si>
    <t xml:space="preserve">Tufares </t>
  </si>
  <si>
    <t xml:space="preserve">Camino : 1-04-058 del 121 m mano izquierda del ENT Ruta Nacional 239  </t>
  </si>
  <si>
    <t xml:space="preserve">Camino : 1-04-058 del 2.9km  mano izquierda del ENT Ruta Nacional 239  </t>
  </si>
  <si>
    <t>CONSTRUCCIÓN DE OBRAS DE CONTENCIÓN</t>
  </si>
  <si>
    <t>Camino : 1-04-058 del 3 km  mano izquierda del ENT Ruta Nacional 239</t>
  </si>
  <si>
    <t>LIMPIEZA, ESTUDIO DE SUELOS, ESTABILIZACIÓN DE TALUDES Y  OBRA DE CONTENCIÓN</t>
  </si>
  <si>
    <t xml:space="preserve">Bajo Murillo </t>
  </si>
  <si>
    <t xml:space="preserve">Camino : 1-04-008 </t>
  </si>
  <si>
    <t>Colapso de Paso de Alcantarilla y perdida de Calzada</t>
  </si>
  <si>
    <t>Sustitucion de Alcantarilla, Cnstruccion de Obras de Contención.</t>
  </si>
  <si>
    <t xml:space="preserve">CHIRES </t>
  </si>
  <si>
    <t xml:space="preserve">Zapaton </t>
  </si>
  <si>
    <t>Camino : 1-04-123 camino Mastatal - Zapaton  7 km de la Ruta Nacional 318</t>
  </si>
  <si>
    <t>PERDIDA  DE LASTRE, ZANJAS Y ZURCOS  EN CALZADA</t>
  </si>
  <si>
    <t xml:space="preserve">LIMPIEZA, CONFORMACIÓN Y RELASTRADO  </t>
  </si>
  <si>
    <t xml:space="preserve">Camino : 1-04-125 camino Alto Perez </t>
  </si>
  <si>
    <t xml:space="preserve">CANDELARITA </t>
  </si>
  <si>
    <t xml:space="preserve">POLKA </t>
  </si>
  <si>
    <t xml:space="preserve">
(Ent. C 123) Cruce a Zapatón
(Ent. N 317) Polka - Final Ruta 317
Camino a Alto Concepción</t>
  </si>
  <si>
    <t>Chires</t>
  </si>
  <si>
    <t>Gamalotillo 3</t>
  </si>
  <si>
    <t>(Ent. N 319) Cementerio - La Gloria
(Ent. N 239) Cruce a Parrita - Tanque AyA
Camino a Gamalotillo</t>
  </si>
  <si>
    <t>Rio Gamalotillo</t>
  </si>
  <si>
    <t>Puente compuesto de 8 alcantarillas redondas de concreto reforzado. 
Largo: 12 m
Ancho: 6 m
Altura: 2 m</t>
  </si>
  <si>
    <t xml:space="preserve">Se lavaron los rellenos de aproximación, </t>
  </si>
  <si>
    <t>ESTUDIO DE SUELOS, HIDRAULICO,HIDROLÓGICO, se estima en 35 m3 el material a colocar y compactar. El aletón en un extremo del puente se encuentra dañado, se debe reconstruir. El flujo del agua se encuentra obstruido por arboles.</t>
  </si>
  <si>
    <t>Gamalotillo 2</t>
  </si>
  <si>
    <t>Puente compuesto de 6 alcantarillas de cuadro de concreto reforzado. 
Largo: 18 m
Ancho: 4 m
Altura: 1.7m</t>
  </si>
  <si>
    <t xml:space="preserve">Losa inferior de salida (delantal) socavada y desprendida de estructural principal (alcantarillas y losas de concreto). Estructura principal y aletón evidencian socavación aguas abajo, </t>
  </si>
  <si>
    <t>Se debe reconformar lecho de río, reconstruir estructura de salida (muro, losa y diente de concreto) y profundizar aletones.</t>
  </si>
  <si>
    <t>Gamalotillo 1</t>
  </si>
  <si>
    <t>A:
De:
(Fin de Camino) Corral
(Ent. C 142) Samalotillo - Poste 7070-CE
Sin Nombre</t>
  </si>
  <si>
    <t>Gamalotillo</t>
  </si>
  <si>
    <t>Puente conformado de 2 vigas de acero , deck de madera, y bastiones y pila de concreto. 
Largo: 21 m
Ancho: 3 m
Altura: 3.6m</t>
  </si>
  <si>
    <t xml:space="preserve">Estructura principal de acero muestra un grado importante de oxidación. Socavación en talud del río, </t>
  </si>
  <si>
    <t xml:space="preserve">Se debe proteger con muro de gaviones, aproximadamente 20 m de largo x 3 m de alto. Se debe rectificar cauce del río mediante el reacomodo de material. </t>
  </si>
  <si>
    <t>San Vicente</t>
  </si>
  <si>
    <t xml:space="preserve">
(Ent. N 318) Puente
(Ent. C 122) Camino a San Vicente
Sin Nombre</t>
  </si>
  <si>
    <t xml:space="preserve">Rio San Vicente </t>
  </si>
  <si>
    <t>Puente conformado de vigas de acero , deck de concreto, bastiones de concreto ciclópeo y pila de concreto. 
Largo: 17 m
Ancho: 2.6 m
Altura: 3.6m</t>
  </si>
  <si>
    <t>Estructura principal de acero muestra un grado importante de oxidación. Bastiones y pila de puente evidencian socavación</t>
  </si>
  <si>
    <t>Se debe reconstruir y profundizar estos elementos.</t>
  </si>
  <si>
    <t xml:space="preserve">Salitral, Santa Ana </t>
  </si>
  <si>
    <t>1-09-123-00</t>
  </si>
  <si>
    <t>Un deslizamiento provoco que bloqueara la calle a matinilla en ese tramo adicional a que pasa el rio Uruca a un costado el cauce subio el nivel por la tormenta Nate provocando que cayera parte de un carril al rio y lavo parte de la estructura de la calle y la superfie de ruedo, parte del cordon y caño y desfogue pluvial.</t>
  </si>
  <si>
    <t>Contratacion de diseño, construccion de muro  de contencion, desfogue pluvial, cordon y caño, estructura de pavimento completo.</t>
  </si>
  <si>
    <t>La tormenta nate genero que el cauce del Rio Uruca lavara parte de la calle Matinilla que colidan con el rio Uruca, genero que unas propiedades se quedaran sin acceso a la calle principal de Matinilla porque lavo el puente que pasaba por encima del rio Uruca y la calle MAtinilla, lavando la estructura de pavimento y esta comprometiendo la estabilidad de la calle</t>
  </si>
  <si>
    <t>Contratacion de diseño, para la contruccion de muro de contencion para proteger la calle Matinilla en ese tramo</t>
  </si>
  <si>
    <t>SANTA ANA</t>
  </si>
  <si>
    <t xml:space="preserve">Uruca </t>
  </si>
  <si>
    <t>Cebadilla y la Chimba</t>
  </si>
  <si>
    <t>1-09-097-00, calle la chimba y la cebadilla union con el rio Oro, Calle la Cebadilla de la escuela la Mina 75 m al noreste</t>
  </si>
  <si>
    <t>Rio Oro</t>
  </si>
  <si>
    <t>La estructura de un puente tipo pretensado compuesto por superestructura, losa de la rodadura, bastiones y barandas. La superestructura posee un recubrimiento de carpeta asfáltica.</t>
  </si>
  <si>
    <t xml:space="preserve">Se observa en fisuramiento en la viga de carga del puente esto se debe al golpe recibido por la cabeza de agua que venia con el deslizamiento a raíz de la tormenta Nate que mantuvo al Canton de Santa Ana del estado de emergencias, </t>
  </si>
  <si>
    <t>Se recomienda elaborar estudio tecnico hidrologico e hidraulico para la microcuenca. Realizar un estudio geotecnico para el diseño formal del puente. Una vez realizado los estudios y el diseño la construccion de la nueva estructura del puente</t>
  </si>
  <si>
    <t>Calle lyon</t>
  </si>
  <si>
    <t>San Rafael, 50 m este 10 metros sur del centro comercial plaza antigua</t>
  </si>
  <si>
    <t>Corrogres</t>
  </si>
  <si>
    <t xml:space="preserve">El puente esta compuesto de una pequeña superestructura no mayor a 6 metros de longitud, losa de concreto con refuerzo cubierto de asfalto, bastiones de concreto sin losa de aproximacion </t>
  </si>
  <si>
    <t>Se observa un grado fuerte de socavamiento de los bastiones debido a la tormenta Nate por ahí bajo parte importante de sedimentos del deslizamiento del Picadero</t>
  </si>
  <si>
    <t>Se recomienda elaborar estudio tecnico hidrologico e hidraulico para la microcuenca Una vez realizado los estudios y el diseño la construccion de la nueva estructura del puente</t>
  </si>
  <si>
    <t>1-09-076-00, Calle Alvarado</t>
  </si>
  <si>
    <t>Concreto, chorreado, superficie de rodamiento en asfalto</t>
  </si>
  <si>
    <t>Bases socavadas por el impacto por la avalancha del deslizamiento en la tormenta Nate.</t>
  </si>
  <si>
    <t xml:space="preserve">Demolicion y construccion de uno nuevo debido a que una ruta importante para el desahogo vial del sector de San Rafael, se requiere de estudios hidrologicos y hidraulicos de toda la cuenca </t>
  </si>
  <si>
    <t>Paso de alcantarilla sobre el rio Corrogres, Diagonal 06</t>
  </si>
  <si>
    <t>Concreto chorreado reforzado, con muros laterales</t>
  </si>
  <si>
    <t>Demolicion y construccion de uno nuevo debido a que una ruta importante para el desahogo vial del sector de San Rafael,  se requiere de estudios hidrologicos y hidraulicos de toda la cuenca</t>
  </si>
  <si>
    <t>Paso de alcantarilla sobre el rio Corrogres, Calle 001 al final costado norte</t>
  </si>
  <si>
    <t>Concreto chorreado reforzado, con muros laterales reforzados pretensados</t>
  </si>
  <si>
    <t>CORONADO</t>
  </si>
  <si>
    <t>3. Dulce Nombre</t>
  </si>
  <si>
    <t>La Hondura</t>
  </si>
  <si>
    <t>C-1-11-243</t>
  </si>
  <si>
    <t>Daño en la superficie de ruedo y sistemas de drenaje</t>
  </si>
  <si>
    <t>Relastrear  y usar lastre cemento en aquellos sectores como cuestas que mas se afectaron. Reparar el sistema pluvial</t>
  </si>
  <si>
    <t>C-1-11-241</t>
  </si>
  <si>
    <t>Platanares</t>
  </si>
  <si>
    <t>C-1-11-062</t>
  </si>
  <si>
    <t>5. Cascajal</t>
  </si>
  <si>
    <t>Choco</t>
  </si>
  <si>
    <t>C-1-11-105</t>
  </si>
  <si>
    <t>Iglesias</t>
  </si>
  <si>
    <t>C-1-11-061</t>
  </si>
  <si>
    <t>Monserrat</t>
  </si>
  <si>
    <t>C-1-11-064</t>
  </si>
  <si>
    <t>Bo Bolaños</t>
  </si>
  <si>
    <t>C-1-11-063</t>
  </si>
  <si>
    <t>La Guaba</t>
  </si>
  <si>
    <t>C-1-11-060</t>
  </si>
  <si>
    <t>Los Sanchez</t>
  </si>
  <si>
    <t>C-1-11-161</t>
  </si>
  <si>
    <t>La Canoa</t>
  </si>
  <si>
    <t>C-1-11-162</t>
  </si>
  <si>
    <t>Monte Lindo</t>
  </si>
  <si>
    <t>C-1-11-057</t>
  </si>
  <si>
    <t>El Empedrado</t>
  </si>
  <si>
    <t>C-1-11-058</t>
  </si>
  <si>
    <t>2. San Rafael</t>
  </si>
  <si>
    <t>Patio de Agua</t>
  </si>
  <si>
    <t>C-1-11-041</t>
  </si>
  <si>
    <t>Durazno - Matinilla</t>
  </si>
  <si>
    <t>C-1-11-131</t>
  </si>
  <si>
    <t>5. y 3. Cascajal y Dulce Nombre</t>
  </si>
  <si>
    <t>La Calzada</t>
  </si>
  <si>
    <t>C-1-11-103</t>
  </si>
  <si>
    <t>El Carmen, Dulce Nombre Centro</t>
  </si>
  <si>
    <t>C-1-11-028</t>
  </si>
  <si>
    <t>Rio Virilla</t>
  </si>
  <si>
    <t>Puente a una via, con super estructura en armadura y losa en concreto</t>
  </si>
  <si>
    <t>En los bastiones las placas de cimentacion  han sido erosionados y han quedado expuestas, exponiendolas a un posibles asentamientos altamente peligrosos y destructivo</t>
  </si>
  <si>
    <t>Construir babero de proteccion de los bastiones con escolleras en ambos bastiones para proteger el puente</t>
  </si>
  <si>
    <t>Bo. El Carmen, Dulce Nombre</t>
  </si>
  <si>
    <t>C-1-11-145</t>
  </si>
  <si>
    <t>Puente peatonal, tipo catenaria con tensores en cable de 2.5 cm en acero. Con piso en madera.</t>
  </si>
  <si>
    <t xml:space="preserve"> Por la accion de los vientos se han dañados los apoyos, volviendolo inestable y por lo tanto peligroso. </t>
  </si>
  <si>
    <t>Por la ubicación del puente, es mejor cambiarlo por un puente peatonal que mejore la transitabilidad de la zona. Se usaran recursos del MOPT - BID</t>
  </si>
  <si>
    <t>Dulce Nombre, Platanares, San Jeronimo</t>
  </si>
  <si>
    <t>C-1-11-153</t>
  </si>
  <si>
    <t>Rio Macho</t>
  </si>
  <si>
    <t>Reconstruir el puente en el mismo sitio. Debe construirse los bastiones y los apoyos por lo que practicamente es hacerlo nuevo</t>
  </si>
  <si>
    <t>1. San Isidro</t>
  </si>
  <si>
    <t>San Isidro, Ipis, Guadalupe</t>
  </si>
  <si>
    <t>C-1-11-005</t>
  </si>
  <si>
    <t>Quebrada Ipis</t>
  </si>
  <si>
    <t xml:space="preserve">Puente vehicular tipo losa </t>
  </si>
  <si>
    <t>Por accion de los caudales generados los bastiones han quedado expuestos.</t>
  </si>
  <si>
    <t>Se requiere construir babero tipo escollera que proteja los cimientos en los bastiones que se encuentran expuestos</t>
  </si>
  <si>
    <t>1.San Isidro</t>
  </si>
  <si>
    <t>Urb. Paseo del Rio</t>
  </si>
  <si>
    <t>C-1-11-127</t>
  </si>
  <si>
    <t>Rio El Durazno</t>
  </si>
  <si>
    <t>Alcantarilla corrugada</t>
  </si>
  <si>
    <t>Destruccion total</t>
  </si>
  <si>
    <t>Construir puente nuevo</t>
  </si>
  <si>
    <t>Bo. El Carmen</t>
  </si>
  <si>
    <t>Armadura</t>
  </si>
  <si>
    <t>Socavacion en bastion</t>
  </si>
  <si>
    <t>Construir babero de proteccion</t>
  </si>
  <si>
    <t>Puente Peatonal, armado con cables en tension catenarias.</t>
  </si>
  <si>
    <t>Puente inestable, tensores dañados</t>
  </si>
  <si>
    <t>Construir puente nuevo preferible carretero</t>
  </si>
  <si>
    <t>Dulce Nombre</t>
  </si>
  <si>
    <t xml:space="preserve">Reconstruir puente </t>
  </si>
  <si>
    <t>C-1-11-016</t>
  </si>
  <si>
    <t>Bordes erosionados e inestables</t>
  </si>
  <si>
    <t>San Ignacio</t>
  </si>
  <si>
    <t>Turrujal</t>
  </si>
  <si>
    <t>Deslizamientos, hundimiento de la  calzada y alcantarillas</t>
  </si>
  <si>
    <t xml:space="preserve">Limpieza mecanizada, conformación, sustitución de alcantarillas y construcción de muro gavión </t>
  </si>
  <si>
    <t>Guaitil</t>
  </si>
  <si>
    <t>Deslizamientos, destrucción de calzada, hundimientos y alcantarillas</t>
  </si>
  <si>
    <t>Limpieza de derrumbes, lastreado, conformación de la calzada, sustitución de pasos de alcantarilla</t>
  </si>
  <si>
    <t>Agua Blanca</t>
  </si>
  <si>
    <t>Bajos de Jorco - Toledo</t>
  </si>
  <si>
    <t>Deslizamientos, destrucción de calzada y alcantarillas</t>
  </si>
  <si>
    <t>Calle Min Calderón - Chirraca</t>
  </si>
  <si>
    <t>Deterioro en superficie de ruedo</t>
  </si>
  <si>
    <t>Limpieza mecanizada, bacheo en lastre y conformación</t>
  </si>
  <si>
    <t>Calle Toño Badilla-Chirraca</t>
  </si>
  <si>
    <t>Chirraca-Alto Los Padilla</t>
  </si>
  <si>
    <t>Deterioro en superficie de ruedo y hundimiento</t>
  </si>
  <si>
    <t>Limpieza mecanizada, bacheo en lastre, relleno de hundimiento y conformación</t>
  </si>
  <si>
    <t>Calle La Escuela - Chirrca</t>
  </si>
  <si>
    <t>Deslizamiento y depósito de material por escorrentía superficial</t>
  </si>
  <si>
    <t>Limpieza mecanizada</t>
  </si>
  <si>
    <t>Palmichal</t>
  </si>
  <si>
    <t>Alto Los Padilla - Cataratas -Chirraca</t>
  </si>
  <si>
    <t>Destrucción del camino por flujo de detritos, inundación por crecida de la quebrada y pérdida de pasos de alcantarillas</t>
  </si>
  <si>
    <t xml:space="preserve">Dragado de Rio, construcción de dique, contrucción de camino público, colocación de alcantarillas </t>
  </si>
  <si>
    <t>Calle Chirraca de la Selva</t>
  </si>
  <si>
    <t>La Mina</t>
  </si>
  <si>
    <t>Pérdida de tramo de camino por inundación y flujo de detritos, pérdida de pasos de alcantarillas.</t>
  </si>
  <si>
    <t>Reconstrucción de camino, relleno de sectores con hundimientos, lastreado y conformación de la superficie de ruedo.</t>
  </si>
  <si>
    <t>Calle El Higueron - San Ignacio</t>
  </si>
  <si>
    <t xml:space="preserve">Pérdida de material, formación de carcavas </t>
  </si>
  <si>
    <t>Lastreado y conformación de superficie de ruedo</t>
  </si>
  <si>
    <t>Barrio San Martín -El Puente Chirraca</t>
  </si>
  <si>
    <t xml:space="preserve">Pérdida de tramo de camino por deslizamiento y zocavación del rio Jorco </t>
  </si>
  <si>
    <t>Reconstrucción de tramo de camino</t>
  </si>
  <si>
    <t>Barrio San Martín - Turrujal</t>
  </si>
  <si>
    <t xml:space="preserve">Hundimiento de la vía </t>
  </si>
  <si>
    <t>Estabilización de la superficie de ruedo con muro de gavión</t>
  </si>
  <si>
    <t>Camino Pozos - La Ortiga</t>
  </si>
  <si>
    <t>Pérdida de material granular (Tipo Lastre)</t>
  </si>
  <si>
    <t>Aplicación de lastre, conformación de superficie de ruedo</t>
  </si>
  <si>
    <t>Camino Tablazo - Higueron</t>
  </si>
  <si>
    <t>Estabilización de la superficie de ruedo con obra civil (gavión o muro anclado)</t>
  </si>
  <si>
    <t>Barrio Los Granados - Tablazo</t>
  </si>
  <si>
    <t>Desbordamiento de quedrada, destrucción de tramo de camino y perdida de material granular (tipo lastre)</t>
  </si>
  <si>
    <t>Reconstrucción de tramo de camino, lastreado y conformación de la superficie de ruedo.</t>
  </si>
  <si>
    <t>Tablazo - Jorco</t>
  </si>
  <si>
    <t>Deslizamientos, pérdida de material granular (Tipo Lastre)</t>
  </si>
  <si>
    <t>Limpieza de derrumbes, aplicación de lastre, conformación de superficie de ruedo y limpieza de alcantarillas</t>
  </si>
  <si>
    <t>La Escalera</t>
  </si>
  <si>
    <t>La Minilla - Potrerillos</t>
  </si>
  <si>
    <t>Calle Cedral-acueducto</t>
  </si>
  <si>
    <t xml:space="preserve">Barrio San Francisco Potrerillos </t>
  </si>
  <si>
    <t>Calle Chepito Fallas</t>
  </si>
  <si>
    <t>Barrio Los Bonilla</t>
  </si>
  <si>
    <t>Calle Caragral</t>
  </si>
  <si>
    <t>La Vereda - Llano La Meza</t>
  </si>
  <si>
    <t>Barrio Esquipula Mata Monge</t>
  </si>
  <si>
    <t>Maquina Vieja</t>
  </si>
  <si>
    <t>Alto Los Mora - Agua Blanca</t>
  </si>
  <si>
    <t>Calle Cuyo Sibaja</t>
  </si>
  <si>
    <t>Calle Bajos Vargas</t>
  </si>
  <si>
    <t>Cuesta Bartolo Ococa Lagunillas</t>
  </si>
  <si>
    <t>Ococa Barrio Zapote Casa Ande</t>
  </si>
  <si>
    <t>Calle Monge</t>
  </si>
  <si>
    <t>Ococa Barrio La Union</t>
  </si>
  <si>
    <t>Barrio Corazon De Jesus, Sevilla</t>
  </si>
  <si>
    <t xml:space="preserve">Calle Cementerio Bajo Cerdas </t>
  </si>
  <si>
    <t>Charcalillo San Cristobal</t>
  </si>
  <si>
    <t>Calle Los Bermudez, Bajos De Jorco</t>
  </si>
  <si>
    <t>Calle Cacao</t>
  </si>
  <si>
    <t>Calle Los Monge - Fila Palmichal (Los Padilla)</t>
  </si>
  <si>
    <t>Calle Memo Valverde- Bajos De Jorco</t>
  </si>
  <si>
    <t>Guaitil Bajo Calvo</t>
  </si>
  <si>
    <t>Toledo Bar Lucre</t>
  </si>
  <si>
    <t>Calle Los Cisneros</t>
  </si>
  <si>
    <t>Calle Gradely</t>
  </si>
  <si>
    <t>Calle La Sierra Toledo</t>
  </si>
  <si>
    <t>Camino La Vijia Ococa</t>
  </si>
  <si>
    <t>El Pichu</t>
  </si>
  <si>
    <t>Los Segura</t>
  </si>
  <si>
    <t>Nago Naranjo</t>
  </si>
  <si>
    <t>Bajo Arias</t>
  </si>
  <si>
    <t>Cayolar Bajo Bermudez</t>
  </si>
  <si>
    <t>Bajo Cardenes</t>
  </si>
  <si>
    <t>Peña Negra</t>
  </si>
  <si>
    <t>La Cruz Hondando Bajo Calvo</t>
  </si>
  <si>
    <t>Lagunilla - Bajo Cerdas La  Fila Palmichal</t>
  </si>
  <si>
    <t>Tajo Eliecer Azofeifa</t>
  </si>
  <si>
    <t>San Miguel Bajos De Jorco</t>
  </si>
  <si>
    <t xml:space="preserve">Lagunilla Tajo Meno </t>
  </si>
  <si>
    <t>Cangrejal</t>
  </si>
  <si>
    <t>La Palma Naranjal</t>
  </si>
  <si>
    <t>La Palma Breñon Sabanillas</t>
  </si>
  <si>
    <t>Sabanillas</t>
  </si>
  <si>
    <t>Matambal</t>
  </si>
  <si>
    <t>Ceiba Alta Ceiba Este La Mesa</t>
  </si>
  <si>
    <t>Bambu</t>
  </si>
  <si>
    <t>Paraiso Del Rio Cruce Ceiba Este</t>
  </si>
  <si>
    <t xml:space="preserve">Llano La Meza Ceiba Alta </t>
  </si>
  <si>
    <t xml:space="preserve">Calle Santa Marta </t>
  </si>
  <si>
    <t>Sabanas Teruel</t>
  </si>
  <si>
    <t>Finca Danilo Cejas Caspirola</t>
  </si>
  <si>
    <t xml:space="preserve">El Zoncho </t>
  </si>
  <si>
    <t>Calle Paco Lopez</t>
  </si>
  <si>
    <t>Calle Lopez</t>
  </si>
  <si>
    <t>Rio Negro</t>
  </si>
  <si>
    <t>Silencio Bijagual</t>
  </si>
  <si>
    <t>Los Fallas</t>
  </si>
  <si>
    <t>Playon</t>
  </si>
  <si>
    <t>Las Vegas Zoncuano Las Pavas</t>
  </si>
  <si>
    <t>Los Carrillo</t>
  </si>
  <si>
    <t>Parriton</t>
  </si>
  <si>
    <t>Ceiba Baja</t>
  </si>
  <si>
    <t>Linda Vista El Boquete</t>
  </si>
  <si>
    <t>Tiquires Cornelio Zoncuano</t>
  </si>
  <si>
    <t>La Escuadra</t>
  </si>
  <si>
    <t>Llano Bonito</t>
  </si>
  <si>
    <t>El Alto Parriton</t>
  </si>
  <si>
    <t>Pitales</t>
  </si>
  <si>
    <t>Camino Viejo Zoncuano - Trocha</t>
  </si>
  <si>
    <t>Finca Raul Mesen</t>
  </si>
  <si>
    <t>Tiquiritos</t>
  </si>
  <si>
    <t>La Fila De Naranjal</t>
  </si>
  <si>
    <t>San Lorenzo Soledad</t>
  </si>
  <si>
    <t>Bajo Arias Teruel</t>
  </si>
  <si>
    <t>Calle Vieja Teruel</t>
  </si>
  <si>
    <t>El Plomo</t>
  </si>
  <si>
    <t>Los Vindas-Linda Vista</t>
  </si>
  <si>
    <t>Las Faldas Gravilias</t>
  </si>
  <si>
    <t>Los Chinchilla Gravilias</t>
  </si>
  <si>
    <t>Calle Vieja Torre</t>
  </si>
  <si>
    <t>Nery Fallas</t>
  </si>
  <si>
    <t>Los Moras Limas</t>
  </si>
  <si>
    <t>Bajo Perez</t>
  </si>
  <si>
    <t>Los Garro</t>
  </si>
  <si>
    <t>Bajo Cordobas</t>
  </si>
  <si>
    <t>Aguas Buenas</t>
  </si>
  <si>
    <t>Vidal Badilla</t>
  </si>
  <si>
    <t>Los Chinchilla</t>
  </si>
  <si>
    <t>Escuadra Naranjal</t>
  </si>
  <si>
    <t>Bajo Los Cruces</t>
  </si>
  <si>
    <t>Bajo Los Cruces Sabanillas</t>
  </si>
  <si>
    <t>Olivier Godinez</t>
  </si>
  <si>
    <t>Tajo Los Picado</t>
  </si>
  <si>
    <t>Saturnino</t>
  </si>
  <si>
    <t>Los Godinez</t>
  </si>
  <si>
    <t>El Coyol Linda Vista</t>
  </si>
  <si>
    <t>Calle Vieja Cruz-Salitral</t>
  </si>
  <si>
    <t>El Ebais Palmichal</t>
  </si>
  <si>
    <t>Calle Valverde</t>
  </si>
  <si>
    <t>El Salvaje</t>
  </si>
  <si>
    <t>Jesus Prado</t>
  </si>
  <si>
    <t>El Rodeo Carvajales</t>
  </si>
  <si>
    <t>Barrio Zapote Calle Jhimy</t>
  </si>
  <si>
    <t>Manuel Segura</t>
  </si>
  <si>
    <t>Claudio Fallas</t>
  </si>
  <si>
    <t>Calle Vieja San Miguel</t>
  </si>
  <si>
    <t>Los Fuentes-Los Caracoles- Sevilla</t>
  </si>
  <si>
    <t>Chepe Bonilla</t>
  </si>
  <si>
    <t>Cementerio Teruel Bajo Perez</t>
  </si>
  <si>
    <t>Sevilla Bolivar</t>
  </si>
  <si>
    <t>Los Fernandez-La Uruca</t>
  </si>
  <si>
    <t>Barrio Los Fernandez-La Uruca</t>
  </si>
  <si>
    <t>Barrio San Juan-Toledo La Española</t>
  </si>
  <si>
    <t>Calle Los Ureña San Luis</t>
  </si>
  <si>
    <t>Calle Blanca Bonilla Resbalon</t>
  </si>
  <si>
    <t>Calle Anita Mora Tablazo</t>
  </si>
  <si>
    <t>Calle Nestor Mora Tablazo</t>
  </si>
  <si>
    <t>Calle Los Salazar Tablazo</t>
  </si>
  <si>
    <t>Calle Los Vicentinos Tablazo</t>
  </si>
  <si>
    <t>Calle Walter Barboza Turrujal</t>
  </si>
  <si>
    <t>Calle Vieja Turrujal Abajo</t>
  </si>
  <si>
    <t>Calle Bienvenido Castro</t>
  </si>
  <si>
    <t>Calle Olivier Mora Turrujal</t>
  </si>
  <si>
    <t>Calle Bolivar Sevilla</t>
  </si>
  <si>
    <t>Calle Bety Jimenez</t>
  </si>
  <si>
    <t>Calle Vieja Los Vindas</t>
  </si>
  <si>
    <t>Calle Rio Tabarcia</t>
  </si>
  <si>
    <t xml:space="preserve">Calle Plaza San Pablo </t>
  </si>
  <si>
    <t>Calle Los Ureña - (La Chanchera)</t>
  </si>
  <si>
    <t>Calle Iglesia La Fila De Palmichal</t>
  </si>
  <si>
    <t>La Derechura La Fila Palmichal</t>
  </si>
  <si>
    <t>Calle Ermita San Cristobal</t>
  </si>
  <si>
    <t>Calle Los Chavarria En El Salvaje</t>
  </si>
  <si>
    <t>Calle Iglesia De Sevilla</t>
  </si>
  <si>
    <t>Calle Sergio Quiros, Tablazo</t>
  </si>
  <si>
    <t>Calle Los Badilla, Bajo Cerdas</t>
  </si>
  <si>
    <t>Calle Los Lobos, San Miguel</t>
  </si>
  <si>
    <t xml:space="preserve">Calle Vieja Bajo Cerdas </t>
  </si>
  <si>
    <t>Bajo Fuentes Sevilla</t>
  </si>
  <si>
    <t>Calle Don Tuto , Alto Los Mora</t>
  </si>
  <si>
    <t>Calle Vieja Alto Los Mora</t>
  </si>
  <si>
    <t>Calle Finca Felo Monge Agua Blanca</t>
  </si>
  <si>
    <t>Calle Asociacion Desarrollo Potrerillos</t>
  </si>
  <si>
    <t>Calle Detrás De Oscar Bar, Tablazo</t>
  </si>
  <si>
    <t>Calle Mario Riba</t>
  </si>
  <si>
    <t>Calle Londres</t>
  </si>
  <si>
    <t>Calle Canoas</t>
  </si>
  <si>
    <t>Calle Las Torres</t>
  </si>
  <si>
    <t>Calle Pirulo Riba</t>
  </si>
  <si>
    <t>Calle Los Cipreses</t>
  </si>
  <si>
    <t>Calle Ojodebuey</t>
  </si>
  <si>
    <t>Calle El Acerradero</t>
  </si>
  <si>
    <t>Calle Entrada Caragral</t>
  </si>
  <si>
    <t>Calle Yoyo, Turrujal</t>
  </si>
  <si>
    <t>Calle Depos. Mora Y Mora</t>
  </si>
  <si>
    <t>Calle Arcelio Sanchez, San Luis</t>
  </si>
  <si>
    <t>Calle Evelio Fallas, Barro Los Angeles</t>
  </si>
  <si>
    <t>Calle Vieja La Escalera</t>
  </si>
  <si>
    <t>Calle Matamonte, La Vereda</t>
  </si>
  <si>
    <t>Calle El Salto La Vereda</t>
  </si>
  <si>
    <t>Finca Jorge El De Guilo Mora, Agua Blanca</t>
  </si>
  <si>
    <t>Calle Marielos Carrillo, Turrujal</t>
  </si>
  <si>
    <t>Calle Trapiche De Chepito Fallas, Zapote</t>
  </si>
  <si>
    <t>Calle Cementerio Bajo Vargas</t>
  </si>
  <si>
    <t>Calle Vieja Bajo Vargas</t>
  </si>
  <si>
    <t>Calle Anabel Hidalgo, Bajo Vargas</t>
  </si>
  <si>
    <t>Calle Los Portilla, Bajos De Jorco</t>
  </si>
  <si>
    <t>Calle Edgar Calderon, Alto Los Mora</t>
  </si>
  <si>
    <t>Calle Marcelino, El Puente</t>
  </si>
  <si>
    <t>Calle Finca Juan Monge Matambal</t>
  </si>
  <si>
    <t>Calle Cementerio Lotes Muni . Palmichal</t>
  </si>
  <si>
    <t>Calle Iglesia De Caspirola.</t>
  </si>
  <si>
    <t>Calle Aserradero Hugo Chavez</t>
  </si>
  <si>
    <t>Calle Pueblo Nuevo Corralar</t>
  </si>
  <si>
    <t>Calle Los Araya Resbalon</t>
  </si>
  <si>
    <t>Calle Vieja Bajo Los Arias</t>
  </si>
  <si>
    <t>Calle Paso Real Bijagual</t>
  </si>
  <si>
    <t>Calle Lotes De Yoty B. M. Auxiliadora.</t>
  </si>
  <si>
    <t>Calle Enrrique Castro La Cruz</t>
  </si>
  <si>
    <t>Calle Vieja La Sirra Coyolar</t>
  </si>
  <si>
    <t>Calle A Finca J. Luis Bustamante Guaitil</t>
  </si>
  <si>
    <t>Calle Vieja Hugo Morales  Coyolar</t>
  </si>
  <si>
    <t>Calle Los Mora Coyolar</t>
  </si>
  <si>
    <t>Calle Vieja A Toledo Guaitil Casa Bety E.</t>
  </si>
  <si>
    <t>Calle Play De Guaitil</t>
  </si>
  <si>
    <t>Calle Vieja Tajo Bolivar Esquivel</t>
  </si>
  <si>
    <t>Calle El Sirri Finca Los Segura La Cruz</t>
  </si>
  <si>
    <t>Calle Toño Chinchilla Ococa.</t>
  </si>
  <si>
    <t>Calle Mingo Corrales</t>
  </si>
  <si>
    <t>Calle El Guarapo La Cruz Salitral.</t>
  </si>
  <si>
    <t>El Mango En El Alto Parriton</t>
  </si>
  <si>
    <t>Calle Puente Bambu Quebrada Bijagual</t>
  </si>
  <si>
    <t>Calle Salon Comunal Bijagual</t>
  </si>
  <si>
    <t>Calle Escuela De Pitales</t>
  </si>
  <si>
    <t>Calle Cancha De Deportes De Sabanillas</t>
  </si>
  <si>
    <t xml:space="preserve">Calle Finca Victor Mora Los Pitales </t>
  </si>
  <si>
    <t>Calle Vilo Cruz San Jeronimo</t>
  </si>
  <si>
    <t>Calle Vieja Ceiba Este</t>
  </si>
  <si>
    <t>Calle Los Arias Mora Ceiba Este</t>
  </si>
  <si>
    <t>Calle Los Arias Castro Ceiba Este</t>
  </si>
  <si>
    <t>Calle Salon Comunal Gravilias</t>
  </si>
  <si>
    <t>Calle Frente Cementerio Ceiba Alta</t>
  </si>
  <si>
    <t>Finca German Hidalgo Linda Vista</t>
  </si>
  <si>
    <t>Calle Derechura Al Plomo Teruel</t>
  </si>
  <si>
    <t>Calle Escuela Las Limas</t>
  </si>
  <si>
    <t>Calle Plaza Gravilias</t>
  </si>
  <si>
    <t>Calle Los Cartagos Las Limas</t>
  </si>
  <si>
    <t>Calle Plaza De La Cruz</t>
  </si>
  <si>
    <t>Cruce Iglesia De Hondonada</t>
  </si>
  <si>
    <t>Cruce En Derechura La Fila P.</t>
  </si>
  <si>
    <t>Salon Comunal De La Palma</t>
  </si>
  <si>
    <t>Los Vega La Palma</t>
  </si>
  <si>
    <t>Calle Finca Juanito La Palma</t>
  </si>
  <si>
    <t>Calle Los Sanchez - La Palma</t>
  </si>
  <si>
    <t>Calle Finca La Palma</t>
  </si>
  <si>
    <t>Calle Vieja La Escuadra</t>
  </si>
  <si>
    <t>Calle Vieja Cangrejal La Escuadra</t>
  </si>
  <si>
    <t>Calle Torre Del Ice Cangrejal</t>
  </si>
  <si>
    <t>Calle Vieja La Uruca Eduardo Godinez</t>
  </si>
  <si>
    <t>Quebrada El Cas La Uruca</t>
  </si>
  <si>
    <t>Calle El Cipresal La Uruca Los Cruces</t>
  </si>
  <si>
    <t>Tajo Mabel Sabanillas</t>
  </si>
  <si>
    <t xml:space="preserve">Calle Vieja Breñon </t>
  </si>
  <si>
    <t xml:space="preserve">Los Comunes Breñon </t>
  </si>
  <si>
    <t>Las Lajas Breñon</t>
  </si>
  <si>
    <t xml:space="preserve">Calle El Guanacaste Zoncuano </t>
  </si>
  <si>
    <t>Calle Rogelio Caspirola</t>
  </si>
  <si>
    <t>Calle Quebrada La Martilla, Sevilla</t>
  </si>
  <si>
    <t>ACOSTA</t>
  </si>
  <si>
    <t>Patarra</t>
  </si>
  <si>
    <t>Barrio El Tirra</t>
  </si>
  <si>
    <t>01-03-116</t>
  </si>
  <si>
    <t>Deterioro de la superficie de ruedo por derrumbes</t>
  </si>
  <si>
    <t>Rehabilitacion de la estructura de pavimento y canalización de aguas pluviales</t>
  </si>
  <si>
    <t xml:space="preserve">San Cristobal </t>
  </si>
  <si>
    <t>Calle Leiva</t>
  </si>
  <si>
    <t>01-03-011</t>
  </si>
  <si>
    <t>Calle Salitre</t>
  </si>
  <si>
    <t>01-03-109</t>
  </si>
  <si>
    <t>Rehabilitacion de la estructura de pavimento y obras de estabilización y contención de taludes</t>
  </si>
  <si>
    <t>Calle Torres</t>
  </si>
  <si>
    <t>01-03-021</t>
  </si>
  <si>
    <t>Rehabilitacion de la estructura de pavimento y obras de contención</t>
  </si>
  <si>
    <t>San Juan de Dios</t>
  </si>
  <si>
    <t>Calle Calabacitas</t>
  </si>
  <si>
    <t>01-03-163</t>
  </si>
  <si>
    <t>Rehabilitacion de la estructura de pavimento</t>
  </si>
  <si>
    <t>La Pacaya</t>
  </si>
  <si>
    <t>01-03-082</t>
  </si>
  <si>
    <t>El Manzano</t>
  </si>
  <si>
    <t>01-03-084</t>
  </si>
  <si>
    <t>El Rosario</t>
  </si>
  <si>
    <t>Guadarrama</t>
  </si>
  <si>
    <t>01-03-053</t>
  </si>
  <si>
    <t>Calle El Hoyo</t>
  </si>
  <si>
    <t>01-03-080</t>
  </si>
  <si>
    <t>Deterioro de la superficie de ruedo por derrumbes y de evacuacion pluvial</t>
  </si>
  <si>
    <t>Chirogres</t>
  </si>
  <si>
    <t>01-03-060</t>
  </si>
  <si>
    <t>Rehabilitacion de la estructura de pavimento y canalizacion de aguas pluviales</t>
  </si>
  <si>
    <t>Calle Mendez</t>
  </si>
  <si>
    <t>01-03-061</t>
  </si>
  <si>
    <t>Calle Hidalgo</t>
  </si>
  <si>
    <t>01-03-057</t>
  </si>
  <si>
    <t>Calle Jacob Hidalgo</t>
  </si>
  <si>
    <t>01-03-058</t>
  </si>
  <si>
    <t>01-03-073</t>
  </si>
  <si>
    <t>La Cabrera</t>
  </si>
  <si>
    <t>01-03-044</t>
  </si>
  <si>
    <t>Deterioro de la superficie de ruedo y perdida de la via por deslizamiento</t>
  </si>
  <si>
    <t>Frailes</t>
  </si>
  <si>
    <t>Calle Juana</t>
  </si>
  <si>
    <t>01-03-038</t>
  </si>
  <si>
    <t>Los Patrocinio</t>
  </si>
  <si>
    <t>01-03-002</t>
  </si>
  <si>
    <t>Barrio San Jose</t>
  </si>
  <si>
    <t>01-03-101</t>
  </si>
  <si>
    <t>Calle Naranjo</t>
  </si>
  <si>
    <t>01-03-104</t>
  </si>
  <si>
    <t>Barrio San Gerardo</t>
  </si>
  <si>
    <t>01-03-100</t>
  </si>
  <si>
    <t>Calle Pozos</t>
  </si>
  <si>
    <t>01-03-241</t>
  </si>
  <si>
    <t>Deteriro de la Superfice de Ruedo por perdida</t>
  </si>
  <si>
    <t>Rehabilitacion de la estructura de pavimento y alcantarillado pluvial</t>
  </si>
  <si>
    <t>El Roblar</t>
  </si>
  <si>
    <t>01-03-089</t>
  </si>
  <si>
    <t>LaVioleta</t>
  </si>
  <si>
    <t>01-03-017</t>
  </si>
  <si>
    <t>Rehabilitacion de la estructura de pavimento, alcantarillado pluvial y obras de contencion y retención y construccion de un puente y alcantarilla de cuadro</t>
  </si>
  <si>
    <t>Picapiedra</t>
  </si>
  <si>
    <t>01-03-294</t>
  </si>
  <si>
    <t>Barrio Las Palmas</t>
  </si>
  <si>
    <t>01-03-111</t>
  </si>
  <si>
    <t>Calle Los Picado</t>
  </si>
  <si>
    <t>Rehabilitacion de la estructura de pavimento y  obras de contencion</t>
  </si>
  <si>
    <t>Bustamante Arriba</t>
  </si>
  <si>
    <t>01-03-036</t>
  </si>
  <si>
    <t>Deterioro de la superficie de ruedo por deslizamientos en loa via</t>
  </si>
  <si>
    <t>Calle Picacho</t>
  </si>
  <si>
    <t>01-03-119</t>
  </si>
  <si>
    <t>Los Guido</t>
  </si>
  <si>
    <t>Calle La Agonia</t>
  </si>
  <si>
    <t>Bustamante abajo</t>
  </si>
  <si>
    <t>01-03-220</t>
  </si>
  <si>
    <t>Rehabilitacion de la estructura de pavimento, alcantarillado pluvial y obras de contencion</t>
  </si>
  <si>
    <t>SanCristobal</t>
  </si>
  <si>
    <t>El Empalme</t>
  </si>
  <si>
    <t>01-03-199</t>
  </si>
  <si>
    <t>Calle principal a La Lucha</t>
  </si>
  <si>
    <t>01-03-005</t>
  </si>
  <si>
    <t>Calle Acuña</t>
  </si>
  <si>
    <t>01-03-008</t>
  </si>
  <si>
    <t>Calle El Arbolito</t>
  </si>
  <si>
    <t>01-03-009</t>
  </si>
  <si>
    <t>Quiros-Monge</t>
  </si>
  <si>
    <t>01-03-039</t>
  </si>
  <si>
    <t>Monge Mora</t>
  </si>
  <si>
    <t>Bajo Los Angeles</t>
  </si>
  <si>
    <t>01-03-048</t>
  </si>
  <si>
    <t>Calle Marin</t>
  </si>
  <si>
    <t>01-03-031</t>
  </si>
  <si>
    <t>Rehabilitacion de la estructura de pavimento, alcantarillado pluvial y obras de contencion y estabilización</t>
  </si>
  <si>
    <t>Calle Fallas</t>
  </si>
  <si>
    <t>01-03-043</t>
  </si>
  <si>
    <t>Barrio La Isla</t>
  </si>
  <si>
    <t>01-03-093</t>
  </si>
  <si>
    <t>Calle Sabanillas</t>
  </si>
  <si>
    <t>01-03-091</t>
  </si>
  <si>
    <t>San Cristobal</t>
  </si>
  <si>
    <t>Calle Los Calvo</t>
  </si>
  <si>
    <t>01-03-004</t>
  </si>
  <si>
    <t>Calle Fernandez</t>
  </si>
  <si>
    <t>01.03.231</t>
  </si>
  <si>
    <t>Barrio San José - Barrio La Laguna</t>
  </si>
  <si>
    <t>Tributario al Río Jorco</t>
  </si>
  <si>
    <t>Bastiones en concreto masivo y superestructura en metal.</t>
  </si>
  <si>
    <t>Socavamiento de subestructura y falta de capacidad hidraulica.</t>
  </si>
  <si>
    <t>Construccion de estructura nueva y limpieza de cauce.</t>
  </si>
  <si>
    <t>Barrio Encinales - Barrio Corazón de María</t>
  </si>
  <si>
    <t>01-03-103</t>
  </si>
  <si>
    <t>Ruta Nacional 304</t>
  </si>
  <si>
    <t>Quebrada Reyes</t>
  </si>
  <si>
    <t>Incapacidad hidraulica, perdida de cabezales.</t>
  </si>
  <si>
    <t>Gravilias</t>
  </si>
  <si>
    <t>Barrio La Cartonera</t>
  </si>
  <si>
    <t>01-03-182</t>
  </si>
  <si>
    <t>Río Cucubres</t>
  </si>
  <si>
    <t>Alcantarilla mayor</t>
  </si>
  <si>
    <t>Incapacidad hidraulica y perdida de obras de contencion.</t>
  </si>
  <si>
    <t>Barrio Jardín</t>
  </si>
  <si>
    <t>01-03-186</t>
  </si>
  <si>
    <t>Puente en concreto</t>
  </si>
  <si>
    <t>Daños en la estructura, por socavacion de bastiones.</t>
  </si>
  <si>
    <t>Barrio Los Pinos</t>
  </si>
  <si>
    <t>Urb. Monteclaro</t>
  </si>
  <si>
    <t>01-03-097</t>
  </si>
  <si>
    <t>San Rafael Arriba</t>
  </si>
  <si>
    <t>Barrio Maiquetía</t>
  </si>
  <si>
    <t>Puente peatonal</t>
  </si>
  <si>
    <t>La Violeta</t>
  </si>
  <si>
    <t>Río San Cristobal</t>
  </si>
  <si>
    <t>Proteccion con escolleras en los bastiones de puentes.</t>
  </si>
  <si>
    <t>Ticalpes</t>
  </si>
  <si>
    <t>01-03-108</t>
  </si>
  <si>
    <t>Calle Los Olivos</t>
  </si>
  <si>
    <t>01-03-266</t>
  </si>
  <si>
    <t xml:space="preserve">Reparación de superestructura y reparación de socavación </t>
  </si>
  <si>
    <t xml:space="preserve">Gravilias </t>
  </si>
  <si>
    <t>01-03-173</t>
  </si>
  <si>
    <t xml:space="preserve">Chilamate </t>
  </si>
  <si>
    <t xml:space="preserve">287 m </t>
  </si>
  <si>
    <t xml:space="preserve">Alcantarilla de 2 m x 2m </t>
  </si>
  <si>
    <t xml:space="preserve">Desbordamientos e inundaciones en el área del Colegio Gravilias.  Hundimientos y agrietamiento en la losa del Gimnasio del Colegio  </t>
  </si>
  <si>
    <t xml:space="preserve">Construcción de un colector pluvial circular de 2,44 m de diámetro o cuadrado de 2,2 m x 2,2 m  </t>
  </si>
  <si>
    <t xml:space="preserve">San Juan de Dios </t>
  </si>
  <si>
    <t xml:space="preserve">Calle principal Sector Sur </t>
  </si>
  <si>
    <t>Ruta Nacional 217</t>
  </si>
  <si>
    <t xml:space="preserve">600 metros </t>
  </si>
  <si>
    <t xml:space="preserve">Alcantarilla de diversos diámetros y pendiente irregular  </t>
  </si>
  <si>
    <t xml:space="preserve">Desbordamientos en la calle principal de San Juan de Dios </t>
  </si>
  <si>
    <t xml:space="preserve">Construcción de un colector pluvial circular de 1,00 m de diámetro </t>
  </si>
  <si>
    <t xml:space="preserve">Calle principal Sector Norte </t>
  </si>
  <si>
    <t xml:space="preserve">La Fortunita </t>
  </si>
  <si>
    <t>01-03-170</t>
  </si>
  <si>
    <t xml:space="preserve">Alcantarilla de 600 mm de diámetro </t>
  </si>
  <si>
    <t xml:space="preserve">Desbordamiento de caudales pluviales en el sector de La Fortunit </t>
  </si>
  <si>
    <t xml:space="preserve">Construcción de 100 m de tubería de 1,00 m de diámetro y 167 m de tubería  de 1,50 m de diámetro </t>
  </si>
  <si>
    <t>Urb Emperador</t>
  </si>
  <si>
    <t>01-03-279</t>
  </si>
  <si>
    <t>en via publica</t>
  </si>
  <si>
    <t xml:space="preserve">Colector Pluvial </t>
  </si>
  <si>
    <t>500 m</t>
  </si>
  <si>
    <t>Colapso del sistema en mas de 500 metros de sistema pluvial</t>
  </si>
  <si>
    <t xml:space="preserve">Desbordamiento de caudales pluviales en el sector de Urb. Emperador </t>
  </si>
  <si>
    <t xml:space="preserve">Construcción de 500 metros  de tubería de 750 mm </t>
  </si>
  <si>
    <t>Patarrá</t>
  </si>
  <si>
    <t>Naciente</t>
  </si>
  <si>
    <t>Tubería y tomas de agua en naciente</t>
  </si>
  <si>
    <t>Desplazamiento y ruptura de tubos madre, tubería de distribución a la comunidad.</t>
  </si>
  <si>
    <t>1</t>
  </si>
  <si>
    <t>Reemplazamiento de Tubería y limpieza de toma de agua por deslizamiento. Mano de Obra</t>
  </si>
  <si>
    <t>Higuito</t>
  </si>
  <si>
    <t xml:space="preserve">Desarenador y casa de máquinas en Barrio San Gerardo, Tubería madre y daños de tubería de distribución </t>
  </si>
  <si>
    <t>Recuperación del Desarenador y casa de máquinas en Barrio San Gerardo y tuberías de distribución de los abonados de la comunidad de Higuito  e instalaciones. Mano de Obra</t>
  </si>
  <si>
    <t>Desplazamiento y ruptura de tubería de conducción 60 mts de tubería en PVC, daños en los drenajes de las  nacientes F1-F2. Daños en caminos de acceso a las nacientes por grietas desplazamientos de casi 1 metro.</t>
  </si>
  <si>
    <t>Recuperación de la tubería y los drenajes de las nacientes, recuperación de daños en caminos de acceso</t>
  </si>
  <si>
    <t>Jericó</t>
  </si>
  <si>
    <t>Por deslizamiento se pierde vegetación, tuberías dañadas y lugares sin abastecimiento por un gran periodo</t>
  </si>
  <si>
    <t>Recuperación de caminos de acceso y mejoramiento en la infraestructura del acueducto</t>
  </si>
  <si>
    <t>Tubería madre</t>
  </si>
  <si>
    <t xml:space="preserve">Debido a un deslizamiento de gran magnitud se producen Daños en la tubería madre y se dañan medidores </t>
  </si>
  <si>
    <t>Restablecimiento de tubería,  medidores y construcción de tanque de captación,  red de distribución y mano de obra.</t>
  </si>
  <si>
    <t>San Cristóbal</t>
  </si>
  <si>
    <t>Daños en Tubería. Se perdió aproximadamente 1 km de tubería en la montaña y tuberías aledañas a la carretera Interamericana Sur</t>
  </si>
  <si>
    <t>Daños en Tubería. Se perdió aproximadamente 1 km de tubería en la montaña y tuberías aledañas a la carretera Interamericana Sur y el distrito de San Cristóbal. Mano de Obra.</t>
  </si>
  <si>
    <t>Daños en tubería, deslizamientos en caminos de acceso y por donde pasa la red de distribución. Aproximadamente 700mts de distancia con tubería dañada.</t>
  </si>
  <si>
    <t xml:space="preserve">Reemplazo de Tubería, recuperación de caminos de acceso y paso de red de distribución, mano de obra.  Se deben de buscar alternativas porque hay tramos donde no quedó calle y aún no se sabe como va a ser restablecida. </t>
  </si>
  <si>
    <t xml:space="preserve">San Rafael Arriba </t>
  </si>
  <si>
    <t xml:space="preserve">Barrio Maiquetía, Iglesia Evangélica  </t>
  </si>
  <si>
    <t xml:space="preserve">Margen de ríos o quebradas </t>
  </si>
  <si>
    <t xml:space="preserve">30 metros </t>
  </si>
  <si>
    <t xml:space="preserve">Margen del río, erosión avanzada, problemas de socavación, afectación directa inminente a Iglesia Evangelica de Barrio Maiquetía </t>
  </si>
  <si>
    <t xml:space="preserve">Construcción de obra de protección fluvial.   Largo: 30 m;  Hincado: 2m; Altura Libre: 3 m ; Altura Total: 5 m </t>
  </si>
  <si>
    <t xml:space="preserve">Barrio Maiquetía </t>
  </si>
  <si>
    <t xml:space="preserve">20 metros </t>
  </si>
  <si>
    <t xml:space="preserve">Margen del río, erosión avanzada, problemas de socavación, afectación directa al  Parque de Barrio Maiquetía </t>
  </si>
  <si>
    <t xml:space="preserve">Construcción de obra de protección fluvial.   Largo: 20m;  Hincado: 2m; Altura Libre: 4 m ; Altura Total: 6 m </t>
  </si>
  <si>
    <t xml:space="preserve">Calle Roble </t>
  </si>
  <si>
    <t xml:space="preserve">Margen del río, erosión avanzada, problemas de socavación, afectación  potencial a viviendas y a la calle que comunica Las Novedades y el Cementerio de San Juan de Dios </t>
  </si>
  <si>
    <t xml:space="preserve">Construcción de obra de protección fluvial.   Largo: 20 m;  Hincado: 2m; Altura Libre: 4 m ; Altura Total: 6 m </t>
  </si>
  <si>
    <t xml:space="preserve">Urb. La Luchita </t>
  </si>
  <si>
    <t xml:space="preserve">Muro de Gaviones </t>
  </si>
  <si>
    <t xml:space="preserve">25 metros </t>
  </si>
  <si>
    <t xml:space="preserve">Margen del río, erosión avanzada, problemas de socavación, afectación directa a un muro de gaviones existente que actualmente protege  a la urbanización </t>
  </si>
  <si>
    <t xml:space="preserve">Construcción de obra de protección fluvial.   Largo: 20 m;  Hincado: 2m; Altura Libre: 0 m ; Altura Total:2 m </t>
  </si>
  <si>
    <t xml:space="preserve">17 metros </t>
  </si>
  <si>
    <t xml:space="preserve">Margen del río, erosión avanzada, problemas de socavación, afectación directa inminente al puente peatonal que comunica La Luchita con San Rafael Arriba  </t>
  </si>
  <si>
    <t xml:space="preserve">Construcción de obra de protección fluvial.   Largo: 17 m;  Hincado: 2m; Altura Libre: 3 m ; Altura Total: 5 m </t>
  </si>
  <si>
    <t xml:space="preserve">Barrio Santa Eduviges </t>
  </si>
  <si>
    <t xml:space="preserve">70 metros </t>
  </si>
  <si>
    <t xml:space="preserve">Margen del río, erosión avanzada, problemas de socavación, afectación directa a un muro de gaviones existente que actualmente protege  al barrio. </t>
  </si>
  <si>
    <t xml:space="preserve">Construcción de obra de protección fluvial.   Largo: 70 m;  Hincado: 2m; Altura Libre: 0 m ; Altura Total: 2 m </t>
  </si>
  <si>
    <t>Barrio La Granja sector Sur I</t>
  </si>
  <si>
    <t>Afectación a viviendas</t>
  </si>
  <si>
    <t xml:space="preserve">50 metros </t>
  </si>
  <si>
    <t xml:space="preserve">Margen del río, erosión avanzada, problemas de socavación, afectación directa inminente a un conjunto de viviendas </t>
  </si>
  <si>
    <t xml:space="preserve">Construcción de obra de protección fluvial.   Largo: 50 m;  Hincado: 2m; Altura Libre: 3 m ; Altura Total: 5 m </t>
  </si>
  <si>
    <t>Barrio La Granja, sector norte II</t>
  </si>
  <si>
    <t xml:space="preserve">40 metros </t>
  </si>
  <si>
    <t xml:space="preserve">Construcción de obra de protección fluvial.   Largo: 40 m;  Hincado: 2m; Altura Libre: 3 m ; Altura Total: 5 m </t>
  </si>
  <si>
    <t xml:space="preserve">Calle San Diego </t>
  </si>
  <si>
    <t xml:space="preserve">Margen del río, erosión avanzada, problemas de socavación, destrucción y afectación directa de  gaviones existentes que actualmente protege la calle San Diego y las viviendas adyacentes </t>
  </si>
  <si>
    <t xml:space="preserve">Construcción de obra de protección fluvial.   Largo: 70 m;  Hincado: 2m; Altura Libre: 3 m ; Altura Total: 5 m </t>
  </si>
  <si>
    <t xml:space="preserve">Barrio Fusilera Corazón de Jesús </t>
  </si>
  <si>
    <t xml:space="preserve">Margen del río, erosión avanzada, problemas de socavación, destrucción y afectación directa de  gaviones existentes que actualmente protege la Barrio Fusilera y las viviendas adyacentes </t>
  </si>
  <si>
    <t xml:space="preserve">Urb. Villafuentes </t>
  </si>
  <si>
    <t xml:space="preserve">Afectación a viviendas y calle </t>
  </si>
  <si>
    <t xml:space="preserve">80 metros </t>
  </si>
  <si>
    <t xml:space="preserve">Margen del río, erosión avanzada, problemas de socavación, afectación directa a un conjunto de viviendas y una calle, así como la generación de inundaciones </t>
  </si>
  <si>
    <t xml:space="preserve">Construcción de obra de protección fluvial.   Largo: 80 m;  Hincado: 2m; Altura Libre: 3 m ; Altura Total: 5 m </t>
  </si>
  <si>
    <t xml:space="preserve">San Rafael Abajo </t>
  </si>
  <si>
    <t>Urb. Autofores I</t>
  </si>
  <si>
    <t xml:space="preserve">Afectación a viviendas  y estructura de gavión </t>
  </si>
  <si>
    <t xml:space="preserve">85 metros </t>
  </si>
  <si>
    <t xml:space="preserve">Margen del río, erosión avanzada, problemas de socavación, afectación directa a un conjunto de viviendas </t>
  </si>
  <si>
    <t xml:space="preserve">Construcción de obra de protección fluvial.   Largo: 84 m;  Hincado: 2m; Altura Libre: 2 m ; Altura Total: 4 m </t>
  </si>
  <si>
    <t>Urb. Autofores II</t>
  </si>
  <si>
    <t xml:space="preserve">Afectación a viviendas y estructura de espigones </t>
  </si>
  <si>
    <t xml:space="preserve">Construcción de obra de protección fluvial.   Largo: 70 m;  Hincado: 2m; Altura Libre: 2 m ; Altura Total: 4 m </t>
  </si>
  <si>
    <t xml:space="preserve">Autofores III, Calle Zurquí </t>
  </si>
  <si>
    <t xml:space="preserve">10 metros </t>
  </si>
  <si>
    <t xml:space="preserve">Margen del río, erosión avanzada, problemas de socavación, afectación potencial a viviendas </t>
  </si>
  <si>
    <t xml:space="preserve">Construcción de obra de protección fluvial.   Largo: 10 m;  Hincado: 2m; Altura Libre: 2 m ; Altura Total: 2 m </t>
  </si>
  <si>
    <t>Copelot I</t>
  </si>
  <si>
    <t xml:space="preserve">Construcción de obra de protección fluvial.   Largo: 20 m;  Hincado: 2m; Altura Libre: 2 m ; Altura Total: 4 m </t>
  </si>
  <si>
    <t>Copelot II</t>
  </si>
  <si>
    <t xml:space="preserve">Margen del río, erosión avanzada, problemas de socavación, afectación directa a calle de acceso a viviendas </t>
  </si>
  <si>
    <t xml:space="preserve">Construcción de obra de protección fluvial.   Largo: 20 m;  Hincado: 2m; Altura Libre: 0 m ; Altura Total: 2 m </t>
  </si>
  <si>
    <t>Buen Pastor I</t>
  </si>
  <si>
    <t xml:space="preserve">Afectación a viviendas y calle  </t>
  </si>
  <si>
    <t xml:space="preserve">90 metros </t>
  </si>
  <si>
    <t xml:space="preserve">Margen del río, erosión avanzada, problemas de socavación, afectación directa a calle de acceso y viviendas </t>
  </si>
  <si>
    <t xml:space="preserve">Construcción de obra de protección fluvial.   Largo: 90m; Doble  Hincado: 3m; Doble Altura Libre: 4 m ; Doble Altura Total: 7 m </t>
  </si>
  <si>
    <t>Buen Pastor II</t>
  </si>
  <si>
    <t xml:space="preserve">125 metros </t>
  </si>
  <si>
    <t xml:space="preserve">Construcción de obra de protección fluvial.   Largo: 125 m; Doble  Hincado: 3m; Doble Altura Libre: 4 m ; Doble Altura Total: 7 m </t>
  </si>
  <si>
    <t xml:space="preserve">Urb. Pablo Presbere </t>
  </si>
  <si>
    <t xml:space="preserve">Afectación a viviendas, zona de parque y Calle </t>
  </si>
  <si>
    <t xml:space="preserve">35 metros </t>
  </si>
  <si>
    <t xml:space="preserve">Margen del río, erosión avanzada, problemas de socavación, afectación directa zona de parque y potencial afectación a viviendas y calle </t>
  </si>
  <si>
    <t xml:space="preserve">Construcción de obra de protección fluvial.   Largo: 35 m;  Hincado: 2m; Altura Libre: 4 m ; Altura Total: 6 m </t>
  </si>
  <si>
    <t xml:space="preserve">Zona Centro </t>
  </si>
  <si>
    <t xml:space="preserve">Afectación a viviendas y zona comericial </t>
  </si>
  <si>
    <t xml:space="preserve">16 metros </t>
  </si>
  <si>
    <t xml:space="preserve">Margen del río, erosión avanzada, problemas de socavación, afectación directa a viviendas, zona de parque y protección, y zona comericial </t>
  </si>
  <si>
    <t xml:space="preserve">Construcción de obra de protección fluvial. Espigones    4 espigones de 4 metros cada una.  Cada espigón tiene las siguientes dimensiones   Hincado: 2m; Altura Libre: 4 m ; Altura Total: 6 m </t>
  </si>
  <si>
    <t xml:space="preserve">Condominios Montecarlo </t>
  </si>
  <si>
    <t xml:space="preserve">110 metros </t>
  </si>
  <si>
    <t xml:space="preserve">Margen del río, erosión avanzada, problemas de socavación, afectación potencial a viviendas y calle interna </t>
  </si>
  <si>
    <t>Calle La Amistad</t>
  </si>
  <si>
    <t>Afectación a viviendas, zona de industria y el fondo de la Calle Amistad</t>
  </si>
  <si>
    <t xml:space="preserve">60 metros </t>
  </si>
  <si>
    <t xml:space="preserve">Margen del río, erosión avanzada, problemas de socavación, afectación  potencial inminente a viviendas, zona industrial y calle interna </t>
  </si>
  <si>
    <t xml:space="preserve">Construcción de obra de protección fluvial.   Largo: 60 m;  Hincado: 2m; Altura Libre: 4 m ; Altura Total: 6 m </t>
  </si>
  <si>
    <t xml:space="preserve">Zona adyacente al puente de Concepción de Alajuelita </t>
  </si>
  <si>
    <t>Afectación a viviendas y potecial afectación a puente</t>
  </si>
  <si>
    <t xml:space="preserve">130 metros </t>
  </si>
  <si>
    <t xml:space="preserve">Margen del río, erosión avanzada, problemas de socavación, afectación potencial a viviendas, a calle y puente </t>
  </si>
  <si>
    <t xml:space="preserve">Construcción de obra de protección fluvial.   Largo: 130 m;  Hincado: 2m; Altura Libre: 4 m ; Altura Total: 6 m </t>
  </si>
  <si>
    <t xml:space="preserve">Urb. Villa de Luz o San Buenaventura, Urbanización contiguo al puente Jorco en Calle Fallas   </t>
  </si>
  <si>
    <t xml:space="preserve">Río Jorco </t>
  </si>
  <si>
    <t>San Rafael Abajo / Desamparados</t>
  </si>
  <si>
    <t xml:space="preserve">Puente sobre el Río Jorco, entre Desamparados y San Rafael Abajo, sector Calle Fallas </t>
  </si>
  <si>
    <t xml:space="preserve">Afectación bastiones de puente </t>
  </si>
  <si>
    <t xml:space="preserve">24 metros </t>
  </si>
  <si>
    <t xml:space="preserve">Socavación avanzada en los bastiones del puente </t>
  </si>
  <si>
    <t xml:space="preserve">Construcción de obra de protección fluvial.   Largo: 24 m;  Hincado: 2m; Altura Libre: 1  m ; Altura Total: 3 m </t>
  </si>
  <si>
    <t xml:space="preserve">Los Guido /San Miguel </t>
  </si>
  <si>
    <t xml:space="preserve">Urb. Valladolid / Calle Naranjo </t>
  </si>
  <si>
    <t xml:space="preserve">Afectación directa a viviendas y principalmente a un sector de la Urb. Valladolid.  Se encuentran afeactadas calles, sistemas de tuberías y existe un riesgo inminente para un conjunto de viviendas de la urbanización  </t>
  </si>
  <si>
    <t xml:space="preserve">100 metros </t>
  </si>
  <si>
    <t xml:space="preserve">Margen del río, erosión avanzada, problemas de socavación y peligro inminente de deslizamiento. Existe un riesto alto para un conjunto de viviendas de la urbanización Valladolid, en caso de que el río Jorco se aproxime más hacia la urbanización  </t>
  </si>
  <si>
    <t xml:space="preserve">Construcción de obra de protección fluvial.   Largo: 100m;  Hincado: 2m; Altura Libre: 4  m ; Altura Total:6 m </t>
  </si>
  <si>
    <t xml:space="preserve">San Miguel </t>
  </si>
  <si>
    <t xml:space="preserve">Urb. Casa de Campo </t>
  </si>
  <si>
    <t xml:space="preserve">Afectación directa a viviendas y principalmente a un sector de la Urb. Casa de Campo.    Se encuentran afeactadas viviendas existe un riesgo inminente para un conjunto de viviendas de la urbanización  </t>
  </si>
  <si>
    <t xml:space="preserve">Construcción de obra de protección fluvial.   Largo: 50 m;  Hincado: 2m; Altura Libre: 4  m ; Altura Total:6 m </t>
  </si>
  <si>
    <t xml:space="preserve">Desamparados </t>
  </si>
  <si>
    <t xml:space="preserve">Calle Fallas Condominio Laura </t>
  </si>
  <si>
    <t xml:space="preserve">Río Cucubres </t>
  </si>
  <si>
    <t xml:space="preserve">Afectación directa a viviendas y calle de acceso al Condominio Laura.  Se encuentran afeactadas calles y viviedas aduyacentes al río Cucubres </t>
  </si>
  <si>
    <t xml:space="preserve">Margen del río, erosión avanzada, problemas de socavación que afectan las viviendas del condominio Laura y las calle de acceso  en el puente sobre el río Jorco, entre Desamparados y San Rafael Abajo.  </t>
  </si>
  <si>
    <t xml:space="preserve">Construcción de obra de protección fluvial.   Largo:40 m;  Hincado: 2m; Altura Libre: 3  m ; Altura Total:5 m </t>
  </si>
  <si>
    <t xml:space="preserve">Entada a la Isla, sector Calle Sabanilla </t>
  </si>
  <si>
    <t xml:space="preserve">Río Jorco / Río Guatuso </t>
  </si>
  <si>
    <t>Margen del río, erosión avanzada, problemas de socavación, afectación potencial a viviendas y afectación directa a calle.</t>
  </si>
  <si>
    <t xml:space="preserve">Construcción de obra de protección fluvial.   Largo:50 m;  Hincado: 2m; Altura Libre: 4  m ; Altura Total:6 m </t>
  </si>
  <si>
    <t xml:space="preserve">Calle Sabanilla </t>
  </si>
  <si>
    <t xml:space="preserve">Afectación directa a calle Sabanilla </t>
  </si>
  <si>
    <t xml:space="preserve">Margen del río, erosión avanzada, problemas de socavación, afectación directa a al calle Sabanilla.  Se encuentra comprometida la seguridad vial de esta vía.  </t>
  </si>
  <si>
    <t xml:space="preserve">Construcción de obra de protección fluvial.   Largo:20 m;  Hincado: 2m; Altura Libre: 2  m ; Altura Total:4 m </t>
  </si>
  <si>
    <t>El Llano inmediaciones del puente principal I</t>
  </si>
  <si>
    <t xml:space="preserve">Río Guatuso </t>
  </si>
  <si>
    <t xml:space="preserve">Afectación directa a viviendas y propiedades </t>
  </si>
  <si>
    <t>Margen del río, erosión avanzada, problemas de socavación, afectación directa a viviendas y propiedades.</t>
  </si>
  <si>
    <t xml:space="preserve">Construcción de obra de protección fluvial.   Largo:50 m;  Hincado: 2m; Altura Libre: 2  m ; Altura Total:4 m </t>
  </si>
  <si>
    <t xml:space="preserve">San Antonio </t>
  </si>
  <si>
    <t xml:space="preserve">Urb. La Constancia </t>
  </si>
  <si>
    <t xml:space="preserve">Río Tiribí </t>
  </si>
  <si>
    <t xml:space="preserve">Afectación directa a viviendas y propiedades y Zona de Parque  </t>
  </si>
  <si>
    <t>Margen del río, erosión avanzada, problemas de socavación, afectación directa a viviendas y propiedades y zona de parque .</t>
  </si>
  <si>
    <t xml:space="preserve">Construcción de obra de protección fluvial.   Largo:50 m;  Hincado: 2m;  Altura Libre: 4  m ; Altura Total:6 m </t>
  </si>
  <si>
    <t xml:space="preserve">Urb. Boulevard </t>
  </si>
  <si>
    <t xml:space="preserve">Construcción de obra de protección fluvial.   Largo:20 m;  Doble Hincado: 3m; Doble Altura Libre: 4  m ; Altura Total:7 m </t>
  </si>
  <si>
    <t xml:space="preserve">Torremolinos y El Futuro </t>
  </si>
  <si>
    <t xml:space="preserve">Afectación directa a viviendas y propiedades así como la calle de acceso al sector de Torremolinos y El Futuro </t>
  </si>
  <si>
    <t xml:space="preserve">Margen del río, erosión avanzada, problemas de socavación, afectación directa a viviendas y propiedades y la calle de acceso a Torremolinos  y El Futuro </t>
  </si>
  <si>
    <t xml:space="preserve">Construcción de obra de protección fluvial.   Largo:125 m;  Hincado: 3m; Altura Libre: 4  m ; Altura Total:7 m </t>
  </si>
  <si>
    <t xml:space="preserve">San Cristóbal </t>
  </si>
  <si>
    <t xml:space="preserve">Colegio Técnico de San Cristóbal La Lucha </t>
  </si>
  <si>
    <t xml:space="preserve">Río Tarrazú </t>
  </si>
  <si>
    <t xml:space="preserve">Muro de gaviones dentro de las instalaciones del Colegio </t>
  </si>
  <si>
    <t xml:space="preserve">Margen del río, erosión avanzada, problemas de socavación, afectación a directa al gavión dentro del Colegio y una afectación potencial a los talleres del Colegio </t>
  </si>
  <si>
    <t xml:space="preserve">Urb. Vista Verde 1 (Parque) </t>
  </si>
  <si>
    <t xml:space="preserve">Construcción de obra de protección fluvial.   Largo:80 m;  Hincado: 2m;  Altura Libre: 4  m ; Altura Total:6 m </t>
  </si>
  <si>
    <t xml:space="preserve">Urb. Vista Verde 2 (Viviendas ) </t>
  </si>
  <si>
    <t xml:space="preserve">Margen del río, erosión avanzada, problemas de socavación, afectación directa a viviendas y propiedades </t>
  </si>
  <si>
    <t xml:space="preserve">Urb. Madeira (Parque) </t>
  </si>
  <si>
    <t>Margen del río, erosión avanzada, problemas de socavación, afectación potencial a viviendas y propiedades y zona de parque .</t>
  </si>
  <si>
    <t xml:space="preserve">Rosario </t>
  </si>
  <si>
    <t xml:space="preserve">Calla Guadarrama </t>
  </si>
  <si>
    <t xml:space="preserve">Río Alumbre </t>
  </si>
  <si>
    <t xml:space="preserve">Afectación directa a calle Guadarrama </t>
  </si>
  <si>
    <t>150 m</t>
  </si>
  <si>
    <t xml:space="preserve">Margen del río, erosión avanzada, problemas de socavación, afectación directa a al calle Guadarrama.  Se encuentra comprometida la seguridad vial de esta vía.  </t>
  </si>
  <si>
    <t xml:space="preserve">Construcción de obra de protección fluvial.   Largo:150 m;  Hincado: 2m; Altura Libre: 4  m ; Altura Total:4 m </t>
  </si>
  <si>
    <t xml:space="preserve">DESAMPARADOS </t>
  </si>
  <si>
    <t xml:space="preserve">SUBTOTAL </t>
  </si>
  <si>
    <t>Damas</t>
  </si>
  <si>
    <t xml:space="preserve">Dos Cercas </t>
  </si>
  <si>
    <t>gimnasio</t>
  </si>
  <si>
    <t>concreto</t>
  </si>
  <si>
    <t>propia</t>
  </si>
  <si>
    <t>Inundación saturación de los suelos</t>
  </si>
  <si>
    <t>Informe de situación 102</t>
  </si>
  <si>
    <t>Reparar</t>
  </si>
  <si>
    <t>Concreto</t>
  </si>
  <si>
    <t>total</t>
  </si>
  <si>
    <t>Rosario</t>
  </si>
  <si>
    <t xml:space="preserve">La Joya </t>
  </si>
  <si>
    <t>plaza</t>
  </si>
  <si>
    <t>Area verde</t>
  </si>
  <si>
    <t>Total</t>
  </si>
  <si>
    <t>Reparar/ obra de Protección</t>
  </si>
  <si>
    <t>Salon comunal</t>
  </si>
  <si>
    <t>Deslizamiento muy proximo a las estructuras</t>
  </si>
  <si>
    <t>Obra de protección</t>
  </si>
  <si>
    <t>C. 1-12-082</t>
  </si>
  <si>
    <t>Rio La Mesa</t>
  </si>
  <si>
    <t>Alcantarilla de cuadro de doble celda</t>
  </si>
  <si>
    <t>Estructura 100% Colapsada</t>
  </si>
  <si>
    <t>Construcción de una nueva estructura (Puente)</t>
  </si>
  <si>
    <t>C. 1-12-091</t>
  </si>
  <si>
    <t>Rrío Tabarcia</t>
  </si>
  <si>
    <t>Puente 6,00 m x 3,50 m, x 2,50 m</t>
  </si>
  <si>
    <t xml:space="preserve">super estructura dañada por golpe de acarreo de escombros. Rellenos de aproximación socavados. </t>
  </si>
  <si>
    <t>Construcción de una nueva estructura (Puente o alcantarilla de cuadro)</t>
  </si>
  <si>
    <t>Bajo Bermudez</t>
  </si>
  <si>
    <t>C. 1-12-069</t>
  </si>
  <si>
    <t>Estructura colgante (38,00 m x 3,50 m x 10,00 m)</t>
  </si>
  <si>
    <t xml:space="preserve">Subestructura dañada estructuralmente en bastiones y marcos. Tablones de madera desgastados </t>
  </si>
  <si>
    <t>Rehabilitación de puente.</t>
  </si>
  <si>
    <t>C. 1-12-009</t>
  </si>
  <si>
    <t xml:space="preserve">Rio Jorco </t>
  </si>
  <si>
    <t xml:space="preserve">Puente de 12,00 m x 4,00 m x 3,00 m </t>
  </si>
  <si>
    <t>Estructura que presenta socavación en los bastiones, así como en rellenos de protección debido a la crecida que sufrió el caudal.</t>
  </si>
  <si>
    <t>Reconstrucción de puente.</t>
  </si>
  <si>
    <t>Breñón</t>
  </si>
  <si>
    <t>C. 1-12-079</t>
  </si>
  <si>
    <t>Quebrada La Palma</t>
  </si>
  <si>
    <t>Puente (8,00 m x 3,50 m x 2,50 m)</t>
  </si>
  <si>
    <t>Puente con daños en estructura por el golpe de escombros acarreados por cabeza de agua. Bastiones con socavación</t>
  </si>
  <si>
    <t>Lagunillas</t>
  </si>
  <si>
    <t>C. 1-12-055</t>
  </si>
  <si>
    <t>Puente (15,00 m x 4,00 m x 3,50  m)</t>
  </si>
  <si>
    <t>Puente Colapsado</t>
  </si>
  <si>
    <t>Toledo</t>
  </si>
  <si>
    <t>C. 1-12-002</t>
  </si>
  <si>
    <t>Puente (22,00 m x 4,00 m x 3,50  m)</t>
  </si>
  <si>
    <t xml:space="preserve">Estructura dañada estructuralmente en bastiones y socavamiento. Superestructura con tablones de madera dañados. </t>
  </si>
  <si>
    <t>Llano La Mesa</t>
  </si>
  <si>
    <t>Río La Mesa</t>
  </si>
  <si>
    <t>Puente (15 m x 3,5 m x 3 m)</t>
  </si>
  <si>
    <t>Puente dañado estructuralmente en sub y super estructura. Rellenos de aproximación socavados.</t>
  </si>
  <si>
    <t>C. 1-12-084</t>
  </si>
  <si>
    <t>Puente (20m x 4,00 m x 4,00 m)</t>
  </si>
  <si>
    <t>Estructura socavada en rellenos de aproximación y con afectación estrucrtural por el golpe de escombros por crecida del rio.</t>
  </si>
  <si>
    <t>Reparación de daños en estructura existente</t>
  </si>
  <si>
    <t>Río Tabarcia</t>
  </si>
  <si>
    <t xml:space="preserve">Puente de (12 m x 4 m x 2 m) </t>
  </si>
  <si>
    <t>Puente con daños en bastiones y superestructura, por el golpe de escombros producto de las crecidas y cabezas de aguas producidas sobre el Rio Tabarcia.</t>
  </si>
  <si>
    <t>Quebrada Pita</t>
  </si>
  <si>
    <t>Las Vegas</t>
  </si>
  <si>
    <t>C. 1-12-098</t>
  </si>
  <si>
    <t>Quebrada Sin Nombre</t>
  </si>
  <si>
    <t>Puente (6,00 m x 3,50m, x 2,00 m)</t>
  </si>
  <si>
    <t>Puente que presenta socavación de en los rellenos de aproximación y daños en bastiones</t>
  </si>
  <si>
    <t>Mejoramiento de estructura</t>
  </si>
  <si>
    <t>C. 1-12-038</t>
  </si>
  <si>
    <t xml:space="preserve"> Rio Candelaria</t>
  </si>
  <si>
    <t>Puente (40,00 m x 4,50 m x 5,00 m)</t>
  </si>
  <si>
    <t>Socavación de placa de bastiones</t>
  </si>
  <si>
    <t>Construcción de escollera de protección</t>
  </si>
  <si>
    <t>Bajo Calvo</t>
  </si>
  <si>
    <t>Puente (12,00 m x 4,00 m x 4,00 m)</t>
  </si>
  <si>
    <t>Construcción de escollera de protección, reconstrucción de barandas de protección. Pintura General</t>
  </si>
  <si>
    <t>Bajos de Jorco</t>
  </si>
  <si>
    <t xml:space="preserve">Estructura dañada por el golpe de material acarreado por crecida del río. </t>
  </si>
  <si>
    <t>Bajo Vargas</t>
  </si>
  <si>
    <t>C. 1-12-045</t>
  </si>
  <si>
    <t>Puente con socavamiento en la subestructura, y en rellenos de aproximación debido al paso de la crecida del Rio Jorco</t>
  </si>
  <si>
    <t xml:space="preserve">Breñón </t>
  </si>
  <si>
    <t>Puente con daños en estructura por el golpe de escombros acarreados por cabeza de agua. Bastiones con socavación. Daños severos en barandas de protección</t>
  </si>
  <si>
    <t>Mejoramiento a super estructura y subestructura</t>
  </si>
  <si>
    <t>Zoncuano</t>
  </si>
  <si>
    <t>Río Tiquires</t>
  </si>
  <si>
    <t>Puente (15,00 m x 5,00 m x 5,00 m)</t>
  </si>
  <si>
    <t>Puente con daños en las barandas de protección y en la losa y largueros con leves daños por golpes de escobros acarreados por el agua. Socavación en bastiones</t>
  </si>
  <si>
    <t>Reconstrucción de baranda de protección y mejoras enb losa de rodamiento. Pintura General</t>
  </si>
  <si>
    <t>Reconstrucción de estructura</t>
  </si>
  <si>
    <t>Alto Los Mora</t>
  </si>
  <si>
    <t>C. 1-12-042</t>
  </si>
  <si>
    <t>Quebrada Agua Blanca</t>
  </si>
  <si>
    <t>Puente (6,00 m x 3,50 m, x 2,50 m)</t>
  </si>
  <si>
    <t>Estructura dañada estructuralmente, en losa y bastiones, de momento solo paso vehiculos livianos.</t>
  </si>
  <si>
    <t>Alcantarilla 10,00 m longitud</t>
  </si>
  <si>
    <t>Estructura colapsada. Poca capacidad hidraulica. Invación de aguas a Vía Pública</t>
  </si>
  <si>
    <t>Construcción de una nueva estructura con capacidad hidraulica. (Alcantarilla de cuadro o puente)</t>
  </si>
  <si>
    <t>Alcantarilla de cuadro 6 m x 3,5 m x 2 m</t>
  </si>
  <si>
    <t>Estructura socavada y con daños estructruales</t>
  </si>
  <si>
    <t>Construcción de nueva estructura</t>
  </si>
  <si>
    <t>Chirraca</t>
  </si>
  <si>
    <t>C. 1-12-007</t>
  </si>
  <si>
    <t>Quebrada Chirraca</t>
  </si>
  <si>
    <t>Alcantarilla de cuadro (6,00 m x 3,5 m x 1,50 m)</t>
  </si>
  <si>
    <t>Ococa</t>
  </si>
  <si>
    <t>C. 1-12-001</t>
  </si>
  <si>
    <t>Alcantarilla corrugada 1,50 m diam</t>
  </si>
  <si>
    <t>Estructura dañada or el paso de una cabeza de agua</t>
  </si>
  <si>
    <t>Tablazo</t>
  </si>
  <si>
    <t>Puente y camino</t>
  </si>
  <si>
    <t>0.6 km</t>
  </si>
  <si>
    <t>Socavamiento de calzada y puentes</t>
  </si>
  <si>
    <t>Dragado del rio para encausar y redireccionar el rio, así como proteger los bastiones del Puente.</t>
  </si>
  <si>
    <t>Camino</t>
  </si>
  <si>
    <t>Dragado y redireccionamiento de rio, para evitar más socavación</t>
  </si>
  <si>
    <t>2 km</t>
  </si>
  <si>
    <t>Resbalón</t>
  </si>
  <si>
    <t>Quebrada seca</t>
  </si>
  <si>
    <t>camino y alcantarilla</t>
  </si>
  <si>
    <t>0.8 km</t>
  </si>
  <si>
    <t>Daño en calzada y alcantarillas</t>
  </si>
  <si>
    <t>Dragado de quebrada</t>
  </si>
  <si>
    <t>Chirraca             (Los Padilla)</t>
  </si>
  <si>
    <t>Camino, viviendas y predios</t>
  </si>
  <si>
    <t>Dragado de rio, reconstrucción de dique y camino</t>
  </si>
  <si>
    <t>El Patio</t>
  </si>
  <si>
    <t>Puente, caminos y viviendas</t>
  </si>
  <si>
    <t>0.5 km</t>
  </si>
  <si>
    <t>Dragado, redireccionamiento del rio y protección a bastiones</t>
  </si>
  <si>
    <t>Quebrada La Mina</t>
  </si>
  <si>
    <t>1.5 km</t>
  </si>
  <si>
    <t>Dragado y limpieza del cauce</t>
  </si>
  <si>
    <t xml:space="preserve">Rio Tabarcia </t>
  </si>
  <si>
    <t>Puente y caminos</t>
  </si>
  <si>
    <t xml:space="preserve">Cangrejal </t>
  </si>
  <si>
    <t xml:space="preserve">Rio Candelaria </t>
  </si>
  <si>
    <t xml:space="preserve">Puente y camino </t>
  </si>
  <si>
    <t>La Mesa</t>
  </si>
  <si>
    <t xml:space="preserve">Rio La Mesa </t>
  </si>
  <si>
    <t xml:space="preserve">Destrucción de alcantarilla de cuadro, socavación de camino </t>
  </si>
  <si>
    <t>Dragado del rio</t>
  </si>
  <si>
    <t>Rio Pirris</t>
  </si>
  <si>
    <t>Caminos y poblados</t>
  </si>
  <si>
    <t>Destrucción de caminos en ambos margenes del rio</t>
  </si>
  <si>
    <t>Dragado del rio para encausar y redireccionar el rio, así como proteger los poblados.</t>
  </si>
  <si>
    <t>Rio Tiquires</t>
  </si>
  <si>
    <t>Afectación al camino</t>
  </si>
  <si>
    <t>Bijagual (Parriton)</t>
  </si>
  <si>
    <t xml:space="preserve">1 km </t>
  </si>
  <si>
    <t>Rio Parrita</t>
  </si>
  <si>
    <t>Riesgo de inundación y afectación a la comunidad</t>
  </si>
  <si>
    <t>Dragado de rio y construcción de dique</t>
  </si>
  <si>
    <t>Costado sur del Parque Central Monseñor Sanabria</t>
  </si>
  <si>
    <t>Atención intrahospitalaria y atención primaria (Cruz Roja Costarricense)</t>
  </si>
  <si>
    <t xml:space="preserve">Maposteria </t>
  </si>
  <si>
    <t>Propio</t>
  </si>
  <si>
    <t xml:space="preserve">Deslizamiento detrás de las instalaciones </t>
  </si>
  <si>
    <t>Pérdida de muro de gavion y Riesgo de afectar estructura</t>
  </si>
  <si>
    <t>Obra de protección (muro anclado)</t>
  </si>
  <si>
    <t>Socavación del camino</t>
  </si>
  <si>
    <t xml:space="preserve">Socavación del camino por efecto del aumento en el caudal del Río. </t>
  </si>
  <si>
    <t>Construcción de muro de conteción y manejo de aguas pluviales.</t>
  </si>
  <si>
    <t>Ague Blanca</t>
  </si>
  <si>
    <t>Construcción de muro de conteción</t>
  </si>
  <si>
    <t>La Vereda</t>
  </si>
  <si>
    <t>Quebrada Tigua</t>
  </si>
  <si>
    <t>Socavamiento del camino por invasión de aguas a la suerficie de ruedo</t>
  </si>
  <si>
    <t>Tablazo (Los Granados)</t>
  </si>
  <si>
    <t>Quebrada Tablazo</t>
  </si>
  <si>
    <t>-</t>
  </si>
  <si>
    <t>Deslizamiento del camino</t>
  </si>
  <si>
    <t>Deslizamiento por invasión de aguas pluviales.</t>
  </si>
  <si>
    <t>Chirraca (San Martín)</t>
  </si>
  <si>
    <t xml:space="preserve">Deslizamiento del camino </t>
  </si>
  <si>
    <t>Deslizamiento por socavación por efecto del Rio y manejor de aguas pluviales</t>
  </si>
  <si>
    <t>Rio Candelaria</t>
  </si>
  <si>
    <t>Deslizamiento por socavación de camino</t>
  </si>
  <si>
    <t>Deslizamiento por condiciones topograficas</t>
  </si>
  <si>
    <t>Hondonada</t>
  </si>
  <si>
    <t>Deslizamiento sobre el camino</t>
  </si>
  <si>
    <t>La Fila</t>
  </si>
  <si>
    <t>Coyolar</t>
  </si>
  <si>
    <t>Deslizamiento por condiciones topograficas e invasión de aguas pluviales</t>
  </si>
  <si>
    <t>Construcción de muro de contención</t>
  </si>
  <si>
    <t>Hubdimiento en la vía</t>
  </si>
  <si>
    <t>Hundimiento por condiciones topograficas y afectación de fuertes aguaceros</t>
  </si>
  <si>
    <t>Construcción de sistema de retención (muro anclado)</t>
  </si>
  <si>
    <t>Salitral (Italianos)</t>
  </si>
  <si>
    <t>Rìo Jorco</t>
  </si>
  <si>
    <t>Deslizamiento de camino</t>
  </si>
  <si>
    <t>Deslizamiento or socavamiento del camino por efecto de aumento de caudal del Rìo.</t>
  </si>
  <si>
    <t>San Rafael y la Isla</t>
  </si>
  <si>
    <t>C114</t>
  </si>
  <si>
    <t>Río Ipís</t>
  </si>
  <si>
    <t>Puente de concreto en arco, construido entre 1974 y 1978</t>
  </si>
  <si>
    <t>Socavación y pérdida de la estructura de arco</t>
  </si>
  <si>
    <t>Reconstrucción de estructura de puente</t>
  </si>
  <si>
    <t>MORAVIA</t>
  </si>
  <si>
    <t>La Rjoya</t>
  </si>
  <si>
    <t>Río Macho</t>
  </si>
  <si>
    <t>Erosion lateral en las área de proteccion del rio</t>
  </si>
  <si>
    <t>Daños en las areas de proteccion en propiedades privadas</t>
  </si>
  <si>
    <t>Estudios de viabilidad y diseños de enrocado y dragado.</t>
  </si>
  <si>
    <t xml:space="preserve">Santa María </t>
  </si>
  <si>
    <t xml:space="preserve">Las Nubes </t>
  </si>
  <si>
    <t>117-015</t>
  </si>
  <si>
    <t xml:space="preserve">Deslizamiento, obstrucción del ancho de calzada </t>
  </si>
  <si>
    <t>Limpieza de derrumbes, estudios de suelos, estabilización de taludes.</t>
  </si>
  <si>
    <t xml:space="preserve">Vapor </t>
  </si>
  <si>
    <t>117-012</t>
  </si>
  <si>
    <t xml:space="preserve">Deslizamientos </t>
  </si>
  <si>
    <t xml:space="preserve">Estudios de suelos y obras de estabilización de taludes </t>
  </si>
  <si>
    <t xml:space="preserve">Cedral </t>
  </si>
  <si>
    <t>117-009</t>
  </si>
  <si>
    <t>Lavado de lastre, zanjas en calzada</t>
  </si>
  <si>
    <t>Conformación de la superficie de ruedo, relastrado.</t>
  </si>
  <si>
    <t xml:space="preserve">Santa maría </t>
  </si>
  <si>
    <t xml:space="preserve">El congo </t>
  </si>
  <si>
    <t>117-019</t>
  </si>
  <si>
    <t xml:space="preserve">Urbanización el Guayabal </t>
  </si>
  <si>
    <t>117-026</t>
  </si>
  <si>
    <t xml:space="preserve">Perdida de sección de calzada </t>
  </si>
  <si>
    <t xml:space="preserve">Estudios de suelos, obras de contención de calzada </t>
  </si>
  <si>
    <t xml:space="preserve">Rincón de los Solís </t>
  </si>
  <si>
    <t>117-021</t>
  </si>
  <si>
    <t xml:space="preserve">Lavado de lastre, zanjas en calzada </t>
  </si>
  <si>
    <t xml:space="preserve">Nubotropica </t>
  </si>
  <si>
    <t>117-013</t>
  </si>
  <si>
    <t xml:space="preserve">San Rafael </t>
  </si>
  <si>
    <t xml:space="preserve">117-018        (Camino al Basurero) </t>
  </si>
  <si>
    <t>117-057</t>
  </si>
  <si>
    <t xml:space="preserve">Deslizamientos, perdida total de la calzada, perdida de pasos de alcantarillas y cabezales  </t>
  </si>
  <si>
    <t>Limpieza, estabilización de taludes, colocación de pasos de alcantarillas y cabezales.</t>
  </si>
  <si>
    <t xml:space="preserve">San Joaquín </t>
  </si>
  <si>
    <t xml:space="preserve">117-003       (Camino San Joaquín) </t>
  </si>
  <si>
    <t>Deslizamientos, lavado de lastre, zanjas en calzada</t>
  </si>
  <si>
    <t xml:space="preserve">Limpieza, estabilización de taludes, conformación de la superficiede ruedo  y relastreo </t>
  </si>
  <si>
    <t xml:space="preserve">San Pedro </t>
  </si>
  <si>
    <t>117-063</t>
  </si>
  <si>
    <t xml:space="preserve">Hundimiento en sección de calzada  </t>
  </si>
  <si>
    <t xml:space="preserve">El Rastro </t>
  </si>
  <si>
    <t>117-061</t>
  </si>
  <si>
    <t xml:space="preserve">Perdida de sección de la calzada (superficie de asfalto) </t>
  </si>
  <si>
    <t xml:space="preserve">Construcción de obras de contención (muros) y conformación de calzada, colocación de asfalto  </t>
  </si>
  <si>
    <t xml:space="preserve">El Jocotal </t>
  </si>
  <si>
    <t>117-020          (Camino la Tuna)</t>
  </si>
  <si>
    <t xml:space="preserve">Las Rejas </t>
  </si>
  <si>
    <t>117-011 (Camino Las Rejas )</t>
  </si>
  <si>
    <t xml:space="preserve">Deslizamientos, perdida de pasos de alcantarillas </t>
  </si>
  <si>
    <t xml:space="preserve">Limpieza y estabilización de taludes, colocación de pasos de alcantarillas </t>
  </si>
  <si>
    <t xml:space="preserve">Vara Blanca </t>
  </si>
  <si>
    <t>117-014</t>
  </si>
  <si>
    <t xml:space="preserve">Lavado de lastre, perdida de pasos de alcantarillas </t>
  </si>
  <si>
    <t xml:space="preserve">Conformación y relastreo y colocación de pasos de alcantarillas </t>
  </si>
  <si>
    <t xml:space="preserve">Naranjo </t>
  </si>
  <si>
    <t xml:space="preserve">117-008        (Camino Naranjo) </t>
  </si>
  <si>
    <t xml:space="preserve">Deslizamientos, lavado de lastre, zanjas en calzada, perdida de pasos de alcantarillas  </t>
  </si>
  <si>
    <t xml:space="preserve">Limpieza y estabilización de taludes, conformación y relastreo, colocación de pasos de alcantarillas </t>
  </si>
  <si>
    <t xml:space="preserve">Copey </t>
  </si>
  <si>
    <t xml:space="preserve">Viejo a Copey </t>
  </si>
  <si>
    <t>117-005 (Camino Viejo a Copey )</t>
  </si>
  <si>
    <t xml:space="preserve">Conformación de superficie de ruedo y relastreo </t>
  </si>
  <si>
    <t xml:space="preserve">Rio Blanco </t>
  </si>
  <si>
    <t>117-038              (Copey-Rio Blanco)</t>
  </si>
  <si>
    <t xml:space="preserve">Perdida de sección de la calzada, lavado de lastre, perdida de pasos de alcantarillas. </t>
  </si>
  <si>
    <t xml:space="preserve">Conformación de la superficie de ruedo, relastrado, estudios de suelo, obras de contención, construcción de pasos de alcantarillas </t>
  </si>
  <si>
    <t xml:space="preserve">La Trinidad </t>
  </si>
  <si>
    <t>117-038              (La Trinidad -Rio Blanco)</t>
  </si>
  <si>
    <t>Deslizamientos, perdida total de la  calzada, zanjas en calzada.</t>
  </si>
  <si>
    <t>Estudios de suelos, diseños estabilización de taludes, obras de contención, conformación de la superficie de ruedo, relastrado</t>
  </si>
  <si>
    <t xml:space="preserve">Pedregoso - Providencia </t>
  </si>
  <si>
    <t xml:space="preserve">117-039          Copey-Providencia </t>
  </si>
  <si>
    <t xml:space="preserve">Deslizamientos, perdida de sección de la calzada, lavado de lastre, zanjas en el camino, perdida de pasos de alcantarillas y cabezales    </t>
  </si>
  <si>
    <t>Estabilización de taludes, obras de contención, estudios de suelos, conformación y relastreo, colocación de pasos de alcantarillas y construcción de cabezales.</t>
  </si>
  <si>
    <t xml:space="preserve">San Gerardo </t>
  </si>
  <si>
    <t xml:space="preserve">117-037          Camino San Gerardo </t>
  </si>
  <si>
    <t xml:space="preserve">Deslizamientos, perdida de sección de calzada (superficie de ruedo en tratamiento)   </t>
  </si>
  <si>
    <t>Estabilización de taludes, estudios de suelos, construción de obras de contención y conformación de superficie de ruedo (Tratamiento superficial)</t>
  </si>
  <si>
    <t xml:space="preserve">Chevo Gomez </t>
  </si>
  <si>
    <t>117-045</t>
  </si>
  <si>
    <t xml:space="preserve">Lavado de lastre y zanjas en el camino </t>
  </si>
  <si>
    <t xml:space="preserve">Salsipuedes </t>
  </si>
  <si>
    <t>117-046</t>
  </si>
  <si>
    <t xml:space="preserve">Zapotal </t>
  </si>
  <si>
    <t>117-048</t>
  </si>
  <si>
    <t xml:space="preserve">Lavado de lastre, zanjas en el camino y perdida de pasos de alcantarillas  </t>
  </si>
  <si>
    <t xml:space="preserve">Conformación de la superficie de ruedo, relastrado y colocación de pasos de alcantarillas </t>
  </si>
  <si>
    <t xml:space="preserve">La piedra </t>
  </si>
  <si>
    <t>117-051</t>
  </si>
  <si>
    <t xml:space="preserve">Bajo Cespedes </t>
  </si>
  <si>
    <t>117-047</t>
  </si>
  <si>
    <t xml:space="preserve">Quebrada Grande </t>
  </si>
  <si>
    <t>117-043</t>
  </si>
  <si>
    <t xml:space="preserve">Serrano </t>
  </si>
  <si>
    <t>117-049</t>
  </si>
  <si>
    <t xml:space="preserve">Vueltas </t>
  </si>
  <si>
    <t>117-041</t>
  </si>
  <si>
    <t xml:space="preserve">Los Varela </t>
  </si>
  <si>
    <t>117-080</t>
  </si>
  <si>
    <t>Perdida de sección de la calzada</t>
  </si>
  <si>
    <t xml:space="preserve">Rio Blanco de Savegre </t>
  </si>
  <si>
    <t>117-082</t>
  </si>
  <si>
    <t xml:space="preserve">Ojo de agua </t>
  </si>
  <si>
    <t xml:space="preserve"> 117-036         Camino Ojo de agua </t>
  </si>
  <si>
    <t>Deslizamientos, perdida del ancho de calzada, lavado de lastre y zanjas en el camino, perdida de pasos de alcantarillas y cabezales.</t>
  </si>
  <si>
    <t xml:space="preserve">Obras de contención de calzada, conformación y relastreo, colocación de pasos de alcantarillas y cabezales  </t>
  </si>
  <si>
    <t>DOTA</t>
  </si>
  <si>
    <t xml:space="preserve">San Joaquin </t>
  </si>
  <si>
    <t>RCN° 117-003 (San Joaquín)
CRTM05 (0465312 E; 0392508 N)</t>
  </si>
  <si>
    <t>Rio San Joaquín</t>
  </si>
  <si>
    <t>Puente tipo Bailey de cercha superior
Largo: 15 m; ancho: 3,6 m y altura libre aprox. 3,2 m</t>
  </si>
  <si>
    <t>Afectado Estructuralmente:
Caída de material sobre el puente afectó la superestructura.</t>
  </si>
  <si>
    <t>Construcción de un puente nuevo en este sector, que responda a las recomendaciones brindadas en los estudios preliminares de la obra.</t>
  </si>
  <si>
    <t>RCN° 117-011 (Las Rejas)
CRTM05 (0468963 E; 0393302 N)</t>
  </si>
  <si>
    <t>Rio Naranjo</t>
  </si>
  <si>
    <t>Puente de vigas de acero, con tablero de madera, sobre bastiones de concreto.
Largo: 16 m; ancho: 3,3 m y altura libre aprox. de 3,2 m.
Actualmente no existe.</t>
  </si>
  <si>
    <t>La estructura de puente existente, fue arrasada por la crecida del río, actualmente no existe.</t>
  </si>
  <si>
    <t>Construcción de un puente nuevo en un sector adecuado, que responda a las recomendaciones brindadas en los estudios preliminares de la obra.</t>
  </si>
  <si>
    <t xml:space="preserve">Higueronal </t>
  </si>
  <si>
    <t>Quebrada Rivas
RCN° 117-002 (Calle Higueronal)
CRTM05 (0503124 E; 1065835 N)</t>
  </si>
  <si>
    <t>Quebrada Rivas</t>
  </si>
  <si>
    <t>Puente de Concreto estructural
Largo: 6 m; ancho: 3,5 m y altura libre aprox. 2,5 m</t>
  </si>
  <si>
    <t>Socavación: La estructura se ubica sobre un codo del río por lo tanto sufrio socavación en uno de sus bastiones.</t>
  </si>
  <si>
    <t>Construcción de un puente nuevo en este sector, que responda a las recomendaciones de diseño brindadas  en los estudios preliminares de la obra.</t>
  </si>
  <si>
    <t xml:space="preserve">Las Vueltas </t>
  </si>
  <si>
    <t>RCN° 117-041 (Las Vueltas)
CRTM05 (0473013 E; 0398821 N)</t>
  </si>
  <si>
    <t>Rio Pedregoso</t>
  </si>
  <si>
    <t>Puente de Concreto estructural
Largo: 6,3 m; ancho: 3,5 m y altura libre aprox. 3,5 m</t>
  </si>
  <si>
    <t>Socavación: La estructura sufrió de socavación en uno de los bastiones, el agua actualmente corre por debajo del mismo</t>
  </si>
  <si>
    <t xml:space="preserve">El Vapor </t>
  </si>
  <si>
    <t xml:space="preserve">Quebrada Rivas </t>
  </si>
  <si>
    <t xml:space="preserve">Paso de alcantarillas 32 pulgadas </t>
  </si>
  <si>
    <t xml:space="preserve">Destruccción de cabelzales y fractura de alcantarillas, falta de capacidad de las alcantarillas  </t>
  </si>
  <si>
    <t xml:space="preserve">Estudios hidrologicos e hidraulicos, construcción de una obra nueva que responda a las recomendaciones de los estudios realizados, asi como la construcción de cabezales    </t>
  </si>
  <si>
    <t xml:space="preserve">Alcantarillado de aproximadamente 400m  de longuitud, tamaño varible de tubos de concreto de 18 a 24 pulgadas </t>
  </si>
  <si>
    <t xml:space="preserve">Falta de capacidad en sistema de alcantarillado, afectación en propiedades y viviendas </t>
  </si>
  <si>
    <t xml:space="preserve">Estudios hidrologicos e hidraulicos, construcción de un nuevos sistema de alcantarillado  que responda a las recomendaciones de los estudios realizado, asi  como la construcción de obras complementarias     </t>
  </si>
  <si>
    <t>Santa María</t>
  </si>
  <si>
    <t>Calle San Rafael</t>
  </si>
  <si>
    <t>Naciente Johel</t>
  </si>
  <si>
    <t xml:space="preserve">Tubería de distribución de agua potable </t>
  </si>
  <si>
    <t xml:space="preserve">10 tubos de 2" quebrados arrastrados por la corriente </t>
  </si>
  <si>
    <t>Cruzar la tubería por la quebrada de forma que no esté tan expuesta a daños por crecidas</t>
  </si>
  <si>
    <t xml:space="preserve">Tubería de Conducción de agua potable </t>
  </si>
  <si>
    <t>20 tubos de 2"  quebrados y expuestos por deslizamiento en ruta nacional 226</t>
  </si>
  <si>
    <t>instalar la tubería del diámetro adecuado porque se provicionalemente está reducida,</t>
  </si>
  <si>
    <t>Rincón de los Solís</t>
  </si>
  <si>
    <t>Naciente Álvaro enrique</t>
  </si>
  <si>
    <t>10 tubos de 3" arrastrados por la corriente</t>
  </si>
  <si>
    <t>Naciente Mayra</t>
  </si>
  <si>
    <t>Se reventó la tubería y le entró material de la quebrada que se acumuló y formó tapones en  diferentes sectores (80 tubos de1" y 1/2"</t>
  </si>
  <si>
    <t xml:space="preserve">Se encontraron algunas secciones con material acumulado y se reemplazaron, se requiere maquinaria </t>
  </si>
  <si>
    <t>Puerto Rico</t>
  </si>
  <si>
    <t>Naciente Avelina</t>
  </si>
  <si>
    <t>1 km de tubería de 2" arrastrado por la corriente de una quebrada aledaña</t>
  </si>
  <si>
    <t>Hacer denuevo la zanja entre la motaña y colocar toda la tubería nueva</t>
  </si>
  <si>
    <t>Copey</t>
  </si>
  <si>
    <t>Tanque pedregoso</t>
  </si>
  <si>
    <t>el río socavó el camino de forma que la tubería se quebró y quedó expuesta en diferentes sectores</t>
  </si>
  <si>
    <t xml:space="preserve">Colocar tubería nueva cuando se drague el río y reestablezca el camino </t>
  </si>
  <si>
    <t>Calle Vieja a Copey</t>
  </si>
  <si>
    <t>Tubería conducción</t>
  </si>
  <si>
    <t>El margen del Río Prrrís se ensanchó y dejó vulnerable un cruce de tubería</t>
  </si>
  <si>
    <t>Cruce de tubería sobre el río Pirrís</t>
  </si>
  <si>
    <t xml:space="preserve">Centro de Santa María </t>
  </si>
  <si>
    <t xml:space="preserve">Rio Pirrís </t>
  </si>
  <si>
    <t>Infraesturtura vial cantonal ruta 117-020 y 117-061 ruta nacional 226</t>
  </si>
  <si>
    <t>3000 m (1000m aguas abajo y 2000m aguas arriba del puente sobre la ruta nacional 226)</t>
  </si>
  <si>
    <t xml:space="preserve">Socavación de los margenes del Rio, acumulación de sedimentos  </t>
  </si>
  <si>
    <t>Estudios hidrologicos e hidraulicos,conformación del cauce, y  obras para protección de margenes, según la recomendación de los estudios.</t>
  </si>
  <si>
    <t xml:space="preserve">Centro de Copey </t>
  </si>
  <si>
    <t xml:space="preserve">Afectaciones en propiedades e infraestructura vial puente sobre ruta nacional 315, socavacion en bastiones </t>
  </si>
  <si>
    <t>1500 m (500m aguas abajo y 1000m aguas arriba del puente sobre la ruta nacional 315)</t>
  </si>
  <si>
    <t xml:space="preserve">Socavación de los margenes del Rio, acumulación de sedimentos, daños en diques.   </t>
  </si>
  <si>
    <t xml:space="preserve">LA SOCOLILLA </t>
  </si>
  <si>
    <t>1-20-006</t>
  </si>
  <si>
    <t>1,235</t>
  </si>
  <si>
    <t>4,80</t>
  </si>
  <si>
    <t>Derrumbes varios, superficie de ruedo en mal estado</t>
  </si>
  <si>
    <t>MEDIO</t>
  </si>
  <si>
    <t xml:space="preserve">Limpieza de derrumbes, lastreo  </t>
  </si>
  <si>
    <t xml:space="preserve">LOS NAVARRO </t>
  </si>
  <si>
    <t>1-20-034</t>
  </si>
  <si>
    <t>4,15</t>
  </si>
  <si>
    <t>4,54</t>
  </si>
  <si>
    <t xml:space="preserve">Derrumbes varios, deslizamiento cerca de quebrada Valverde </t>
  </si>
  <si>
    <t xml:space="preserve">ALTO </t>
  </si>
  <si>
    <t>San Andrés</t>
  </si>
  <si>
    <t>LA LOMA-CRISTO REY</t>
  </si>
  <si>
    <t>1-20-037</t>
  </si>
  <si>
    <t>4,51</t>
  </si>
  <si>
    <t>Derrumbes, superficie de ruedo y sistema de drenaje en mal estado</t>
  </si>
  <si>
    <t xml:space="preserve">lastreo  </t>
  </si>
  <si>
    <t xml:space="preserve">SAN DIEGO </t>
  </si>
  <si>
    <t>1-20-010</t>
  </si>
  <si>
    <t>4,70</t>
  </si>
  <si>
    <t xml:space="preserve">Derrumbes,  superficie de ruedo en mal estado </t>
  </si>
  <si>
    <t>Construcción de cunetas y lastreo</t>
  </si>
  <si>
    <t xml:space="preserve">SANTA ROSA </t>
  </si>
  <si>
    <t>1-20-011</t>
  </si>
  <si>
    <t>BAJO MORAS</t>
  </si>
  <si>
    <t>1-20-012</t>
  </si>
  <si>
    <t xml:space="preserve">Derrumbes, superficie de ruedo y sistema de drenaje en mal estado, Hundimiento de la superficie de rodamiento </t>
  </si>
  <si>
    <t>Limpieza de derrumbes, lastreo  y Construcción de 2 muros de gavión</t>
  </si>
  <si>
    <t xml:space="preserve">SANTA JUANA </t>
  </si>
  <si>
    <t>1-20-014</t>
  </si>
  <si>
    <t xml:space="preserve">LOS ORTIZ </t>
  </si>
  <si>
    <t>1-20-016</t>
  </si>
  <si>
    <t xml:space="preserve">Superficide de ruedo y sistema de drenaje en mal estado </t>
  </si>
  <si>
    <t xml:space="preserve">BAJO LOS ANGELES </t>
  </si>
  <si>
    <t>1-20-038</t>
  </si>
  <si>
    <t>4,63</t>
  </si>
  <si>
    <t>Socavación de camino, Derrumbes, superficie de ruedo y sistema de drenaje en mal estado</t>
  </si>
  <si>
    <t xml:space="preserve">Construcción de muro de gavión. Construcción de cunetas, Dragado del rio Tararzú como medida de prevención </t>
  </si>
  <si>
    <t>HIGUERON-LA ESCUELA</t>
  </si>
  <si>
    <t>1-20-039</t>
  </si>
  <si>
    <t>5,04</t>
  </si>
  <si>
    <t xml:space="preserve">Hundimiento de  la superficie de rodamiento, derrumbes </t>
  </si>
  <si>
    <t xml:space="preserve">Rehabiltación de la superficie de ruedo y limpieza de derrumbes </t>
  </si>
  <si>
    <t xml:space="preserve">HIGUERON- LOS PIEDRA </t>
  </si>
  <si>
    <t>1-20-043</t>
  </si>
  <si>
    <t>4,33</t>
  </si>
  <si>
    <t>Superficie de ruedo y sistema de drenaje en mal estado</t>
  </si>
  <si>
    <t>VIEJO LA ANGOSTURA</t>
  </si>
  <si>
    <t>1-20-051</t>
  </si>
  <si>
    <t>5,68</t>
  </si>
  <si>
    <t xml:space="preserve">Sistema de drenaje y superficie de ruedo en mal estado </t>
  </si>
  <si>
    <t xml:space="preserve">Construcción de cunetas y rehablitación de la superficie de ruedo </t>
  </si>
  <si>
    <t xml:space="preserve">LOS PIEDRA- LA ESCUELA </t>
  </si>
  <si>
    <t>1-20-090</t>
  </si>
  <si>
    <t>4</t>
  </si>
  <si>
    <t xml:space="preserve">C.U.C LA CONCEPCIÓN </t>
  </si>
  <si>
    <t>1-20-020</t>
  </si>
  <si>
    <t>Hundimiento de la superficie  de rodamiento, derrumbes</t>
  </si>
  <si>
    <t xml:space="preserve">constricción de muro de gavión, limpieza de derrumbes </t>
  </si>
  <si>
    <t xml:space="preserve">C.U.C SAN LUIS </t>
  </si>
  <si>
    <t>1-20-021</t>
  </si>
  <si>
    <t xml:space="preserve">Hundimiento de la superficie  de rodamiento, derrumbes, superficie de ruedo y sistema de drenaje en mal estado </t>
  </si>
  <si>
    <t xml:space="preserve">Construcción de 2 muros de gavión, limpieza de derrumbes, construcción de cunetas,  recarpeteo en asfalto </t>
  </si>
  <si>
    <t xml:space="preserve">LA MAQUINA </t>
  </si>
  <si>
    <t>1-20-036</t>
  </si>
  <si>
    <t>5,50</t>
  </si>
  <si>
    <t xml:space="preserve">C.U.C EL ROSARIO </t>
  </si>
  <si>
    <t>1-20-069</t>
  </si>
  <si>
    <t>2,23</t>
  </si>
  <si>
    <t>4,20</t>
  </si>
  <si>
    <t xml:space="preserve">Derrumbes varios, superficie de ruedo en mal estado </t>
  </si>
  <si>
    <t xml:space="preserve">BAJO SAUREZ </t>
  </si>
  <si>
    <t>1-20-035</t>
  </si>
  <si>
    <t>4,42</t>
  </si>
  <si>
    <t>4,90</t>
  </si>
  <si>
    <t xml:space="preserve">Derrumbes varios, hundimiento de superficie de rodamiento </t>
  </si>
  <si>
    <t xml:space="preserve">Lastreo,  Rehabilitación de  sistema de drenaje, construción de muro de retención en piedra y concreto </t>
  </si>
  <si>
    <t xml:space="preserve">Ojo de Agua La virgen </t>
  </si>
  <si>
    <t>1-20-030</t>
  </si>
  <si>
    <t xml:space="preserve">Lastreo,  Rehabilitación del sistema de drenaje, construción de muro de retención en piedra y concreto </t>
  </si>
  <si>
    <t xml:space="preserve">C.U.C NACIENTE LOS GEMELOS </t>
  </si>
  <si>
    <t>1-20-083</t>
  </si>
  <si>
    <t>0,67</t>
  </si>
  <si>
    <t>4,40</t>
  </si>
  <si>
    <t>Superficie de ruedo por desviación del cauce de la quebrada</t>
  </si>
  <si>
    <t xml:space="preserve">Limpieza de derrumbes y lastreo  </t>
  </si>
  <si>
    <t>OJO DE AGUA SAN ANDRES</t>
  </si>
  <si>
    <t>1-20-031</t>
  </si>
  <si>
    <t>5,18</t>
  </si>
  <si>
    <t xml:space="preserve">Cosntrucción de cunetas, lastreo  </t>
  </si>
  <si>
    <t xml:space="preserve">C.U.C SAN ANDRÉS </t>
  </si>
  <si>
    <t>1-20-033</t>
  </si>
  <si>
    <t>5,33</t>
  </si>
  <si>
    <t xml:space="preserve">Construcción de cunetas, lastreo  y recarpeteo en asfalto </t>
  </si>
  <si>
    <t xml:space="preserve">NACIENTE SAN FRANCISCO </t>
  </si>
  <si>
    <t>1-20-088</t>
  </si>
  <si>
    <t>1,7</t>
  </si>
  <si>
    <t xml:space="preserve">LA PANTERA </t>
  </si>
  <si>
    <t>1-20-027</t>
  </si>
  <si>
    <t>4,27</t>
  </si>
  <si>
    <t>Derrumbes, perdida total de un cabezal y muro de gavión, superficie de ruedo</t>
  </si>
  <si>
    <t xml:space="preserve">Limpieza de derrumbes, contrucción de gavión, </t>
  </si>
  <si>
    <t xml:space="preserve">TRINIDAD-BAJO MONTERO </t>
  </si>
  <si>
    <t>1-20-045</t>
  </si>
  <si>
    <t>4,75</t>
  </si>
  <si>
    <t xml:space="preserve">Derrumbes,susperficide de ruedo en mal estado </t>
  </si>
  <si>
    <t xml:space="preserve">MEDIO </t>
  </si>
  <si>
    <t xml:space="preserve">C.U.C BAJO MONTERO LA ALTURA </t>
  </si>
  <si>
    <t>1-20-046</t>
  </si>
  <si>
    <t>3,98</t>
  </si>
  <si>
    <t xml:space="preserve">Derrumbes, superficie de ruedo en mal estado </t>
  </si>
  <si>
    <t xml:space="preserve">Limpieza de derrumbes, lastreo </t>
  </si>
  <si>
    <t xml:space="preserve">LA TRINIDAD </t>
  </si>
  <si>
    <t>1-20-047</t>
  </si>
  <si>
    <t>5,36</t>
  </si>
  <si>
    <t xml:space="preserve">Socavación del cabezal de salida del paso de alcantarillas </t>
  </si>
  <si>
    <t xml:space="preserve">Limpiez aderrumbes, Construcción del cabezal de salida con su respectivo canal de desfogue revestido </t>
  </si>
  <si>
    <t xml:space="preserve">CEDRAL-SAN MARTÍN </t>
  </si>
  <si>
    <t>1-20-028</t>
  </si>
  <si>
    <t>5,26</t>
  </si>
  <si>
    <t xml:space="preserve">Superficie de ruedo y sistema de drenaje en mal estado, hundimiento del camino </t>
  </si>
  <si>
    <t>Construccion de cunetas, recarpeteo asfalto y construcción de 2 muros de gavión</t>
  </si>
  <si>
    <t xml:space="preserve">Santa Cruz </t>
  </si>
  <si>
    <t>San Martín- Santa Cruz</t>
  </si>
  <si>
    <t>1-20-029</t>
  </si>
  <si>
    <t xml:space="preserve">Lastreo, construcción de 3 muros de gavión </t>
  </si>
  <si>
    <t xml:space="preserve">Cedral- La Roca </t>
  </si>
  <si>
    <t>1-20-060</t>
  </si>
  <si>
    <t xml:space="preserve">Derrumbes, hundimiento de la superficie de ruedo </t>
  </si>
  <si>
    <t xml:space="preserve">Limpieza de derrumbes, cosntrucición de muro de gavión </t>
  </si>
  <si>
    <t xml:space="preserve">La Montaña Norte </t>
  </si>
  <si>
    <t>1-20-061</t>
  </si>
  <si>
    <t xml:space="preserve">Derrumbes, superficide de ruedo en mal estado </t>
  </si>
  <si>
    <t xml:space="preserve">Santa Cruz La Roca La Montaña </t>
  </si>
  <si>
    <t>1-20-063</t>
  </si>
  <si>
    <t xml:space="preserve">Limpieza de derrumbes, construcción de muro de gavión y lastreo </t>
  </si>
  <si>
    <t xml:space="preserve">San Martín -La Lucha </t>
  </si>
  <si>
    <t>1-20-071</t>
  </si>
  <si>
    <t xml:space="preserve">Medio </t>
  </si>
  <si>
    <t xml:space="preserve">C.U.C BARRIO LOS DURÁN </t>
  </si>
  <si>
    <t>1-20-072</t>
  </si>
  <si>
    <t>5</t>
  </si>
  <si>
    <t xml:space="preserve">Derrumbes, superficie de ruedo  y sistema de drenaje en mal estado </t>
  </si>
  <si>
    <t xml:space="preserve">Limpieza de derrumbes, Construcción de cunetas y canales de desfogue, rehabilitación de la superficie de rodamiento </t>
  </si>
  <si>
    <t xml:space="preserve">EL COLEGIO DE LLANO BONITO </t>
  </si>
  <si>
    <t>1-20-073</t>
  </si>
  <si>
    <t>4,36</t>
  </si>
  <si>
    <t xml:space="preserve">Derrumbes </t>
  </si>
  <si>
    <t xml:space="preserve">Limpieza de derrumbes </t>
  </si>
  <si>
    <t xml:space="preserve">BAJO LOS GARRO </t>
  </si>
  <si>
    <t>1-20-009</t>
  </si>
  <si>
    <t xml:space="preserve">Limpieza de derrumbes, lastreo, construcción de cunetas </t>
  </si>
  <si>
    <t>San Antonio</t>
  </si>
  <si>
    <t xml:space="preserve">BARRIO LOS NUÑEZ </t>
  </si>
  <si>
    <t>1-20-086</t>
  </si>
  <si>
    <t xml:space="preserve">Obstrucción de alcantarillas existentes. Superficie de ruedo y sistema de drenaje en mal estado, hundimiento del camino </t>
  </si>
  <si>
    <t xml:space="preserve"> Limpieza de derrumbes y lastreo  </t>
  </si>
  <si>
    <t>LEON CORTÉS</t>
  </si>
  <si>
    <t xml:space="preserve">San Pablo </t>
  </si>
  <si>
    <t xml:space="preserve">La Maquina </t>
  </si>
  <si>
    <t xml:space="preserve">Quebrada La Máquina </t>
  </si>
  <si>
    <t>7 metros de largo, por 6 metros de alto y 5 metros de ancho</t>
  </si>
  <si>
    <t xml:space="preserve">Socavación de bastiones y reconstrucción de superficie de losa de rodamiento </t>
  </si>
  <si>
    <t xml:space="preserve">construcción  de bastiones y reconstrucción de superficie de losa de rodamiento </t>
  </si>
  <si>
    <t>Los Gemelos</t>
  </si>
  <si>
    <t>Quebrada El Rosario</t>
  </si>
  <si>
    <t>6 metros de largo, por 4 metros de alto y 4 metros de ancho</t>
  </si>
  <si>
    <t xml:space="preserve">Perdida total de la estructura </t>
  </si>
  <si>
    <t>3 metros de largo, por 3 metros de alto y 3 metros de ancho</t>
  </si>
  <si>
    <t>Construcción de alcantarilla nueva</t>
  </si>
  <si>
    <t xml:space="preserve">La Virgen- San Francisco </t>
  </si>
  <si>
    <t>1-20-018</t>
  </si>
  <si>
    <t xml:space="preserve">Quebrada San Rafael </t>
  </si>
  <si>
    <t xml:space="preserve">Socavación de la estructura existente y volcamiento del muro de retención </t>
  </si>
  <si>
    <t xml:space="preserve">Relleno y construcción de muro de gaviones nuevo </t>
  </si>
  <si>
    <t xml:space="preserve">San Andrés </t>
  </si>
  <si>
    <t xml:space="preserve">Pedregoso </t>
  </si>
  <si>
    <t>1-20-040</t>
  </si>
  <si>
    <t xml:space="preserve">Quebrada Higuerón </t>
  </si>
  <si>
    <t>8 metros de largo, por 6 metros de alto y 4 metros de ancho</t>
  </si>
  <si>
    <t>Socavación de bastiones, corrosión en vigas y deterioro en la superficie de rodamiento</t>
  </si>
  <si>
    <t>Rehabilitación de puente</t>
  </si>
  <si>
    <t xml:space="preserve">Los Piedra- la Escuela </t>
  </si>
  <si>
    <t>Quebrada Valverde</t>
  </si>
  <si>
    <t>5 metros de largo, por 4 metros de alto y 3 metros de ancho</t>
  </si>
  <si>
    <t>Perdida total de 1 paso de alcantarillas</t>
  </si>
  <si>
    <t>Construcción de 1 alcantarilla de cuadro</t>
  </si>
  <si>
    <t xml:space="preserve">Higuerón- La Escuela </t>
  </si>
  <si>
    <t>4 metros de largo, por 4 metros de alto y 4 metros de ancho</t>
  </si>
  <si>
    <t>Construcción de 2 alcantarillas de cuadro</t>
  </si>
  <si>
    <t xml:space="preserve">San Antonio- Higuerón </t>
  </si>
  <si>
    <t>1-20-042</t>
  </si>
  <si>
    <t>Quebrada El Llano</t>
  </si>
  <si>
    <t xml:space="preserve">Alcantarilla corrugada de 3 metros de diametro </t>
  </si>
  <si>
    <t xml:space="preserve">Alcantarilla corrugada fracturada </t>
  </si>
  <si>
    <t xml:space="preserve">Llano Bonito </t>
  </si>
  <si>
    <t xml:space="preserve">La Concepción </t>
  </si>
  <si>
    <t>6 metros de largo, por 4 metros de alto y 3 metros de ancho</t>
  </si>
  <si>
    <t xml:space="preserve">Bajo Moras </t>
  </si>
  <si>
    <t>4 metros de largo, por 3 metros de alto y 3 metros de ancho</t>
  </si>
  <si>
    <t xml:space="preserve">Perdida total de paso de alcantarilla existente </t>
  </si>
  <si>
    <t xml:space="preserve">Construcción de alcantarilla de caudro </t>
  </si>
  <si>
    <t>Santa Juana</t>
  </si>
  <si>
    <t xml:space="preserve">Los Ortiz </t>
  </si>
  <si>
    <t xml:space="preserve">Socavación de la estructura existente </t>
  </si>
  <si>
    <t>LEÓN CORTÉS</t>
  </si>
  <si>
    <t xml:space="preserve">Naciente San Francisco </t>
  </si>
  <si>
    <t xml:space="preserve">Río San Pablo </t>
  </si>
  <si>
    <t>alcantarillas de 0,76  metro de diametro</t>
  </si>
  <si>
    <t xml:space="preserve">Pérdida de pasos de alcantarilla existente por efecto del cauce de la quebrada </t>
  </si>
  <si>
    <t xml:space="preserve">Colocación de paso de alcantarillas de mayor diametro </t>
  </si>
  <si>
    <t xml:space="preserve">San Diego </t>
  </si>
  <si>
    <t xml:space="preserve"> 6 alcantarillas de 0,76  metros de diametro y 7 alcantarillas de 0,3 metros</t>
  </si>
  <si>
    <t>Pérdida total de 2 pasos de alcantarilla,</t>
  </si>
  <si>
    <t xml:space="preserve">Socavación de pasos de alcantarilla existente </t>
  </si>
  <si>
    <t>La Pantera</t>
  </si>
  <si>
    <t xml:space="preserve">Bajo Los Montero- la Altura </t>
  </si>
  <si>
    <t xml:space="preserve">Deterioro de la superficie de ruedo por falta de pasos de alcantarilla </t>
  </si>
  <si>
    <t xml:space="preserve">San Martín- Santa Cruz </t>
  </si>
  <si>
    <t>Pérdida de 2 pasos de alcantarilla y deterioro de la superficie de ruedo por falta de pasos de alcantarilla</t>
  </si>
  <si>
    <t xml:space="preserve">Colocación de pasos de alcantarilla </t>
  </si>
  <si>
    <t xml:space="preserve">Quebrada Los Gamboa </t>
  </si>
  <si>
    <t xml:space="preserve">El cauce de la quebrada se llevó las alcantarillas </t>
  </si>
  <si>
    <t>CUADRO</t>
  </si>
  <si>
    <t>AGROPECUARIO: SUBSECTOR AGRÍCOLA</t>
  </si>
  <si>
    <t>DAÑOS, PÉRDIDAS Y PROPUESTAS DE ATENCIÓN</t>
  </si>
  <si>
    <t>Declaratoria de Emergencia, Decreto N°:</t>
  </si>
  <si>
    <t>AFECTACIÓN</t>
  </si>
  <si>
    <t>PROPUESTA</t>
  </si>
  <si>
    <t>CANTONES</t>
  </si>
  <si>
    <t>DISTRITO</t>
  </si>
  <si>
    <t>POBLADO</t>
  </si>
  <si>
    <t>Actividad o         Productos</t>
  </si>
  <si>
    <t>Cantidades Estimadas (Peso)</t>
  </si>
  <si>
    <t>Infraestructura Agrícola</t>
  </si>
  <si>
    <t>Insumos</t>
  </si>
  <si>
    <t>Área Afectada (Ha.)</t>
  </si>
  <si>
    <t>Buenos Aires</t>
  </si>
  <si>
    <t>Potrero Grande, Térraba</t>
  </si>
  <si>
    <t>Potrero Grande, San Andrés y Catarata, Rey Curré</t>
  </si>
  <si>
    <t>Arroz</t>
  </si>
  <si>
    <t>12.60</t>
  </si>
  <si>
    <t xml:space="preserve">Inundación </t>
  </si>
  <si>
    <r>
      <t xml:space="preserve">Recuperación de las plantaciones de </t>
    </r>
    <r>
      <rPr>
        <sz val="8"/>
        <color indexed="60"/>
        <rFont val="Calibri"/>
        <family val="2"/>
      </rPr>
      <t xml:space="preserve">arroz </t>
    </r>
    <r>
      <rPr>
        <sz val="8"/>
        <color indexed="8"/>
        <rFont val="Calibri"/>
        <family val="2"/>
      </rPr>
      <t>en el cantón de Corredores, Golfito, Osa y Buenos Aires.</t>
    </r>
  </si>
  <si>
    <t>2018-2019</t>
  </si>
  <si>
    <t>Corredor, La Cuesta</t>
  </si>
  <si>
    <t>Control, Las Pangas y Hospital</t>
  </si>
  <si>
    <t>Guaycará</t>
  </si>
  <si>
    <t>Agroindustrial</t>
  </si>
  <si>
    <t>Palmar, Sierpe y Cortés</t>
  </si>
  <si>
    <t>Finca Térraba, Finca Chánguena, Finca 2,3 y 4, Finca 17, Finca 20, Jalaca, La Palma, Estero Negro Ajuntaderas, Ojo de Agua</t>
  </si>
  <si>
    <t>Boruca, Térraba, Colinas</t>
  </si>
  <si>
    <t>Rey Curré, San Andrés, Guagaral,Ujarrás, Puerto Nuevo</t>
  </si>
  <si>
    <t>Ayote</t>
  </si>
  <si>
    <t xml:space="preserve">Favorecer la recuperación de las plantaciones de ayote en los cantones de  Osa, Golfito, Buenos Aires y Pérez Zeledón. </t>
  </si>
  <si>
    <t>2018-2020</t>
  </si>
  <si>
    <t>Pérez Zeledón</t>
  </si>
  <si>
    <t>Rivas, San Isidro, Daniel Flores</t>
  </si>
  <si>
    <t>Alto Los Monge, Rosario de Pacuar, La Playa</t>
  </si>
  <si>
    <t>Palmar</t>
  </si>
  <si>
    <t>Finca Térraba, Finca Chánguena, Finca 10</t>
  </si>
  <si>
    <t>Bambel</t>
  </si>
  <si>
    <t>Volcán, Buenos Aires, Potrero Grande, Boruca</t>
  </si>
  <si>
    <t>Altamira, Bolas, Santa Eduvigues, San Juan, La Chamba, San Antonio, Bella Vista, La Lucha, Veragua, Ojo de Agua, Vergel</t>
  </si>
  <si>
    <t>Café</t>
  </si>
  <si>
    <t>Favorecer la recuperación de las plantaciones de Café en los cantones de Coto Brus, Buenos Aires y Pérez Zeledón.</t>
  </si>
  <si>
    <t>Daniel Flores, San Pedro, Rivas, La Amistad, Platanares, Río Nuevo, Páramo, Cajón, General Viejo, San Isidro, Pejibaye</t>
  </si>
  <si>
    <t>Oratorio, San Juan Bosco, Oratorio, San Jerónimo, Zapotal, San Martin, Pueblo Nuevo, División, San Juan Norte, San Gabriel, La Cima, San Ramón Sur, La Sierra, Savegre, Quemado, Berlín, Tirra, Buena Vista, San Cayetano, Santa Rosa, Alto Los Mena, Los Ángeles, Santa Eduvigues, Santa Cruz, La Piedra, Santo Tomás, Rosario de Pacuar, Alaska, Pacuarito, Repunta,  Quebradas, Miravalles, Santa Fé, Bella Vista, California, San Gerardo, Herradura</t>
  </si>
  <si>
    <t>Coto Brus</t>
  </si>
  <si>
    <t>Gutiérrez Brown</t>
  </si>
  <si>
    <t>Fila Guínea</t>
  </si>
  <si>
    <t>Palmar Sur</t>
  </si>
  <si>
    <t>Potrero Grande, Buenos Aires</t>
  </si>
  <si>
    <t>San Andrés, El Brujo</t>
  </si>
  <si>
    <t>Caña</t>
  </si>
  <si>
    <t>Favorecer la recuperación de las plantaciones de Caña en los cantones de Buenos Aires y Pérez Zeledón.</t>
  </si>
  <si>
    <t>Finca Térraba, Finca Chánguena</t>
  </si>
  <si>
    <t>Platanares, San Isidro, Cajón, San Pedro</t>
  </si>
  <si>
    <t>La Sierra, Rosario de Pacuar, Pedregoso, Nueva Santana, La Palma, Las Mercedes, La Ceniza, Brisas Abajo, Lomas de Cocorí</t>
  </si>
  <si>
    <t>Buenos Aires,Potrero y Volcán, Brunka</t>
  </si>
  <si>
    <t>Olán, Ceibo, San Andrés, Parcelas, Ocochobi,  bajo Caracol</t>
  </si>
  <si>
    <t>Chile dulce</t>
  </si>
  <si>
    <t xml:space="preserve">Favorecer la recuperación de las plantaciones de Chile Dulce  en los cantones de Coto Brus, Buenos Aires y Pérez Zeledón. </t>
  </si>
  <si>
    <t>Sabalito, Gutérrez Brown</t>
  </si>
  <si>
    <t>San Antonio, Los Ángeles, Las Brisas</t>
  </si>
  <si>
    <t>Peréz Zeledón</t>
  </si>
  <si>
    <t>Pejibaye, La Amistad, Gibre, Rivas, San Isidro</t>
  </si>
  <si>
    <t>Pejibaye, Gibre, El Progreso, Brisas Abajo, San Gabriel, Buena Vista, Rosario de Pacuar</t>
  </si>
  <si>
    <t>Platanares, Daniel Flores</t>
  </si>
  <si>
    <t>Bolivia, Las Juntas de Pacuar</t>
  </si>
  <si>
    <t>Chile picante</t>
  </si>
  <si>
    <t xml:space="preserve">Favorecer la recuperación de las plantaciones de Chile Picante  en los cantones de Coto Brus, Buenos Aires y Pérez Zeledón. </t>
  </si>
  <si>
    <t>Finca Térraba, Finca Chánguena, Finca 9</t>
  </si>
  <si>
    <t>Finca 9</t>
  </si>
  <si>
    <t>Coco</t>
  </si>
  <si>
    <t>Brunca, Boruka</t>
  </si>
  <si>
    <t>Siete Piedras, Puerto Nuevo</t>
  </si>
  <si>
    <t>Forestales</t>
  </si>
  <si>
    <t>No se plantea proyecto</t>
  </si>
  <si>
    <t>El Páramo</t>
  </si>
  <si>
    <t>Berlín</t>
  </si>
  <si>
    <t>Finca Térraba</t>
  </si>
  <si>
    <t>Buenos Aires, Brunka, Boruca, Pilas</t>
  </si>
  <si>
    <t>Brujo, Santa Marta, Bolas, San Luis, Chamba, Concepción, San Vicente</t>
  </si>
  <si>
    <t>Frijol</t>
  </si>
  <si>
    <t>Favorecer la recuperación de las plantaciones de Frijol en los cantones de Osa, Buenos Aires y Pérez Zeledón.</t>
  </si>
  <si>
    <t>Pejibaye, San Isidro</t>
  </si>
  <si>
    <t>El Águila, El Roble</t>
  </si>
  <si>
    <t>Buenos Aires, Brunka</t>
  </si>
  <si>
    <t>Escalera, Llamo Grande, Río Ceibo</t>
  </si>
  <si>
    <t>Frutales</t>
  </si>
  <si>
    <t>Daniel Flores</t>
  </si>
  <si>
    <t>Repunta, San Jerónimo, Santa Eduvigues, Palmital, La Hermosa</t>
  </si>
  <si>
    <t xml:space="preserve">Recuperación de las Plantaciones de Frutales de los cantones de Pérez Zeledón, Buenos Aires y Osa. </t>
  </si>
  <si>
    <t>Cortés, Palmar</t>
  </si>
  <si>
    <t>Cortés, Caña Blancal, Finca Térraba, Rancho Quemado, Isla El Encanto, Finca 2,4,Palmar Sur, Finca 5, Finca 6, Finca 8, Gorrión, Vergel, Embarcadero, Finca 10, Zapote</t>
  </si>
  <si>
    <t>Pittier</t>
  </si>
  <si>
    <t>Agua Caliente</t>
  </si>
  <si>
    <t>Buenos Aires, Potrero Grande</t>
  </si>
  <si>
    <t>Olán, Escalera, San Andrés</t>
  </si>
  <si>
    <t>Hortalizas</t>
  </si>
  <si>
    <t xml:space="preserve">Recuperación de las Plantaciones de Hortalizas de los cantones de Pérez Zeledón, Buenos Aires, Coto Brus y Osa. </t>
  </si>
  <si>
    <t>Pejibaye, Platanares, Rivas, San Isidro, Daniel Flores, Rivas, Páramo</t>
  </si>
  <si>
    <t>Veracruz, Naranjo, Quebrada Honda, Alto Los Monjes, Rosario de Pacuar, Quebrada Honda, Salitre, Providencia, Macho Mora, Villa Argentina, Paraíso, Chimirol, San José</t>
  </si>
  <si>
    <t>Gutiérrez Brown, Limoncito, Agua Buena</t>
  </si>
  <si>
    <t>Fila Guínea, Metapunto, Las Brisa, La Ceiba, Manchuria</t>
  </si>
  <si>
    <t>Finca 2,3,4</t>
  </si>
  <si>
    <t>Buenos Aires, Boruca, Brunka, Potrero</t>
  </si>
  <si>
    <t>Guácimo, Brujo, Rey Curré, San Luis, Llano Grande, El Ceibo, Santa Marta, Remolino Achiote, San Andrés, La Fila, Vergel, Rey Curré, Puerto Nuevo, Río Ceibo, Ujarrás,Coyolar</t>
  </si>
  <si>
    <t>Maíz</t>
  </si>
  <si>
    <t xml:space="preserve">Recuperación de las Plantaciones de Maíz de los cantones de Buenos Aires, Coto Brus,  Osa. </t>
  </si>
  <si>
    <t>Palmar, Cortéz, Sierpe</t>
  </si>
  <si>
    <t>Finca Térraba, Finca 8, Finca 3, Finca 9, Finca 6 y 11, Finca 10, Baltzar, Finca Chánguena. Finca 2,3,4, Cortés, Dos Brasos de Rincón, Embarcadero, La Laguna, Boca Nueva, Baltzar, Finca Cosuca, Vergel, Gorrión</t>
  </si>
  <si>
    <t>Sabalito</t>
  </si>
  <si>
    <t>La Unión</t>
  </si>
  <si>
    <t>La Gamba</t>
  </si>
  <si>
    <t>Rivas, Páramo</t>
  </si>
  <si>
    <t>La Piedras, Salitre, Macho Mora, San Cayetano, Piedra Alta, Alaska</t>
  </si>
  <si>
    <t>Mora</t>
  </si>
  <si>
    <t xml:space="preserve">Recuperación de las Plantaciones de Mora en el canton de Pérez Zeledón. </t>
  </si>
  <si>
    <t>Potrero Grande, Remolino Achiote</t>
  </si>
  <si>
    <t>Palma Aceitera</t>
  </si>
  <si>
    <t xml:space="preserve">Recuperación de las Plantaciones de Palma Aceitera de los cantones de Buenos Aires,Pérez Zeledón, Golfito, Corredores, Osa. </t>
  </si>
  <si>
    <t>Cajón, General Viejo</t>
  </si>
  <si>
    <t>Las Brisas, General Viejo, Peñas Blancas</t>
  </si>
  <si>
    <t>Sierpe, Palmar</t>
  </si>
  <si>
    <t>Riyito, Palmar Sur, Finca 2,3,4, Finca Térraba, Finca Guanacaste, Finca 10, Finca 12, Finca 7,8, San Juan de Osa</t>
  </si>
  <si>
    <t>Corredor, Laurel, La Cuesta</t>
  </si>
  <si>
    <t>Los Castaños, La Campiña, Control, Santa Lucía Incendio, Caracol, La Central, Coyoche</t>
  </si>
  <si>
    <t>Guaycará, Pavón</t>
  </si>
  <si>
    <t>Coto 63, Comte, La Trenza, Tigrito, Escuadra</t>
  </si>
  <si>
    <t>Boruca, Brunka, Buenos Aires</t>
  </si>
  <si>
    <t>Rey Curré, Santa Marta, Llano Grande, La Vieja Ocochovi, Río Ceibo</t>
  </si>
  <si>
    <t>Papaya</t>
  </si>
  <si>
    <t>Recuperación de las Plantaciones de Papaya de los cantones de Pérez Zeledón, Buenos Aires y Osa</t>
  </si>
  <si>
    <t>Daniel Flores, San Isidro</t>
  </si>
  <si>
    <t>Repunta, Juntas de Pacuar, Rosario de Pacuar</t>
  </si>
  <si>
    <t xml:space="preserve">Finca Térraba, Finca 8 y 9, Finca Chánguena </t>
  </si>
  <si>
    <t>Boruca, Buenos Aires, Potrero Grande, Térraba, Brunka</t>
  </si>
  <si>
    <t>Paso Real, Cajón, Guácimo, Lagarto, Campana, La Vieja, Rey Curré, San Luis. La Fila, Chamba y Vergel, Paso Real, San Andrés, Catarata, Brujo, Térraba, Paso Real, Remolino Achiote, San Andrés, Catarata, San Luis, Escalera, El Ceibo, Kaböcol Skol Diköl, Santa Marta</t>
  </si>
  <si>
    <t>Plátano</t>
  </si>
  <si>
    <t>Recuperación de las plantaciones de plátano en los cantones  de Coto Brus, Buenos Aires, Pérez Zeledón, corredores, Golfito y Osa. C</t>
  </si>
  <si>
    <t>Daniel Flores, Platanares, Río Nuevo, Rivas</t>
  </si>
  <si>
    <t>Oratorio, San Gerardo, La Sierra, Repunta y Savegre, Herradura</t>
  </si>
  <si>
    <t>Palmar, Cortés</t>
  </si>
  <si>
    <t>Finca Térraba, Finca 5,6, Finca 8, Finca 9,10,11, Baltzar, Finca Chánguena, Finca 2,3,4, Barrio Lourdes, Cortés, Caña Blancal, Embarcadero, Rancho Quemado, 4 Bocas, Isla El Encanto, Finca Cosuca, Palmar Norte, Gorrión, Vergel, Zapote</t>
  </si>
  <si>
    <t>Bambel, La Unión</t>
  </si>
  <si>
    <t>Porto Llano</t>
  </si>
  <si>
    <t>Corredor</t>
  </si>
  <si>
    <t>La Campiña</t>
  </si>
  <si>
    <t>Buenos Aires, Brunka, Boruca</t>
  </si>
  <si>
    <t>Escalera, Remolino Achiote, La Fila, Fila de Agua, Ceibo, San Luis, Rancho Coco</t>
  </si>
  <si>
    <t>Raíces y Tubérculos</t>
  </si>
  <si>
    <t>Recuperación de las Plantaciones de Raíces y Tubérculos de los cantones de Pérez Zeledón, Buenos Aires, Coto Brus y Osa</t>
  </si>
  <si>
    <t>Finca 10, Finca Térraba, La Cueva, Finca Chánguena, Finca 6, Vergel</t>
  </si>
  <si>
    <t>Rosario de Pacuar</t>
  </si>
  <si>
    <t>Repunta, Rosario de Pacuar</t>
  </si>
  <si>
    <t>Sandía</t>
  </si>
  <si>
    <t>Recuperación de las Plantaciones de sandía de los cantones de Pérez Zeledón, Buenos Aires y Osa</t>
  </si>
  <si>
    <t>Boruca</t>
  </si>
  <si>
    <t>Vergel</t>
  </si>
  <si>
    <t>Buenos Aires, Brunka, Potrero Grande</t>
  </si>
  <si>
    <t>Llano Grande, Olán San Andrés, Llano Grande</t>
  </si>
  <si>
    <t>Tomate</t>
  </si>
  <si>
    <t>Rivas, Platanares, San Isidro</t>
  </si>
  <si>
    <t>San Gerardo, Buena Vista, La Piedra, San Lorenzo</t>
  </si>
  <si>
    <t>Recuperación de las Plantaciones de tomate de los cantones de Buenos Aires, Pérez Zeledón y Coto Brus</t>
  </si>
  <si>
    <t>La Bruja, San Antonio,La Unión</t>
  </si>
  <si>
    <t>Boruca, Buenos Aires, Potrero Grande</t>
  </si>
  <si>
    <t>Guácimo, Brujo, San Luis, San Andrés, Vergel</t>
  </si>
  <si>
    <t>Yuca</t>
  </si>
  <si>
    <t>Recuperación de las Plantaciones de yuca de los cantones de Buenos Aires y Osa</t>
  </si>
  <si>
    <t>Finca Térraba, Finca 5,6, Finca 8, Finca 9,10,11, 12, Baltzar, Finca Chánguena, Finca 2,3,4,   Embarcadero, Rancho Quemado,  Finca Cosuca, Palmar Norte, Gorrión, Vergel, Zapote, Guácimo,</t>
  </si>
  <si>
    <t>Palmar Norte</t>
  </si>
  <si>
    <t>Abacá</t>
  </si>
  <si>
    <t>Recuperación de varios cultivos ( Abacá,banano, banano orgánico, cacao, caña india,frijol de palo, guineo cuadrado, maní,ornamentales, Sancha Inchi) para los cantones de Pérez Zeledón, Buenos Aires y Osa.</t>
  </si>
  <si>
    <t>La Amista, Platanares, Río Nuevo</t>
  </si>
  <si>
    <t>San Gabriel, San Gerardo, Savegre</t>
  </si>
  <si>
    <t>Banano-Orgánico</t>
  </si>
  <si>
    <t>Brunka</t>
  </si>
  <si>
    <t>Banano</t>
  </si>
  <si>
    <t>Finca Térraba, Finca 7, Finca Chánguena, Caña Blancal</t>
  </si>
  <si>
    <t>La Amistad, Platanares, Río Nuevo, San Isidro</t>
  </si>
  <si>
    <t>San Gabriel, San Gerardo, Savegre, El Ceibo, El Brujo</t>
  </si>
  <si>
    <t>Potrero Grande</t>
  </si>
  <si>
    <t>Finca Térraba, Finca 2,3,4, Finca Chánguena, Zapote, Vergel</t>
  </si>
  <si>
    <t>Caña India</t>
  </si>
  <si>
    <t>Finca Terraba, Finca 2,3,4</t>
  </si>
  <si>
    <t>Guíneo Cuadrado</t>
  </si>
  <si>
    <t>Frijol de palo (Gandul)</t>
  </si>
  <si>
    <t>Maní</t>
  </si>
  <si>
    <t>Ornamentales</t>
  </si>
  <si>
    <t>La Trocha</t>
  </si>
  <si>
    <t>Llano Grande, Río Ceibo</t>
  </si>
  <si>
    <t>Sacha incha</t>
  </si>
  <si>
    <t>Ujarras</t>
  </si>
  <si>
    <t>Pérdida total del terreno</t>
  </si>
  <si>
    <t>Inundación y arrastre</t>
  </si>
  <si>
    <t xml:space="preserve">Reconstrucción de canales y drenajes para la recuperación de los principales cultivos en el cantón de Osa  </t>
  </si>
  <si>
    <t>Finca 7, Zapote, Embarcadero, Finca la Julia, Vergel</t>
  </si>
  <si>
    <t>Drenajes, cable vías, cañería de riego</t>
  </si>
  <si>
    <t xml:space="preserve"> Rivas, San Pedro, Cajón, Platanares, San Isidro, Páramo, Barú</t>
  </si>
  <si>
    <t>Cedral, San Jerónimo, Herradura, Pueblo Nuevo, San Gerardo, Naranjo Vista de Mar, San Rafael, Pacuarito, Los Ángeles, Alaska, Laguna</t>
  </si>
  <si>
    <t>Cercas, caminos internos, invernaderos</t>
  </si>
  <si>
    <t>Rey Curré</t>
  </si>
  <si>
    <t>Alambre</t>
  </si>
  <si>
    <t>Dotación de herramientas básicas para la agricultura que permita a los agricultores del cantón de Osa continuar con sus actividades agrícolas.</t>
  </si>
  <si>
    <t>Finca Térraba, Finca 6, Finca 7, Finca 8, Finca 10, Finca Chánguena, Finca 2,3,4</t>
  </si>
  <si>
    <t>Bombas, semillas cuchillos, palas, herbicidas, fertilizantes, motosierras, motoguadañas</t>
  </si>
  <si>
    <t xml:space="preserve"> Rivas, Páramo</t>
  </si>
  <si>
    <t>La Piedra, Macho Mora, Los Ángeles</t>
  </si>
  <si>
    <t>Mangueras, plástico, equipo agrícola</t>
  </si>
  <si>
    <t>Vara Blanca</t>
  </si>
  <si>
    <t>Fresa</t>
  </si>
  <si>
    <t>Destruccción invernaderos por Nate</t>
  </si>
  <si>
    <t xml:space="preserve">Materiales para invernaderos y compra de plantas  </t>
  </si>
  <si>
    <t>2 meses</t>
  </si>
  <si>
    <t>Chile dulce javas/año</t>
  </si>
  <si>
    <t>Materiales para invernaderos y compra de 1000 plantas   para un invernadero</t>
  </si>
  <si>
    <t>Destrucción de bodega</t>
  </si>
  <si>
    <t xml:space="preserve">Materiales para invernaderos.  </t>
  </si>
  <si>
    <t>Sabanilla</t>
  </si>
  <si>
    <t>Fraijanes</t>
  </si>
  <si>
    <t>Destrucción de ínvernadero</t>
  </si>
  <si>
    <t>destrucción de invernadero</t>
  </si>
  <si>
    <t>Helechos</t>
  </si>
  <si>
    <t>Sabana Redonda</t>
  </si>
  <si>
    <t>Atenas</t>
  </si>
  <si>
    <t>Mercedes, San Isidro</t>
  </si>
  <si>
    <t>Plancillo, Pavas, Zacatal, Altos de Naranjo</t>
  </si>
  <si>
    <t>Pérdida de producción por aumento en enfermedades, caída de frutos, flores , plantas y destrucción parcial de la cobertura plástica, provocadas por viento y  lluvia.</t>
  </si>
  <si>
    <t>Establecimiento de nuevas plantaciones de acuerdo al área afectada con el apoyo de los insumos e infraestructura requeridos.</t>
  </si>
  <si>
    <t>6meses-1año</t>
  </si>
  <si>
    <t xml:space="preserve">Ornamentales(ornamentales y orquídeas)  </t>
  </si>
  <si>
    <t>Daño en infraestructura y plantas ornamentales provocado por deslizamiento del terreno.</t>
  </si>
  <si>
    <t>Remoción de la tierra deslizada, reparación de la infraestructura dañada,  compra de maceteros para nueva siembra de ornamentales, valoración del muro de contención que está aun cubierto por el derrumbe para determinar su estado y planificar acciones.</t>
  </si>
  <si>
    <t>Jesús, San Isidro</t>
  </si>
  <si>
    <t>Estanquillos, Altos de Naranjo</t>
  </si>
  <si>
    <t>Pérdida de  plantas  y  producción provocado por deslizamiento del terreno.</t>
  </si>
  <si>
    <t>Reposición de plantas de  para renovación con el apoyo de insumos.  Reparación de caminos internos.</t>
  </si>
  <si>
    <t>1 año</t>
  </si>
  <si>
    <t>Santa Eulalia, Escobal</t>
  </si>
  <si>
    <t>Calle Vainilla, Mangos</t>
  </si>
  <si>
    <t>Caña de azúcar</t>
  </si>
  <si>
    <t>3015 kg</t>
  </si>
  <si>
    <t xml:space="preserve">Reducción de rendimiento en tonelaje y azúcar por acame, debido al efecto de la lluvia y el viento.  </t>
  </si>
  <si>
    <t>Fertilización del área afectada para lograr su recuperación.</t>
  </si>
  <si>
    <t>Altos de Naranjo</t>
  </si>
  <si>
    <t>Pepino</t>
  </si>
  <si>
    <t>540 kg</t>
  </si>
  <si>
    <t>Pérdida de producción por aumento en enfermedades, caída de frutos, flores , plantas provocadas por viento y  lluvia.</t>
  </si>
  <si>
    <t>Establecimiento de una nueva plantación,  apoyo con almácigo, insumos (fertilizante, fungicidas)</t>
  </si>
  <si>
    <t>Pavas</t>
  </si>
  <si>
    <t>Pérdida de por acame</t>
  </si>
  <si>
    <t>Establecimiento de nuevas plantas en el área afectada,  apoyo con insumos para toda la plantación (fertilizante)</t>
  </si>
  <si>
    <t>San Isidro, San Jose</t>
  </si>
  <si>
    <t>Pavas, Sur</t>
  </si>
  <si>
    <t>Plátanoracimos</t>
  </si>
  <si>
    <t>Pérdida por acame</t>
  </si>
  <si>
    <t>Establecimiento de nuevas plantas   apoyo con insumos para toda la plantación (fertilizante)</t>
  </si>
  <si>
    <t>Zarcero</t>
  </si>
  <si>
    <t>Las Brisas Zarcero</t>
  </si>
  <si>
    <t>Papa</t>
  </si>
  <si>
    <r>
      <t>Bodega: 90 m</t>
    </r>
    <r>
      <rPr>
        <sz val="8"/>
        <color theme="1"/>
        <rFont val="Arial"/>
        <family val="2"/>
      </rPr>
      <t>²</t>
    </r>
    <r>
      <rPr>
        <sz val="8"/>
        <rFont val="Arial"/>
        <family val="2"/>
      </rPr>
      <t xml:space="preserve">       Camino: 140 ML</t>
    </r>
  </si>
  <si>
    <t>Fuertes vientos y exceso de lluvia</t>
  </si>
  <si>
    <t xml:space="preserve">Rehabilitación y apoyo para la siembra de 10.15 Ha con la entrega de 26 cargas de papa por un costo de 650000 colones por carga, aporte de 280 sacos de abono, suministro de insumos en fungicidas, insecticidas, foliares, herbicidas, coadyuvantes, enmiendas, entrega de lastre para camino 120 m3 y reconstrucción de bodega de 90 m2 en block, zinc, arena, piedra y cemento. </t>
  </si>
  <si>
    <t>12 meses</t>
  </si>
  <si>
    <t>Zanahoria</t>
  </si>
  <si>
    <t>5 paquetes de Bangor. 3 qq de 10-30-10. 2 qq de abono orgánico. Foliares varios</t>
  </si>
  <si>
    <t>Rehabilitación y apoyo para la recuperación de 0,25 Ha de Zanahoria, con el suministro de semilla , fertilizante e insumos para la continuidad en la actividad</t>
  </si>
  <si>
    <t>Tapezco</t>
  </si>
  <si>
    <t>Culantro</t>
  </si>
  <si>
    <t>13 kg de semilla. 6 qq de fertilizante. 6 qq de abono orgánico. Foliares y otros insumos</t>
  </si>
  <si>
    <t>Exceso de lluvia, arrastre de cultivo. Derretimiento</t>
  </si>
  <si>
    <t xml:space="preserve">Recuperación y fortalecimiento de 1.3 Ha de culantro  afectados a través del suministro de semilla de culantro, fertilizantes químicos, insumos (fungicidas, insecticidas, enmiendas y coadyuvantes) para la producción. Para </t>
  </si>
  <si>
    <t>Hortalizas y frutas</t>
  </si>
  <si>
    <t>Conducción de riego: 280 metros</t>
  </si>
  <si>
    <t>Lluvias muy intensas provocaron derrumbe</t>
  </si>
  <si>
    <t>Producción</t>
  </si>
  <si>
    <t>4 meses</t>
  </si>
  <si>
    <t>Hortalizas de hoja:espinaca, culantro, lechugas, cebollín</t>
  </si>
  <si>
    <t>Invernaderos con algunos huecos, los cuales ya están arreglando los productores, para reducir el porcentaje de pérdidas.</t>
  </si>
  <si>
    <t>Fuertes lluvias y vientos huracanados</t>
  </si>
  <si>
    <t xml:space="preserve">Recuperación y apoyo para  16 Ha  afectadas con el suministro de insumos para inveranaderos tipo plástico , sarán y tubos,   abono orgánicos, semillas, fertilizantes químiicos, enmiendas, insumos orgánicos y equipo. </t>
  </si>
  <si>
    <t>Cebolla</t>
  </si>
  <si>
    <t>Recuperación y continuidad de 4 Ha de siembra a partir del suministro de Enmiendas, abono químico, semilla, herbicidas, insumos fungicidas, insecticidas, foliares.</t>
  </si>
  <si>
    <t>Brócoli y Coliflor</t>
  </si>
  <si>
    <t>8 paquetes de semilla, 10 qq de 10-30-10, 10 qq de 10-20-20, 15 sacos de cal dolomita, fertilizantes foliares, insecticidas, funcidas</t>
  </si>
  <si>
    <t>Fuertes vientos y exceso de lluvia, enfermedades</t>
  </si>
  <si>
    <t>Recuperación y continuidad de 1,5 Ha de siembra a partir del suministro de Enmiendas, abono químico, semilla, herbicidas, insumos fungicidas, insecticidas, foliares.</t>
  </si>
  <si>
    <t>Bolivar</t>
  </si>
  <si>
    <t>fertilizantes formula completa NUTRAN</t>
  </si>
  <si>
    <t>San Jose</t>
  </si>
  <si>
    <t>Cedro</t>
  </si>
  <si>
    <t>hortaliza caña café hornamental</t>
  </si>
  <si>
    <t>socavo el lado derecho presa aguas abajao</t>
  </si>
  <si>
    <t>reparacion concreto</t>
  </si>
  <si>
    <t>1 MES</t>
  </si>
  <si>
    <t>San Roque</t>
  </si>
  <si>
    <t>Deslizamiento en paredes de un naciente</t>
  </si>
  <si>
    <t>Sta Barbara</t>
  </si>
  <si>
    <t>cebolla en toneladas</t>
  </si>
  <si>
    <t>Inundacion cultivo</t>
  </si>
  <si>
    <t>Aporte de semilla y fertilizantes</t>
  </si>
  <si>
    <t>Carrizal</t>
  </si>
  <si>
    <t xml:space="preserve">café </t>
  </si>
  <si>
    <t>Consecución de insumos</t>
  </si>
  <si>
    <t>Valverde Vega</t>
  </si>
  <si>
    <t>Toro Amarillo</t>
  </si>
  <si>
    <t>Bajos del Toro</t>
  </si>
  <si>
    <t>papa</t>
  </si>
  <si>
    <t>Exceso de lluvia</t>
  </si>
  <si>
    <t>semilla, insumos</t>
  </si>
  <si>
    <t>Angeles</t>
  </si>
  <si>
    <t>Angeles Norte</t>
  </si>
  <si>
    <t>Plantas ornamentales de follaje</t>
  </si>
  <si>
    <t>50mil plantas perdidas</t>
  </si>
  <si>
    <t>Rompimiento total de zarán y plástico. Así como caída y quebradura de postes.</t>
  </si>
  <si>
    <t xml:space="preserve">1,5 Ha </t>
  </si>
  <si>
    <t>Exceso de lluvia y fuertes vientos.</t>
  </si>
  <si>
    <t>Aporte de 9 rollos de zarán de 70% de 8 mts x 100 mts. Aporte de 12 rollos de plástico de 7 milésimas de 8 mts x 80 mts. Aporte de 50 postes de madera de 4x4 en 6metros.</t>
  </si>
  <si>
    <t>Inmediato</t>
  </si>
  <si>
    <t>Piedades Norte</t>
  </si>
  <si>
    <t>La Esperanza y Calle Corrales</t>
  </si>
  <si>
    <t>Caña de Azúcar y Agroindustria de Caña de Azúcar.</t>
  </si>
  <si>
    <t>1064 toneladas</t>
  </si>
  <si>
    <t>Volcamiento de la caña de azúcar</t>
  </si>
  <si>
    <t>18 Ha.</t>
  </si>
  <si>
    <t xml:space="preserve">Removación de las 18 Ha de plantación de caña de azúcar. O en su defecto el aporte de 180 sacos de fórmula 15-3-31 y los 90 sacos de Urea ó Nutrán. </t>
  </si>
  <si>
    <t>Calle Orozco y Ciudadela La Unión</t>
  </si>
  <si>
    <t>Café y Ayote</t>
  </si>
  <si>
    <t>2,38 Toneladas de Ayote</t>
  </si>
  <si>
    <t>1 puente derribado en su totalidad para finca de Café.</t>
  </si>
  <si>
    <t>1 Ha (ayoye)</t>
  </si>
  <si>
    <t>Para el ayote, exceso de agua que provocó hongos y bacterias. Para la finca de café el daño se provocó por una cabeza de agua.</t>
  </si>
  <si>
    <t>Aporte de 10 sacos de formula 10-30-10. 2 kilos de fungicida Acrobat. 2 litros de Kilol. 2 litros de Metalosato Multimineral para el Ayote. Y para el puente de la finca de café 10 mallas electrosoldadas, 150 sacos de cemento, 14 metros de piedra cuarta, 14 metros de arena  y 14 metros de piedra bruta.</t>
  </si>
  <si>
    <t>Desamparados</t>
  </si>
  <si>
    <t xml:space="preserve">Frailes </t>
  </si>
  <si>
    <t xml:space="preserve">Frailes Centro, Bustamante,           La Violeta,                    Bajo Angeles </t>
  </si>
  <si>
    <t xml:space="preserve">Café </t>
  </si>
  <si>
    <t xml:space="preserve">Pérdidas de plantas por deslizamiento </t>
  </si>
  <si>
    <t>2 y 3</t>
  </si>
  <si>
    <t xml:space="preserve">Apoyo con insumos agrícolas y plantas para resiembra. Confección de terrazas. Recomendación rehabilitación de caminos bloqueados. </t>
  </si>
  <si>
    <t xml:space="preserve">Rosario centro,                       Llano  Bonito,           La Trinidad </t>
  </si>
  <si>
    <t xml:space="preserve">San Cristóbal Sur, Cristo Rey, </t>
  </si>
  <si>
    <t xml:space="preserve">San Cristóbal Sur </t>
  </si>
  <si>
    <t xml:space="preserve">Cebollín </t>
  </si>
  <si>
    <t>1650 rollos</t>
  </si>
  <si>
    <t xml:space="preserve">Pérdidas de cosecha </t>
  </si>
  <si>
    <t>Apoyo con insumos agrícolas y se solicita apoyo de invernadero, que solucionaría mucho la situación futura de este tipo.</t>
  </si>
  <si>
    <t>Cartago</t>
  </si>
  <si>
    <t>Corralillo</t>
  </si>
  <si>
    <t>Loma Larga,          San Juan Norte</t>
  </si>
  <si>
    <t>Turrialba</t>
  </si>
  <si>
    <t>El Sauce, Asentamiento La Guaria, Las Colonias de Guayabo, Asentamiento La Orieta, Asentamiento Dulce Nombre, Cimarrón, El Cas</t>
  </si>
  <si>
    <t>Cultivos de chile y tomate bajo ambientes protegidos</t>
  </si>
  <si>
    <t>Vientos superiores a la capacidad de resistencia de las estructuras dañadas</t>
  </si>
  <si>
    <t>Materiales para la reparación de las estructuras dañadas e insumos para contrarrestar afectación de los cultivos</t>
  </si>
  <si>
    <t>3 años</t>
  </si>
  <si>
    <t>El Carmen, Calle Vargas</t>
  </si>
  <si>
    <t>San Juan Norte, Colorado</t>
  </si>
  <si>
    <t>Cultivos de chile bajo ambientes protegidos</t>
  </si>
  <si>
    <t>Chitaría Abajo</t>
  </si>
  <si>
    <t>Cultivos de tomate bajo ambientes protegidos</t>
  </si>
  <si>
    <t>Tarrazú</t>
  </si>
  <si>
    <t>Alto San Juan</t>
  </si>
  <si>
    <t>Rehabilitación de cultivo/Conservación de suelos/Readecuación de deudas/Rehabilitación de caminos/Insumos</t>
  </si>
  <si>
    <t>Barrio de los Camacho</t>
  </si>
  <si>
    <t xml:space="preserve">Barrio Nuevo </t>
  </si>
  <si>
    <t>Barrio San Cristóbal</t>
  </si>
  <si>
    <t>Los Porras</t>
  </si>
  <si>
    <t>Bajo Godínez</t>
  </si>
  <si>
    <t>Barrio La Palma</t>
  </si>
  <si>
    <t>Barrio San Cayetano</t>
  </si>
  <si>
    <t>Calle Montero</t>
  </si>
  <si>
    <t>Nápoles</t>
  </si>
  <si>
    <t>Aguacate</t>
  </si>
  <si>
    <t>Chayote</t>
  </si>
  <si>
    <t>Deslizamientos/Perdida de cosecha</t>
  </si>
  <si>
    <t>Granadilla</t>
  </si>
  <si>
    <t>Deslizamientos/ Perdida de Flor/Perdida de cosecha</t>
  </si>
  <si>
    <t>Perdida de Floración/ Perdida de cosecha</t>
  </si>
  <si>
    <t>El Llano de la Piedra</t>
  </si>
  <si>
    <t>El Puente</t>
  </si>
  <si>
    <t>Ciruela</t>
  </si>
  <si>
    <t xml:space="preserve">La Pastora </t>
  </si>
  <si>
    <t>Laderas del Sol</t>
  </si>
  <si>
    <t>Llano de La Piedra</t>
  </si>
  <si>
    <t>Maria Auxiliadora</t>
  </si>
  <si>
    <t>Santa Cecilia</t>
  </si>
  <si>
    <t>Problemas Fitopatológicos</t>
  </si>
  <si>
    <t>Tres Marías</t>
  </si>
  <si>
    <t>Llano Grande</t>
  </si>
  <si>
    <t>Erosión por escorrentia</t>
  </si>
  <si>
    <t xml:space="preserve"> Apoyo con insumos y readecuación de deuda</t>
  </si>
  <si>
    <t>2 años</t>
  </si>
  <si>
    <t>zanahoria</t>
  </si>
  <si>
    <t>Erosión por escorrentía y deslizamiento de terreno</t>
  </si>
  <si>
    <t>Rehabilitación de cultivos, apoyo con insumos y readecuación de deuda</t>
  </si>
  <si>
    <t>maíz</t>
  </si>
  <si>
    <t xml:space="preserve">Erosión por escorrentía </t>
  </si>
  <si>
    <t>Frijol cubá</t>
  </si>
  <si>
    <t>La Laguna y Potrerillos</t>
  </si>
  <si>
    <t>Rosa</t>
  </si>
  <si>
    <t>Fuertes vientos</t>
  </si>
  <si>
    <t>Rehabilitación de cultivos, apoyo con 13 rollos de plástico para invernadero agrícola.</t>
  </si>
  <si>
    <t>La Laguna y La Angelina</t>
  </si>
  <si>
    <t>Zapayo</t>
  </si>
  <si>
    <t>Erosión por escorrentía y exceso de enfermedades</t>
  </si>
  <si>
    <t>Rehabilitación de cultivos y apoyo con insumos</t>
  </si>
  <si>
    <t>Repollo</t>
  </si>
  <si>
    <t>Aumento de enfermedades por exceso de lluvia</t>
  </si>
  <si>
    <t>Brócoli</t>
  </si>
  <si>
    <t>Coliflor</t>
  </si>
  <si>
    <t>Rehabilitación de cultivos mediante apoyo con plástico para construcción de invernadero</t>
  </si>
  <si>
    <t>San Nicolás</t>
  </si>
  <si>
    <t>Quircot</t>
  </si>
  <si>
    <t>Hortalizas hoja</t>
  </si>
  <si>
    <t>Inundación por desbordamiento de rio, aumento de enfermedades.</t>
  </si>
  <si>
    <t xml:space="preserve">Reparación de desagues, debe levantar más las eras, la propiedad está a la par del rio, si vuelve a crecer es posible que vuelva a inundarse, propongo alejarse los metros establecidos por ley y construir macrotúneles </t>
  </si>
  <si>
    <t>Inundación por desbordamiento de acequias, anegación total.</t>
  </si>
  <si>
    <t>Realizar reparación de desagues y construir macrotúneles</t>
  </si>
  <si>
    <t>Dota</t>
  </si>
  <si>
    <t>café</t>
  </si>
  <si>
    <t xml:space="preserve">Productos, readecuación de deudas </t>
  </si>
  <si>
    <t>El Congo</t>
  </si>
  <si>
    <t>Providencia</t>
  </si>
  <si>
    <t>Naranjo</t>
  </si>
  <si>
    <t>Productos readecuacion de deudas</t>
  </si>
  <si>
    <t>La Bandera</t>
  </si>
  <si>
    <t>Las Vueltas</t>
  </si>
  <si>
    <t>aguacate</t>
  </si>
  <si>
    <t>1000 kgrs</t>
  </si>
  <si>
    <t>bioinsumos</t>
  </si>
  <si>
    <t>Fuertes lluvias y vientos</t>
  </si>
  <si>
    <t xml:space="preserve">2 y3 </t>
  </si>
  <si>
    <t xml:space="preserve">Productos </t>
  </si>
  <si>
    <t>400 kgrs</t>
  </si>
  <si>
    <t>carbendazin, benomil, foliares</t>
  </si>
  <si>
    <t>5500 kgrs</t>
  </si>
  <si>
    <t xml:space="preserve">organico </t>
  </si>
  <si>
    <t xml:space="preserve">Inundación y socavación </t>
  </si>
  <si>
    <t>La Cima</t>
  </si>
  <si>
    <t>700 kgrs</t>
  </si>
  <si>
    <t xml:space="preserve">bioinsumos, bondocarp, </t>
  </si>
  <si>
    <t>3000 kgrs</t>
  </si>
  <si>
    <t>benomil, carbendacin</t>
  </si>
  <si>
    <t>500 kgrs</t>
  </si>
  <si>
    <t>fresa</t>
  </si>
  <si>
    <t xml:space="preserve">foliares, caporal </t>
  </si>
  <si>
    <t>mora</t>
  </si>
  <si>
    <t>1450 kgrs</t>
  </si>
  <si>
    <t>fertilizante</t>
  </si>
  <si>
    <t>tomate</t>
  </si>
  <si>
    <t>9500 kgrs</t>
  </si>
  <si>
    <t>flotorcil, clorotalonil, baxcer</t>
  </si>
  <si>
    <t xml:space="preserve">Inundación  </t>
  </si>
  <si>
    <t>40000 kgrs</t>
  </si>
  <si>
    <t>biosate, accobat,</t>
  </si>
  <si>
    <t>invernadero de hortalizas</t>
  </si>
  <si>
    <t>destruccion invernadero y problemas de comercialización</t>
  </si>
  <si>
    <t>fuertes lluvias y vientos</t>
  </si>
  <si>
    <t>Jardín</t>
  </si>
  <si>
    <t>El Guarco</t>
  </si>
  <si>
    <t>La Damita</t>
  </si>
  <si>
    <t>invernadero</t>
  </si>
  <si>
    <t>fertilizantes</t>
  </si>
  <si>
    <t>2500 kgrs</t>
  </si>
  <si>
    <t>La Luchita</t>
  </si>
  <si>
    <t>Santiago</t>
  </si>
  <si>
    <t>Asentamiento Las Mesitas</t>
  </si>
  <si>
    <t>NO</t>
  </si>
  <si>
    <t>Deslizamiento del terreno y bomba de agua, vientos fuertes y exceso de lluvia, caida de frutos y flores</t>
  </si>
  <si>
    <t>Recomendación  y  apoyo con insumos agrícolas</t>
  </si>
  <si>
    <t>Orosi</t>
  </si>
  <si>
    <t>Puente Negro</t>
  </si>
  <si>
    <t>Exceso de lluvia Inun-dación por desborda-miento río Páez y vientos fuertes</t>
  </si>
  <si>
    <t>1año</t>
  </si>
  <si>
    <t>Ayote y vainica</t>
  </si>
  <si>
    <t>vientos fuertes caída de flores y frutos y exceso de lluvia, saturaión de suelos</t>
  </si>
  <si>
    <t>Chile dulce   Natalie</t>
  </si>
  <si>
    <t>Exceso de lluvia Inundación por desborda-miento río Páez y vientos fuertes, caída de flores y frutos</t>
  </si>
  <si>
    <t>Recomendación  y  apoyo con Plástico tomatero</t>
  </si>
  <si>
    <t>Ujarrás</t>
  </si>
  <si>
    <t>Chile dulce Natalie</t>
  </si>
  <si>
    <t>Exceso de lluvia Inun-dación por desborda-miento río Páez y vientos fuertes, caida flores y frutos</t>
  </si>
  <si>
    <t xml:space="preserve">Ayote </t>
  </si>
  <si>
    <t>Berenjena</t>
  </si>
  <si>
    <t>Mero</t>
  </si>
  <si>
    <t>Lechuga, Tomillo y Berro</t>
  </si>
  <si>
    <t>1,8,7</t>
  </si>
  <si>
    <t>Exceso de lluvia Inun-dación por desborda-miento río Páez y vientos fuertes, arrastró el cultivo</t>
  </si>
  <si>
    <t>Asentamiento Rogelio Coto</t>
  </si>
  <si>
    <t>Exceso de lluvia, saturación de suelos  y vientos fuertes</t>
  </si>
  <si>
    <t>Rabanito</t>
  </si>
  <si>
    <t>La Flor</t>
  </si>
  <si>
    <t>980m2</t>
  </si>
  <si>
    <t>Alvarado</t>
  </si>
  <si>
    <t>El Bajo Cervantes       Barrio La Trinidad Descanso</t>
  </si>
  <si>
    <t>1.100 m2</t>
  </si>
  <si>
    <t>Fuertes lluvias y fuertes vientos que causaron daños en la infraestructura del invernadero</t>
  </si>
  <si>
    <t>2y 3</t>
  </si>
  <si>
    <t>Arreglar estructuras,  y apoyar con  plásticos nuevos en los techos</t>
  </si>
  <si>
    <t>Barrio La Trinidad Desacanso</t>
  </si>
  <si>
    <r>
      <t>90 m</t>
    </r>
    <r>
      <rPr>
        <vertAlign val="superscript"/>
        <sz val="8"/>
        <color indexed="8"/>
        <rFont val="Arial"/>
        <family val="2"/>
      </rPr>
      <t>2</t>
    </r>
  </si>
  <si>
    <t>Coronado</t>
  </si>
  <si>
    <t xml:space="preserve">Casascajal </t>
  </si>
  <si>
    <t>Calle Iglesias</t>
  </si>
  <si>
    <t>Lecchuga Hidropónica</t>
  </si>
  <si>
    <t>Pérdida de  plástico por  fuertes vientos</t>
  </si>
  <si>
    <t xml:space="preserve">Apoyar con plástico, para   el invernadero </t>
  </si>
  <si>
    <t>1 a 3</t>
  </si>
  <si>
    <t>Cascajal</t>
  </si>
  <si>
    <t>Chile dulce  y Tomate</t>
  </si>
  <si>
    <t>Pérdida de plástico por fuertes vientos</t>
  </si>
  <si>
    <t>Goicoechea</t>
  </si>
  <si>
    <t>Rancho Redondo</t>
  </si>
  <si>
    <t xml:space="preserve">La Socola </t>
  </si>
  <si>
    <t>Apoyo con plástico  para el invernadero</t>
  </si>
  <si>
    <t>León Cortés</t>
  </si>
  <si>
    <t>San Rafael;San luis; Bajo san Juan;bajo Motra;San Francisco;La Concepción; Parritilla; Santa Juana; santa rosa abajo</t>
  </si>
  <si>
    <t>Deslizamientos/Hundimientos</t>
  </si>
  <si>
    <t>Rehabilitación de cultivo y  apoyo con insumos agrícolas</t>
  </si>
  <si>
    <t>Deslizamientos y fuertes vientos</t>
  </si>
  <si>
    <t>Carrizal,San lucas; barrio Pío;Calle Gamboa;Rosario</t>
  </si>
  <si>
    <t>San Martín; Santa cruz; los gamboa; la Cuesta;el cedral</t>
  </si>
  <si>
    <t>Fuertes vientos, deslizamientos</t>
  </si>
  <si>
    <t xml:space="preserve"> Apoyo con insumos agrícolas</t>
  </si>
  <si>
    <t>Pastos</t>
  </si>
  <si>
    <t>San andrés;Cristo Rey; la loma; Ojo de agua</t>
  </si>
  <si>
    <t>Los Picado;La Trinidad;</t>
  </si>
  <si>
    <t>Santa rosa arriba</t>
  </si>
  <si>
    <t>Deslizamiento y vientos</t>
  </si>
  <si>
    <t>Guarco</t>
  </si>
  <si>
    <t>Tobosi</t>
  </si>
  <si>
    <t>Tablón, La Cruz, El Moral, El Balar, Las Quebradas, Tobosi</t>
  </si>
  <si>
    <t>Apio</t>
  </si>
  <si>
    <t>Inundación</t>
  </si>
  <si>
    <t>Apoyo con insumos</t>
  </si>
  <si>
    <t>brocoli</t>
  </si>
  <si>
    <t>chile dulce</t>
  </si>
  <si>
    <t>culantro</t>
  </si>
  <si>
    <t>lechuga</t>
  </si>
  <si>
    <t>inundación</t>
  </si>
  <si>
    <t>pepino</t>
  </si>
  <si>
    <t>repollo</t>
  </si>
  <si>
    <t>vainica</t>
  </si>
  <si>
    <t>2 y3</t>
  </si>
  <si>
    <t>Ambiente Protegido</t>
  </si>
  <si>
    <t>100 mts plastico</t>
  </si>
  <si>
    <t>Viento</t>
  </si>
  <si>
    <t>2y3</t>
  </si>
  <si>
    <t>Apoyo insumos</t>
  </si>
  <si>
    <t>zapallo</t>
  </si>
  <si>
    <t xml:space="preserve">Santa Clara,San Martin </t>
  </si>
  <si>
    <t>11 quintales de  semilla</t>
  </si>
  <si>
    <t>Exceso de agua</t>
  </si>
  <si>
    <t>apoyo insumos</t>
  </si>
  <si>
    <t>Vainica</t>
  </si>
  <si>
    <t>Anegamiento</t>
  </si>
  <si>
    <t>Tejar</t>
  </si>
  <si>
    <t>El  Dique,Barrancas,  Guayabal, Barrio Nuevo</t>
  </si>
  <si>
    <t>cebollin</t>
  </si>
  <si>
    <t>remolacha</t>
  </si>
  <si>
    <t>Central</t>
  </si>
  <si>
    <t>Corralillo, Alumbre, San Lorenzo, Bajo del Río, La Ortiga, San Joaquin, San Gerardo, Río Conejo, Las Pilas, El Llanito,Cementerio, Río Conejo, San Martín</t>
  </si>
  <si>
    <t>Quebradilla</t>
  </si>
  <si>
    <t>Copalchi,Calle Lajas,</t>
  </si>
  <si>
    <t>Copalchi</t>
  </si>
  <si>
    <t>Inundacion</t>
  </si>
  <si>
    <t>San  Cristóbal</t>
  </si>
  <si>
    <t>San CristóbalNorte, B. Cordero, B. Amistad. B. Los Fallas,  Calle Jiménez,  Calle Torres, Caragral, B. Los Camacho</t>
  </si>
  <si>
    <t>La Iglesia SCN</t>
  </si>
  <si>
    <t>cebollín</t>
  </si>
  <si>
    <t>Coris</t>
  </si>
  <si>
    <t>Oreamuno</t>
  </si>
  <si>
    <t>Paskí</t>
  </si>
  <si>
    <t>Preparación terreno</t>
  </si>
  <si>
    <t xml:space="preserve"> Lluvias</t>
  </si>
  <si>
    <t>respuesta</t>
  </si>
  <si>
    <t>capacitación conservación de suelos y otras BPA</t>
  </si>
  <si>
    <t>Pacayas</t>
  </si>
  <si>
    <t>El Tajo</t>
  </si>
  <si>
    <t>Preparación, cura de suelo, Fertilizantes, mano de obra</t>
  </si>
  <si>
    <t>Tierra Blanca</t>
  </si>
  <si>
    <t>La Cruz, El Bajo, El Alto, Sanatorio, El Rodeo La misión.</t>
  </si>
  <si>
    <t>Cebolla, Papa, Zanahoria.</t>
  </si>
  <si>
    <t>Deslizamiento de terrenos, saturación de suelo por agua, Erosión por escorrentía, reducción cosecha y pérdidas totales.</t>
  </si>
  <si>
    <t xml:space="preserve">Potrero Cerrado </t>
  </si>
  <si>
    <t xml:space="preserve">Los Tanques, El Pizco, La Maya, </t>
  </si>
  <si>
    <t>Cebolla, Papa, Zanahoria, Repollo, Coliflor y Brócoli</t>
  </si>
  <si>
    <t>Cot</t>
  </si>
  <si>
    <t>Jaules, Centro</t>
  </si>
  <si>
    <t>Cebolla, Papa, Culantro.</t>
  </si>
  <si>
    <t>La Chinchilla</t>
  </si>
  <si>
    <t>Escazú</t>
  </si>
  <si>
    <t>Bebedero, El Carmen</t>
  </si>
  <si>
    <t>Viento y exceso de  lluvia</t>
  </si>
  <si>
    <t xml:space="preserve">Atención </t>
  </si>
  <si>
    <t>Comprade insumos y materiales</t>
  </si>
  <si>
    <t>Barrio Montoya, La Cañada, Matinilla, Pabellón y Chirracal</t>
  </si>
  <si>
    <t>Uruca</t>
  </si>
  <si>
    <t xml:space="preserve">Alajuelita </t>
  </si>
  <si>
    <t>Santa María, Calle Caracas</t>
  </si>
  <si>
    <t>Turrubares</t>
  </si>
  <si>
    <t>San Juan de  Mata</t>
  </si>
  <si>
    <t>Los Sitios</t>
  </si>
  <si>
    <t>Granos Básicos</t>
  </si>
  <si>
    <t>Reconstrucción</t>
  </si>
  <si>
    <t xml:space="preserve">San Luis </t>
  </si>
  <si>
    <t>Potenciana, San Rafael</t>
  </si>
  <si>
    <t>Rehabilitación</t>
  </si>
  <si>
    <t>Puriscal</t>
  </si>
  <si>
    <t>Carara</t>
  </si>
  <si>
    <t>Bijagual, La Esperanza, San Gabriel</t>
  </si>
  <si>
    <t>Musáceas</t>
  </si>
  <si>
    <t>Viento y anegamiento</t>
  </si>
  <si>
    <t>Mata de Plátano</t>
  </si>
  <si>
    <t>Pacayal</t>
  </si>
  <si>
    <t>Ñampi</t>
  </si>
  <si>
    <t>Montelimar, San Gabriel</t>
  </si>
  <si>
    <t>Anegamiento, exceso de agua y viento</t>
  </si>
  <si>
    <t>La Trampa</t>
  </si>
  <si>
    <t xml:space="preserve">Exceso de agua y viento </t>
  </si>
  <si>
    <t>Acosta</t>
  </si>
  <si>
    <t>Calle Bolivar, San Pablo, La Mina, Laguinillas y Bajos de Jorco</t>
  </si>
  <si>
    <t xml:space="preserve">Rehabilitación </t>
  </si>
  <si>
    <t>Bajo Cerdas, Barrio Corazón de Jesús, La Mina, Lagunillas y Bajos de Jorco</t>
  </si>
  <si>
    <t>Exceso de humedad, viento</t>
  </si>
  <si>
    <t>Bajo Cerdas</t>
  </si>
  <si>
    <t xml:space="preserve">Aserrí </t>
  </si>
  <si>
    <t>Barrio Divino Niño, B. San Isidro, B. Venegas, Bijagual, Calle Camachos, La Legua, Ojo de agua y Parritilla</t>
  </si>
  <si>
    <t>Calle Camachos</t>
  </si>
  <si>
    <t>Calle Los Angeles, El cementerio, La fila, La Trinidad, Ojo de agua, Rosario, Salitral, Tranquerillas, Cilla nueva y San Gabriel</t>
  </si>
  <si>
    <t>La Trinidad, calle Los angeles, tranquerillas, La fila, Salitral y Rosario</t>
  </si>
  <si>
    <t>Deslizamiento, exceso de agua y viento</t>
  </si>
  <si>
    <t>Cedral, El Tigre, Legua de los Naranjos, Tarbaca</t>
  </si>
  <si>
    <t>Exceso de agua y viento</t>
  </si>
  <si>
    <t>El tigre</t>
  </si>
  <si>
    <t>Cedral, El Tigre</t>
  </si>
  <si>
    <t>Arracache</t>
  </si>
  <si>
    <t xml:space="preserve">Exceso de agua   </t>
  </si>
  <si>
    <t>Cedral, El Tigre, Tarbaca</t>
  </si>
  <si>
    <t>Arrastre y deslizamiento</t>
  </si>
  <si>
    <t>Vivero - Ornamentales</t>
  </si>
  <si>
    <t>Barrio Los Angeles, Barrio Nazareth, Jocotal, La Uruca, La Legua de los Naranjos, Los Segura, Monte redondo, Santa Marta y Vueltas de Jorco</t>
  </si>
  <si>
    <t>Barrio Nazareth, Jocotal, Legua  de los Naranjos, Vuelta de Jorco y Monte redondo</t>
  </si>
  <si>
    <t>Deslizamiento, Exceso de agua y viento</t>
  </si>
  <si>
    <t>Monterey</t>
  </si>
  <si>
    <t xml:space="preserve">Acosta </t>
  </si>
  <si>
    <t>Barrio Los Cruces, Breñón, Gravilias, Naranjal, Cangrejal, Ceiba, La Escuadra, Linda Vista, Llano La Mesa y Loma de León</t>
  </si>
  <si>
    <t xml:space="preserve">1 año </t>
  </si>
  <si>
    <t>Breñón, La Palma, Naranjal, Cangrejal, La Escuadra y Linda Vista</t>
  </si>
  <si>
    <t>Breñón, llano bonito</t>
  </si>
  <si>
    <t>Atrastre</t>
  </si>
  <si>
    <t>Guatil</t>
  </si>
  <si>
    <t>Bajo Arias, La Cruz</t>
  </si>
  <si>
    <t>Bajo Arias, Guaitil, La Cruz y Ococa</t>
  </si>
  <si>
    <t>Bajo Arias, Bajo Los Segura, Guatil, La Cruz y Ococa</t>
  </si>
  <si>
    <t>Guarapo, Los Angeles</t>
  </si>
  <si>
    <t>Legua de los Naranjos</t>
  </si>
  <si>
    <t>Bajo Perez, La Uruca, Teruel, Tiquiritos</t>
  </si>
  <si>
    <t>La Uruca, Sabanas y Sabanillas</t>
  </si>
  <si>
    <t>La Uruca, Sabanas, Tiquiritos y Zoncuano</t>
  </si>
  <si>
    <t>Agua blanca, Chirraca, La Esperanza, Resbalón, San Luis, Tablazo y Turrujal</t>
  </si>
  <si>
    <t xml:space="preserve">Agua blanca, Alto Los Mora, Chirraca, La esperanza, La Vereda, Los Angeles, Resbalón, Salitral, San Luis, San Martin, Tablazo y Turrujal </t>
  </si>
  <si>
    <t>La cruz</t>
  </si>
  <si>
    <t>Mercedes Sur</t>
  </si>
  <si>
    <t>Salitrales, Potenciana, La Palma y Quivel</t>
  </si>
  <si>
    <t>Tufares</t>
  </si>
  <si>
    <t>Barbacoas</t>
  </si>
  <si>
    <t>Cortezal</t>
  </si>
  <si>
    <t xml:space="preserve">Barbacoas </t>
  </si>
  <si>
    <t>Candelarita</t>
  </si>
  <si>
    <t>Pedernal</t>
  </si>
  <si>
    <t xml:space="preserve">Pedernal, Candelarita, Barrio la Cruz, </t>
  </si>
  <si>
    <t>Desamparaditos</t>
  </si>
  <si>
    <t>Nandayure</t>
  </si>
  <si>
    <t>Arroz secano</t>
  </si>
  <si>
    <t>Compra de fertilizante para el cultivo de arroz</t>
  </si>
  <si>
    <t>San Fco. De Coyote</t>
  </si>
  <si>
    <t>Puerto Carrillo</t>
  </si>
  <si>
    <t>Estrada Ravago</t>
  </si>
  <si>
    <t>Fuertes vientos y lluvia</t>
  </si>
  <si>
    <t xml:space="preserve">Bolson </t>
  </si>
  <si>
    <t>Ortega,Lagartero</t>
  </si>
  <si>
    <t>Rio Tabaco</t>
  </si>
  <si>
    <t>Siembras estableidas en junio a agosto fueron afectadas por la tormenta Nate, por volcamiento, anegamiento y arrastre por corrientes de agua</t>
  </si>
  <si>
    <t xml:space="preserve">La  Cruz </t>
  </si>
  <si>
    <t xml:space="preserve">Santa Cecilia, </t>
  </si>
  <si>
    <t xml:space="preserve">Exceso de lluvia </t>
  </si>
  <si>
    <t>La Garita</t>
  </si>
  <si>
    <t>Lagarita, San fernando, los andes, guapinol, animas.</t>
  </si>
  <si>
    <t xml:space="preserve">Alto </t>
  </si>
  <si>
    <t xml:space="preserve">Semilla y Fertilizante </t>
  </si>
  <si>
    <t xml:space="preserve">Santa Cecilia </t>
  </si>
  <si>
    <t>Santa Elena, san antonio, las brumas.</t>
  </si>
  <si>
    <t>Santa Elena</t>
  </si>
  <si>
    <t>Cuajiniquil, Aguas caliente, bello horizonte.</t>
  </si>
  <si>
    <t>San Dimas,  Las Brisas, el jobo, La liberta, son zapote.</t>
  </si>
  <si>
    <t>Matambú</t>
  </si>
  <si>
    <t>Pto Carrillo</t>
  </si>
  <si>
    <t xml:space="preserve">Maíz </t>
  </si>
  <si>
    <t>Volcamiento</t>
  </si>
  <si>
    <t>Morote, Cacao, Roxana, Tacaní</t>
  </si>
  <si>
    <t>San Martín, Rio Oro</t>
  </si>
  <si>
    <t>Porvenir, Los Ángeles, Quebrada Grande y Bella Vista</t>
  </si>
  <si>
    <t>El Hotel, Vergel, Sandillal, San Cristobal Sur, Corobicí, Cedros, La Libertad, Paso Hondo, Javilla, Sta Isabel arriba</t>
  </si>
  <si>
    <t>1 saco de abono</t>
  </si>
  <si>
    <t>Arrastre y exceso de precipitación</t>
  </si>
  <si>
    <t>Agua Caliente, Nueva Guatemala, Tenorio</t>
  </si>
  <si>
    <t>Nacascolo</t>
  </si>
  <si>
    <t>Exceso de Humedad</t>
  </si>
  <si>
    <t>Curubande</t>
  </si>
  <si>
    <t>Agua Fria</t>
  </si>
  <si>
    <t xml:space="preserve"> Los angeles, Las Lilas</t>
  </si>
  <si>
    <t xml:space="preserve">Cañas dulces
</t>
  </si>
  <si>
    <t>Cañas dulces, Buena Vista, El cedro, Las Lilas</t>
  </si>
  <si>
    <t>Fortuna</t>
  </si>
  <si>
    <t>Fortuna Poza Peña-San Bernardo-Cuipilapa</t>
  </si>
  <si>
    <t>Rio Naranjo-Rio Chiquito-Naranjito</t>
  </si>
  <si>
    <t>Mogote</t>
  </si>
  <si>
    <t>Guayabo-San Pedro-San Isidro -Barrio Los Angeles</t>
  </si>
  <si>
    <t>Primero (Nicoya)</t>
  </si>
  <si>
    <t>Juan Díaz/ Oriente/ El Jobo/ Colas de Gallo/ Cerro Negro/ Pila Honda/ Hundores/ La Virginia/ Miramar/ Río Montaña.</t>
  </si>
  <si>
    <t>Lluvias y vientos fuertes</t>
  </si>
  <si>
    <t>1 Año</t>
  </si>
  <si>
    <t>Segundo (La Mansión)</t>
  </si>
  <si>
    <t>Morote/ Polvazales/ Iguanita</t>
  </si>
  <si>
    <t>Tercero (San Antonio)</t>
  </si>
  <si>
    <t>Santa Ana/ El Flor de Corralillo/ Florida/ Talolinga/ San Lázaro</t>
  </si>
  <si>
    <t>Cuarto (Quebrada Honda)</t>
  </si>
  <si>
    <t>Barra Honda</t>
  </si>
  <si>
    <t>Sétimo</t>
  </si>
  <si>
    <t>Santa Elena/ Las Juntas/ Quebrada Bonita</t>
  </si>
  <si>
    <t>Carrillo</t>
  </si>
  <si>
    <t>Filadelfía</t>
  </si>
  <si>
    <t>Corralillos, Guanislama,Filadelfia, Los Jocotes, La Guinea, Ballena, Bambù, La Izleta, La Esperanza</t>
  </si>
  <si>
    <t>Sardinal  San Blas, Nacascol, La Libertad, Carpintero, Obandito, Artolita, Nancite Dulce, Berdùn, Santa Rita, Barrio Chorrera</t>
  </si>
  <si>
    <t>Maìz</t>
  </si>
  <si>
    <t>Belén</t>
  </si>
  <si>
    <t>Bernabela, Santa Cecilia,Guabo,San Juan,La Esperanza,Residencial Esquipulas,Acentamiento Lagunilla,Barrio Limon,El Rincon</t>
  </si>
  <si>
    <t>Barrio la Candelaria,Juan Viñas, El  Jobo, Villa Rosario, Barrio Eden, Barrio Mojal, Garzal, Los Simpáticos, Barrio Lourdes</t>
  </si>
  <si>
    <t>Maiz</t>
  </si>
  <si>
    <t xml:space="preserve">Depresion tropical provoco aumento de lluvias  ocacionando inundaciones que acabaron con los cultivos  </t>
  </si>
  <si>
    <t>Paso Hondo,Soncoyo,Delicias ,la Florida,Rio Seco,Alemania,Acentamiento la Guaria, Barrio Cementerio,El Cacao,Guayabito,Guapote,Alianza,LasMesas,Ranchos,Las pilas,Rio9 tabaco,San jose de la montaña,Socorro,Trapiche,Venado</t>
  </si>
  <si>
    <t>Barrio Eden,CandelariaLourdes,Mojal,villa Rosario,corazon de jesus,jobo,Garzal,Juan viñas,los simpaticos</t>
  </si>
  <si>
    <t>Abono,Herbicidas,quemantes,40kg de maiz,Fertilizantes</t>
  </si>
  <si>
    <t>Espavelar,Alemania,Socorro,Rio verde,Rio Seco</t>
  </si>
  <si>
    <t>maiz</t>
  </si>
  <si>
    <t>Diria</t>
  </si>
  <si>
    <t>Polvazal,San Pedro,Guaitil,las Vegas,Pueblo Nuevo</t>
  </si>
  <si>
    <t>bejuco,llano,Paraiso,Portegolpe</t>
  </si>
  <si>
    <t>Avellanas,cebadilla,Hernandez,Jerusalen,Garita nueva,rancho san rafael,santa rosa,villareal,villa margarita</t>
  </si>
  <si>
    <t xml:space="preserve"> Abundantes lluvias provocadas por tormenta Nate</t>
  </si>
  <si>
    <t>La Garita,Lomas, Matapalo, Lajas</t>
  </si>
  <si>
    <t>Tierras Morenas</t>
  </si>
  <si>
    <t>Exceso de lluvías</t>
  </si>
  <si>
    <t>Vista de Mar y San Rafael</t>
  </si>
  <si>
    <t>Marchitez de planta</t>
  </si>
  <si>
    <t>Semilla y Fertilizante</t>
  </si>
  <si>
    <t xml:space="preserve">Porvenir, Los Ángeles, Quebrada Grande, Bella Vista </t>
  </si>
  <si>
    <t>San Rafael, Pilangosta, Maravilla</t>
  </si>
  <si>
    <t>Lajas, San Miguel, Sta Marta, Estrada Ravago</t>
  </si>
  <si>
    <t>Semilla y fertilizante</t>
  </si>
  <si>
    <t>120 m manguera de conducción</t>
  </si>
  <si>
    <t>San Juan, San Miguel, Higuerón, Coco Lajas</t>
  </si>
  <si>
    <t>Cañas dulces</t>
  </si>
  <si>
    <t>Cañas dulces, El cedro, Las Lilas</t>
  </si>
  <si>
    <t xml:space="preserve">
Mayorga</t>
  </si>
  <si>
    <t xml:space="preserve"> Los angeles, Quebrada Grande</t>
  </si>
  <si>
    <t xml:space="preserve">Semilla    Fertilizantes </t>
  </si>
  <si>
    <t>0.5</t>
  </si>
  <si>
    <t>Corralillos, Guanislama,Filadelfia,</t>
  </si>
  <si>
    <t>Sardinal  , La Libertad,  Barrio Nicomedes</t>
  </si>
  <si>
    <t>Rio Cañas, Belen</t>
  </si>
  <si>
    <t>La Esperanza,Barrio Limon</t>
  </si>
  <si>
    <t>Exceso de lluvias ocasionó que siembras no germinaran frijoles ya nacidos se quemaron.</t>
  </si>
  <si>
    <t>San jose de la montaña</t>
  </si>
  <si>
    <t>Barrio Eden</t>
  </si>
  <si>
    <t>3 cajuelas de frijol</t>
  </si>
  <si>
    <t>Rio Verde,Espavelar</t>
  </si>
  <si>
    <t>San Pedro,Bario las Vegas,Guaitil</t>
  </si>
  <si>
    <t>Porvenir, Quebrada Grande y Bella Vista</t>
  </si>
  <si>
    <t xml:space="preserve">Fertilizante </t>
  </si>
  <si>
    <t>1Año</t>
  </si>
  <si>
    <t>Monte Romo</t>
  </si>
  <si>
    <t xml:space="preserve">La Cruz </t>
  </si>
  <si>
    <t xml:space="preserve">La Cruz  </t>
  </si>
  <si>
    <t xml:space="preserve">San Dimas,  Las Brisas, el jobo, La liberta, son zapote, </t>
  </si>
  <si>
    <t>Fertilizante</t>
  </si>
  <si>
    <t xml:space="preserve">La Garita </t>
  </si>
  <si>
    <t>Abangares</t>
  </si>
  <si>
    <t>Colorado</t>
  </si>
  <si>
    <t>Higuerillas</t>
  </si>
  <si>
    <t>Inundación     Exceso de lluvia</t>
  </si>
  <si>
    <t xml:space="preserve"> La Sierra</t>
  </si>
  <si>
    <t xml:space="preserve"> Sandillal, Paso Hondo, Javilla, Sta Isabel arriba</t>
  </si>
  <si>
    <t>EXceso de lluvia</t>
  </si>
  <si>
    <t>Exeso de lluvías</t>
  </si>
  <si>
    <t>Fertilizantes</t>
  </si>
  <si>
    <t>Tierras morenas</t>
  </si>
  <si>
    <t>Los Angeles, La Esperanza.</t>
  </si>
  <si>
    <t>Abonos,Herbicidas,quemantes,40kg de maiz</t>
  </si>
  <si>
    <t>La afectación del café por Tormnta Nate fue por exceso de precipitación, fuerte vienos que botaron árboles de sombra sobre las plantas de café, volcamiento de plantas, caida de frutos y el incremento de la severidad de la enfermedad Ojo de Gallo (Mycena citricolor)</t>
  </si>
  <si>
    <t>Naranjal, Quebrada Bonita</t>
  </si>
  <si>
    <t>Vientos fuertes, lluvias con mucha intensidad y arboles caidos sobre las plantaciones.</t>
  </si>
  <si>
    <t>Huacas, Pita Rayada</t>
  </si>
  <si>
    <t>El Socorro, Cuesta Roja</t>
  </si>
  <si>
    <t>Porvenir, Los Ángeles, San Bosco, Quebrada Grande, San Jocesito, Bajo Moras, Bella Vista</t>
  </si>
  <si>
    <t>Caída de granos y volcamiento de plantas.</t>
  </si>
  <si>
    <t>La Sierra</t>
  </si>
  <si>
    <t>Campos de Oro                  El Dos                      San Rafael                          Los Tornos                             La Cruz                                     Cañitas                                           Cebadilla                                                 Candelaria                           Marcelleza                             Tres Amigos</t>
  </si>
  <si>
    <t>Exceso de Lluvia por Tormenta Tropical, Defoliación, Roya, Ojo de gallo y Derrumbes</t>
  </si>
  <si>
    <t>Nueva Guatemala, Tenorio</t>
  </si>
  <si>
    <t>Chile Dulce</t>
  </si>
  <si>
    <t>1250 plantas</t>
  </si>
  <si>
    <t>Marchitez de plantas</t>
  </si>
  <si>
    <t xml:space="preserve">Exceso de lluvías </t>
  </si>
  <si>
    <t>Exceso Lluvias por Tormenta Tropical, enfermedades, pudriciones y matas caidas</t>
  </si>
  <si>
    <t xml:space="preserve">Fertilizante-semilla y </t>
  </si>
  <si>
    <t>Exceso de precipitación</t>
  </si>
  <si>
    <t>Fertilizante y Semilla</t>
  </si>
  <si>
    <t>Buena Vista, El cedro</t>
  </si>
  <si>
    <t>Canjelito y Pilas de Canjel</t>
  </si>
  <si>
    <t>Marchitez y volcamiento por saturación de suelos</t>
  </si>
  <si>
    <t>El Hotel,  Sta Isabel arriba</t>
  </si>
  <si>
    <t>Belèn</t>
  </si>
  <si>
    <t>Pipian</t>
  </si>
  <si>
    <t>Marchitamiento</t>
  </si>
  <si>
    <t>La Cueva</t>
  </si>
  <si>
    <t>Semilla-Fertilizantes</t>
  </si>
  <si>
    <t>Pudrición de plantas</t>
  </si>
  <si>
    <t xml:space="preserve">Las Juntas                  </t>
  </si>
  <si>
    <t>Higuerillas           Raizal                      Colorado</t>
  </si>
  <si>
    <t>Fertilizante-Semilla</t>
  </si>
  <si>
    <t>15 sacos</t>
  </si>
  <si>
    <t>Fertilizante y semillas</t>
  </si>
  <si>
    <t>I</t>
  </si>
  <si>
    <t>Compra de semilla y fertilizante</t>
  </si>
  <si>
    <t>Monte Romo, El Socorro</t>
  </si>
  <si>
    <t>Fertilizante y semilla</t>
  </si>
  <si>
    <t>Marchitez por exceso de húmedad</t>
  </si>
  <si>
    <t xml:space="preserve">Cañas dulces, Buena Vista </t>
  </si>
  <si>
    <t>Culantro Castilla</t>
  </si>
  <si>
    <t>Santa Ana/ El Flor Florida/</t>
  </si>
  <si>
    <t>Inundación por crecida de río</t>
  </si>
  <si>
    <t xml:space="preserve">Cañas dulces, Buena Vista, Curubandé </t>
  </si>
  <si>
    <t>Paraiso</t>
  </si>
  <si>
    <t xml:space="preserve"> abundantes lluvias provocadas por tormenta Nate</t>
  </si>
  <si>
    <t>4 sacos</t>
  </si>
  <si>
    <t xml:space="preserve">Juan Díaz/  Cerro Negro/ </t>
  </si>
  <si>
    <t>Guayabo-Isidro -Barrio Los Angeles</t>
  </si>
  <si>
    <t>Pitahaya</t>
  </si>
  <si>
    <t>Fertilizantes-Herbicidas</t>
  </si>
  <si>
    <t>Naranja</t>
  </si>
  <si>
    <t>Caída de frutas</t>
  </si>
  <si>
    <t>El Socorro</t>
  </si>
  <si>
    <t>Exceso de lluvias y viento</t>
  </si>
  <si>
    <t xml:space="preserve">Fertilizante  </t>
  </si>
  <si>
    <t xml:space="preserve">Tiquisque </t>
  </si>
  <si>
    <t>exceso de lluvia</t>
  </si>
  <si>
    <t>Tiquisque</t>
  </si>
  <si>
    <t>Nueva Guatemala,</t>
  </si>
  <si>
    <t>Lechuga</t>
  </si>
  <si>
    <t>Semilla, fertilizante</t>
  </si>
  <si>
    <t>Bernardo-Cuipilapa</t>
  </si>
  <si>
    <t>Chamol (ñampi)</t>
  </si>
  <si>
    <t>Fertilizante y fungicidas</t>
  </si>
  <si>
    <t>Chamol</t>
  </si>
  <si>
    <t>Baja</t>
  </si>
  <si>
    <t>Limón mesina</t>
  </si>
  <si>
    <t>Pita Rayada</t>
  </si>
  <si>
    <t>Cacao, Tacaní</t>
  </si>
  <si>
    <t>Millo</t>
  </si>
  <si>
    <t>Pérdida de follaje por exceso de húmedad</t>
  </si>
  <si>
    <t>Fertilizante y herbicida</t>
  </si>
  <si>
    <t>Invernadero</t>
  </si>
  <si>
    <t>Caída de infraestructura</t>
  </si>
  <si>
    <t>Paste</t>
  </si>
  <si>
    <t>Pudrición de frutos por exceso de húmedad</t>
  </si>
  <si>
    <t>Mandarina dulce</t>
  </si>
  <si>
    <t>Caída del fruto</t>
  </si>
  <si>
    <t>Camote</t>
  </si>
  <si>
    <t>Hortalizas hidropónicas</t>
  </si>
  <si>
    <t>Guayaba</t>
  </si>
  <si>
    <t>Pudrición de fruto por exceso de húmedad</t>
  </si>
  <si>
    <t>Fertilizantes, fungicidas y foliares</t>
  </si>
  <si>
    <t>Buena Vista</t>
  </si>
  <si>
    <t>Jamaica</t>
  </si>
  <si>
    <t>Melon</t>
  </si>
  <si>
    <t>Mango</t>
  </si>
  <si>
    <t>Perdida de floración, no polinización por lluvia, volcamineto, presencia de enfermedades e inundación total.</t>
  </si>
  <si>
    <t>Apoyo con Fertilizante (8900 quintales) y semilla de arroz (1780 quintales)</t>
  </si>
  <si>
    <t>Cañas y Bebedero</t>
  </si>
  <si>
    <t>Liberia, Cañas Dulces y Nacascolo</t>
  </si>
  <si>
    <t>Nicoya, San Antonio y Nosara</t>
  </si>
  <si>
    <t>Nicoya, Nosara y San Lázaro</t>
  </si>
  <si>
    <t>Juntas</t>
  </si>
  <si>
    <t>Volcamiento del cultivo, inundación, enrrazamiento y ahijamiento causa disminición de la producción de azúcar.</t>
  </si>
  <si>
    <t>Apoyo con Fertilizante (10.525 quintales)</t>
  </si>
  <si>
    <t xml:space="preserve">Bagatzi </t>
  </si>
  <si>
    <t>Falconiana</t>
  </si>
  <si>
    <t>La Soga</t>
  </si>
  <si>
    <t>Playitas</t>
  </si>
  <si>
    <t>Guayabas</t>
  </si>
  <si>
    <t>Gallina</t>
  </si>
  <si>
    <t>Hacienda Filadelfia</t>
  </si>
  <si>
    <t>Piragua</t>
  </si>
  <si>
    <t>Colonia Esperanza</t>
  </si>
  <si>
    <t>Feladelfia</t>
  </si>
  <si>
    <t>Jocotes</t>
  </si>
  <si>
    <t>Juanilama</t>
  </si>
  <si>
    <t>Sadinal</t>
  </si>
  <si>
    <t>Talolinga-San Vicente</t>
  </si>
  <si>
    <t>Santa Barbara</t>
  </si>
  <si>
    <t>Oriente y Espavelar</t>
  </si>
  <si>
    <t>PACÍFICO CENTRAL</t>
  </si>
  <si>
    <t xml:space="preserve">La sierra </t>
  </si>
  <si>
    <t>La sierra</t>
  </si>
  <si>
    <t xml:space="preserve"> Plantaciones de café por deslizamientos camino interno, tuberias, captación de nacientes</t>
  </si>
  <si>
    <t xml:space="preserve"> 672 sacos Fertilizante  18-5-15-6-2,   336 sacos de Urea,  180 litros de Foliares, 180 litros Fungicida Soprano,camino de lastre, deslizamientos en café moto guadaña,bomba de espalda </t>
  </si>
  <si>
    <t xml:space="preserve">Deslizamiento, erosion, avalanchas </t>
  </si>
  <si>
    <t>Almacigo-Plantas</t>
  </si>
  <si>
    <t>Enero 2018- Diciembre 2019</t>
  </si>
  <si>
    <t>Insecticida-Nematicida</t>
  </si>
  <si>
    <t>Fertilizante de siembra</t>
  </si>
  <si>
    <t>Fertilizante FC</t>
  </si>
  <si>
    <t>Fertilizante Nitrogenada</t>
  </si>
  <si>
    <t>Funguicida Propineb</t>
  </si>
  <si>
    <t>Funguicida Clorotalonil</t>
  </si>
  <si>
    <t>Coadyuvante</t>
  </si>
  <si>
    <t>Fertiliz foliar Zinc</t>
  </si>
  <si>
    <t>Fertiliz foliar Boro</t>
  </si>
  <si>
    <t>Fertiliz foliar General</t>
  </si>
  <si>
    <t>Herbicida Glifosato</t>
  </si>
  <si>
    <t xml:space="preserve">Invernaderos, tuberias, equipo </t>
  </si>
  <si>
    <t>Tubería, invernadero, infraestructura y produccion</t>
  </si>
  <si>
    <t>Deslizamientos, terraplenes y avalanchas</t>
  </si>
  <si>
    <t>Urea</t>
  </si>
  <si>
    <t>MAIZ</t>
  </si>
  <si>
    <t>Alambre 2 rollos</t>
  </si>
  <si>
    <t>avio de maiz</t>
  </si>
  <si>
    <t>Innundación</t>
  </si>
  <si>
    <t>Paraquat</t>
  </si>
  <si>
    <t xml:space="preserve">Papaya </t>
  </si>
  <si>
    <t>200 metrso de maguera de 2 , alambre 2 rollospulgadas</t>
  </si>
  <si>
    <t xml:space="preserve"> manguera de riego y drenajes</t>
  </si>
  <si>
    <t>Exceso de agua(Innundación)</t>
  </si>
  <si>
    <t>Fertilizantes desarrollo</t>
  </si>
  <si>
    <t>Fertilizantes llenado</t>
  </si>
  <si>
    <t>Fertilizantes siembra</t>
  </si>
  <si>
    <t>MiniRetroexcavadora</t>
  </si>
  <si>
    <t>Fungicida Amistar</t>
  </si>
  <si>
    <t>Fungicida Flint</t>
  </si>
  <si>
    <t>Fungicida Agrovol</t>
  </si>
  <si>
    <t>Fungicida Dithane</t>
  </si>
  <si>
    <t>Insecticida</t>
  </si>
  <si>
    <t>Zinc Foliar</t>
  </si>
  <si>
    <t>Boro Foliar</t>
  </si>
  <si>
    <t>Aminoacidos</t>
  </si>
  <si>
    <t>Platano</t>
  </si>
  <si>
    <t>Alambre 4 rollos</t>
  </si>
  <si>
    <t>avio de platano</t>
  </si>
  <si>
    <t>Plantas in vitro</t>
  </si>
  <si>
    <t>ESPARZA</t>
  </si>
  <si>
    <t>CALDERA</t>
  </si>
  <si>
    <t>ASENT. SALINAS II</t>
  </si>
  <si>
    <t xml:space="preserve">32,18 TM </t>
  </si>
  <si>
    <t>Inundación, sedimentación y vuelco</t>
  </si>
  <si>
    <t>Vitroplantas</t>
  </si>
  <si>
    <t>Garabito</t>
  </si>
  <si>
    <t>Tárcoles</t>
  </si>
  <si>
    <t>Bajo Capulín</t>
  </si>
  <si>
    <t>Ninguna</t>
  </si>
  <si>
    <t>Abono,fertilizante,fungicida,Herbicidas  , Insecticidad y semilla</t>
  </si>
  <si>
    <t>Guacalillo, Cuarros</t>
  </si>
  <si>
    <t>La Union</t>
  </si>
  <si>
    <t>Cedral, Palmital, Bajo Calienta, SAN BUENAVENTURA-ZAGALA NUEVA</t>
  </si>
  <si>
    <t>Quedaron imposiblitados algunos accesos para sacar la cosecha.</t>
  </si>
  <si>
    <t>deslizamiento, viento</t>
  </si>
  <si>
    <t>viento</t>
  </si>
  <si>
    <t>Helecho</t>
  </si>
  <si>
    <t>Caída de sarán sobre plantación, dañó la producción para el pedido semanal de al menos 2 meses.</t>
  </si>
  <si>
    <t xml:space="preserve">Plátano </t>
  </si>
  <si>
    <t>Palmital, Cedral, Bajo Caliente-San Buenaventura-Zagala Nueva</t>
  </si>
  <si>
    <t xml:space="preserve">Tomate, chile, vainica, otras </t>
  </si>
  <si>
    <t>Quedaron imposiblitados algunos accesos para sacar la cosecha pues el camino desapareció.</t>
  </si>
  <si>
    <t>lluvia, viento</t>
  </si>
  <si>
    <t>Bajo Caliente-San Buenaventura-Zagala Nueva</t>
  </si>
  <si>
    <t>Granos básicos</t>
  </si>
  <si>
    <t>Enfermedades por exceso de lluvias-perdida del grano-volcamiento</t>
  </si>
  <si>
    <t>MIRAMAR</t>
  </si>
  <si>
    <t>CAFÉ</t>
  </si>
  <si>
    <t>AVALANCHA</t>
  </si>
  <si>
    <t>Orotina</t>
  </si>
  <si>
    <t>Bajo Coyote</t>
  </si>
  <si>
    <t>Abono, fertilizante, fungicidas y semilla</t>
  </si>
  <si>
    <t>Acaricida</t>
  </si>
  <si>
    <t xml:space="preserve">Orotina </t>
  </si>
  <si>
    <t>Marichal</t>
  </si>
  <si>
    <t>4 arboles de 15 años</t>
  </si>
  <si>
    <t>El Trigre</t>
  </si>
  <si>
    <t>Arrastre e inundación</t>
  </si>
  <si>
    <t>Parrita</t>
  </si>
  <si>
    <t>Sardinal Sur, Pueblo Nuevo, Barbudal, Parrita</t>
  </si>
  <si>
    <t>Inundación, sedimentación</t>
  </si>
  <si>
    <t>El Tigre,  Los Ángeles</t>
  </si>
  <si>
    <t>Semilla de maíz y abono siembra</t>
  </si>
  <si>
    <t>Sardinal Sur, Pueblo Nuevo, Barbudal, Parrita, Damitas, Sardinal, La Julieta, Pirris, Las Vueltas, Los Angeles, Parcelas, Las Vegas, Lourdes, Vasconia, Los Sueños, Subres</t>
  </si>
  <si>
    <t>melón</t>
  </si>
  <si>
    <t>avios de Melón</t>
  </si>
  <si>
    <t>6 km de camino, canales, perdida de plantas 800 en 7 ha, 3600 mts cercas, infraestructura de canales, drenajes,140 plantas perdidas, 10 toneladas de coyol</t>
  </si>
  <si>
    <t>Inundación, sedimentación y arrastre de terreno</t>
  </si>
  <si>
    <t>Fertilizantes ABOPAC</t>
  </si>
  <si>
    <t>Fertilizantes DAC</t>
  </si>
  <si>
    <t>Parrita CoopeCalifornia R.L.</t>
  </si>
  <si>
    <t>Abono 130 sacos</t>
  </si>
  <si>
    <t>inundación, sedimentación y en algunos casos arrastre de terreno con sus plantas</t>
  </si>
  <si>
    <t>Plantulas</t>
  </si>
  <si>
    <t>Back Hoe</t>
  </si>
  <si>
    <t>Playon, Asentamiento Los Ángeles, Parrita, Vasonia, Subres</t>
  </si>
  <si>
    <t xml:space="preserve"> Manguera de riego y drenajes</t>
  </si>
  <si>
    <t>Exceso de agua (Innundación)</t>
  </si>
  <si>
    <t xml:space="preserve">Manguera de riego </t>
  </si>
  <si>
    <t>Parrita Coopeparrita Tropical</t>
  </si>
  <si>
    <t>Pirris, Parrita, Jicote, Las Vegas, Pirris, Subres</t>
  </si>
  <si>
    <t>platano</t>
  </si>
  <si>
    <t>cercas</t>
  </si>
  <si>
    <t>Avio de platano</t>
  </si>
  <si>
    <t>Exceso de agu a(Innundación)</t>
  </si>
  <si>
    <t>alambre cercas de más de 8</t>
  </si>
  <si>
    <t>plantas</t>
  </si>
  <si>
    <t>Barbudal, Sardinal, Bandera, Pirris</t>
  </si>
  <si>
    <t xml:space="preserve"> manguera de riego </t>
  </si>
  <si>
    <t>teca</t>
  </si>
  <si>
    <t>Plantas y fertilizante</t>
  </si>
  <si>
    <t>Arrastre del rio</t>
  </si>
  <si>
    <t>insumos de siembra, plantas, tuberias y alambres 1150</t>
  </si>
  <si>
    <t>deslizamiento y enfermedades por exeso de humedad</t>
  </si>
  <si>
    <t>Los angeles, Pirris</t>
  </si>
  <si>
    <t>1,5</t>
  </si>
  <si>
    <t>insumos de siembra</t>
  </si>
  <si>
    <t>inundacion</t>
  </si>
  <si>
    <t xml:space="preserve">Perez Zeledon </t>
  </si>
  <si>
    <t xml:space="preserve">Rio  Nuevo </t>
  </si>
  <si>
    <t xml:space="preserve">inundacion </t>
  </si>
  <si>
    <t>Arancibia</t>
  </si>
  <si>
    <t>Ojo de Agua, San Rafael, Corazón de Jesús, San Martín Norte, San Martin Sur Bajo Caliente Y Santa Marta.</t>
  </si>
  <si>
    <t>El viento y lluvia provoca caída de las hojas y parte de la cosecha que ya estaba más adelantada. Se da aparición de enfermedades como Ojo de Gallo. De los productores afectados 8 tuvieron deslizamientos</t>
  </si>
  <si>
    <t>Aunque no es agrícola, los caminos aún les falta repararse para que pueda llegar los camiones para el transporte del café y los mismos productores de hortalizas puedan llevar el producto a las ferias del agricultor como a puestos de mayoristas</t>
  </si>
  <si>
    <t>El viento y lluvia provoca caída de las hojas y parte de la cosecha que ya estaba mas adelantada. Algunos deslizamientos que se llevo varias plantas de café</t>
  </si>
  <si>
    <t>Insumos diversos</t>
  </si>
  <si>
    <t>Pérdida por cosecha y plantas atrapadas en deslizamientos, maltrato de las plantas por viento y caída de frutos</t>
  </si>
  <si>
    <t>Se estima pérdida por caída de cosecha</t>
  </si>
  <si>
    <t>Deslizamiento-</t>
  </si>
  <si>
    <t>Caída del grano-</t>
  </si>
  <si>
    <t>Ojo de Agua, San Rafael, Corazón de Jesús</t>
  </si>
  <si>
    <t>deslizamiento</t>
  </si>
  <si>
    <t>San Martin Norte San Martin Sur Bajo Caliente Y Santa Marta</t>
  </si>
  <si>
    <t>Enfermedades por exceso de lluvias, volcamiento, estrés, falta luminosidad</t>
  </si>
  <si>
    <t>Ojo De Agua, San Rafael, Corazón de Jesús, San Martin Norte San Martin Sur Bajo Caliente Y Santa Marta</t>
  </si>
  <si>
    <t>Tomate, chile, vainica, otras</t>
  </si>
  <si>
    <t xml:space="preserve">Pérdida de plantación por deslizamientos </t>
  </si>
  <si>
    <t xml:space="preserve">Se valora la pérdida de la planta, de plásticos de cobertura, riego, las plántulas </t>
  </si>
  <si>
    <t>Chomes</t>
  </si>
  <si>
    <t>San Agustin</t>
  </si>
  <si>
    <t>N/A</t>
  </si>
  <si>
    <t xml:space="preserve">Arrastre de sedimentacion </t>
  </si>
  <si>
    <t>Lagarto Sur</t>
  </si>
  <si>
    <t xml:space="preserve">Arrastre de sedimentación </t>
  </si>
  <si>
    <t>Los Baqueros</t>
  </si>
  <si>
    <t>San Ramón Arío, Santa Clemencia, Santa Fé</t>
  </si>
  <si>
    <t>Chile dulce - Hortalizas</t>
  </si>
  <si>
    <t>Pérdida plástico techo, Destrucción  plástico techo Invernadero</t>
  </si>
  <si>
    <t>Viento y lluvia</t>
  </si>
  <si>
    <t>Santa Fe, Los Mangos, San Ramón Arío</t>
  </si>
  <si>
    <t>Frijol - Maíz</t>
  </si>
  <si>
    <t xml:space="preserve">San Blas </t>
  </si>
  <si>
    <t xml:space="preserve">Arroz </t>
  </si>
  <si>
    <t>110.4</t>
  </si>
  <si>
    <t>Manzanillo</t>
  </si>
  <si>
    <t>Abangarito</t>
  </si>
  <si>
    <t>Cafè</t>
  </si>
  <si>
    <t>camino interno, tuberias, captación de nacientes</t>
  </si>
  <si>
    <t xml:space="preserve"> 336 sacos Fertilizante  18-5-15-6-2,   336 sacos de Urea,  180 litros de Foliares, 180 litros Fungicida Soprano, lastre, Manguera 1/2", Manguera3/4, Manguera 1", Manguera 1,1/4", Manguera 2", PVC 2"</t>
  </si>
  <si>
    <t xml:space="preserve">Pérdida de cosecha  y problemas fitosanitarios, Deslizamiento, erosion y zanjas en los caminos de lastre, avalanchasen las captaciones y dentro de la finca , daños y perdidas de tuberias </t>
  </si>
  <si>
    <t>Tubería, invernadero, infraestructura hidroponica</t>
  </si>
  <si>
    <t>Tuberías y mangueras, plasticos, angulares, fungicidas, tuberia glvanizada, fertilizantes foliares, insecticidas, sales solubles, urea.</t>
  </si>
  <si>
    <t>Deslizamientos, terraplenes y avalanchas en las captaciones y dentro de la finca , daños y perdidas de tuberias, Arbol se cayo encima de la estructura, Perdida de cosecha  y problemas fitosanitarios, recuperacion de las plantas de  por problemas nutricionales por mucha agua</t>
  </si>
  <si>
    <t>Rio Grande</t>
  </si>
  <si>
    <t>Semilla/Fertilizantes/Plaguicidas</t>
  </si>
  <si>
    <t>Volcamiento de plantas por desborde de río</t>
  </si>
  <si>
    <t>Preparacion de terreno/Semilla</t>
  </si>
  <si>
    <t>Problemas de germinación por exceso de humedad</t>
  </si>
  <si>
    <t>San Rafael, Rio Grande, Paquera</t>
  </si>
  <si>
    <t>Socavacion de río, inundación</t>
  </si>
  <si>
    <t xml:space="preserve">Pérdida de plantas por socavación de rio/Pérdida producción </t>
  </si>
  <si>
    <t>Agroquimicos/ Mano de obra</t>
  </si>
  <si>
    <t>Pérdida de floracion por fuertes lluvias</t>
  </si>
  <si>
    <t>Nitrato de Potasio</t>
  </si>
  <si>
    <t>KAN 17</t>
  </si>
  <si>
    <t>Mancozeb</t>
  </si>
  <si>
    <t>Benomil</t>
  </si>
  <si>
    <t>Rio Grande, Paquera</t>
  </si>
  <si>
    <t>Almacigo/Fertilizantes</t>
  </si>
  <si>
    <t>Exceso de humedad, lluvia</t>
  </si>
  <si>
    <t xml:space="preserve">Socavacion de rio, Volcamiento de plantas  </t>
  </si>
  <si>
    <t>Asen.Pitahaya</t>
  </si>
  <si>
    <t>Acosta-Bijagual</t>
  </si>
  <si>
    <t>arroz</t>
  </si>
  <si>
    <t>Exceso de agua(Innundación) y en algunos casos sedimentación</t>
  </si>
  <si>
    <t xml:space="preserve"> </t>
  </si>
  <si>
    <t>avio para siembra de sandía</t>
  </si>
  <si>
    <t>Quepos</t>
  </si>
  <si>
    <t>Naranjito</t>
  </si>
  <si>
    <t>Sabalo</t>
  </si>
  <si>
    <t xml:space="preserve">Palma </t>
  </si>
  <si>
    <t>Sábalo, la Isla, Maritima</t>
  </si>
  <si>
    <t>Plátano - Maíz</t>
  </si>
  <si>
    <t>Playa Rey, Pastora, Paquiita</t>
  </si>
  <si>
    <t>Llamaron, Capital, Cerritos, El Ceibo, Paquita</t>
  </si>
  <si>
    <t>El Ceibo, Maritima, Cerritos</t>
  </si>
  <si>
    <t xml:space="preserve">Savegre </t>
  </si>
  <si>
    <t>El Paso, Silencio, Hatillo</t>
  </si>
  <si>
    <t xml:space="preserve">Inundacion con sedimentos </t>
  </si>
  <si>
    <t>Silencio, Santo Domingo, El Paso</t>
  </si>
  <si>
    <t xml:space="preserve">Maiz </t>
  </si>
  <si>
    <t xml:space="preserve">Inundacion </t>
  </si>
  <si>
    <t>Paso, Santo Domingo, Coopesilencio, Maritima</t>
  </si>
  <si>
    <t>Paso, Silencio, Santo Domingo</t>
  </si>
  <si>
    <t xml:space="preserve">Santo Domingo </t>
  </si>
  <si>
    <t xml:space="preserve">Vainilla </t>
  </si>
  <si>
    <t>San Mateo</t>
  </si>
  <si>
    <t>Desmonte, Jesús María</t>
  </si>
  <si>
    <t>Desmonte, La Libertad, Jesús María</t>
  </si>
  <si>
    <t>Lluvia</t>
  </si>
  <si>
    <t>Labrador</t>
  </si>
  <si>
    <t>Asent. Oricuajo, centro</t>
  </si>
  <si>
    <t>Inundación, sedimentación y arrastre de cultivo</t>
  </si>
  <si>
    <t>Inundación, sedimentación y vuelco del cultivo</t>
  </si>
  <si>
    <t>Limón Mesino</t>
  </si>
  <si>
    <t>Asent. Oricuajo, centro, labrador</t>
  </si>
  <si>
    <t>Ïnundación, sedimentación y vuelco del cultivo</t>
  </si>
  <si>
    <t>Caña de Azúcar</t>
  </si>
  <si>
    <t>Caída de plantación de caña por viento y exceso de lluvia</t>
  </si>
  <si>
    <t>Higuito, Desamparados</t>
  </si>
  <si>
    <t>Exceso de humedad, daño floración y fruto, proliferación de hongos</t>
  </si>
  <si>
    <t xml:space="preserve">Tilaràn </t>
  </si>
  <si>
    <t xml:space="preserve"> 150 sacos Fertilizante  18-5-15-6-2,   75 sacos de Urea,  6 litros de Foliares, 22 litros Fungicida Soprano,200 metrosde lastre, </t>
  </si>
  <si>
    <t xml:space="preserve">Pérdida de cosecha  y problemas fitosanitarios, Deslizamiento, erosion y zanjas en los caminos de lastre, </t>
  </si>
  <si>
    <t>enero 2018- Diciembre 2019</t>
  </si>
  <si>
    <t>AGROPECUARIO: SUBSECTOR PECUARIO</t>
  </si>
  <si>
    <t xml:space="preserve">Declaratoria de Emergencia, Decreto N° </t>
  </si>
  <si>
    <t>UBUCACIÓN</t>
  </si>
  <si>
    <t>Infraestructura Pecuaria</t>
  </si>
  <si>
    <t xml:space="preserve">Brunka, Boruca, Térraba, Buenos Aires,Volcán,Potrero Grande, </t>
  </si>
  <si>
    <t>Lagarto, Brujo, Paso Real, Rey Curré, Siete Piedras, Remolino Achiote, San Rafael, Santa Rosa, Ujarrás, Llano Verde, Volcán, Potrero Grande, las Vegas, Santa María, el Ceibo, El Carmen, Catarata, La Tinta, Clavera, Las Vueltas,</t>
  </si>
  <si>
    <t>Pasto</t>
  </si>
  <si>
    <t>Recuperación de la producción Ganadera de los cantones de Buenos Aires, Pérez Zeledón, Coto Brus, Golfito, Osa  y  Corredores</t>
  </si>
  <si>
    <t>Rivas, San Pedro, Río Nuevo, San Isidro, Páramo, San Pedro, Cajón, Daniel Flores, Páramo, General Viejo, Platanares, Pejibaye, Rivas</t>
  </si>
  <si>
    <t>San Gerardo, Canam, Barrio El Carmen, Palmital,Tirrá, San Jerónimo, La Unión, Salitre, Rosario de Pacuar, Savegre, Zaragoza, Quebradas, Macho Mora, Cedral, La Trocha, El Brujo, Los Ángeles, La Hermosa, La Playa, Pinar del Río, La Lira, General Viejo, San Pablito, Villa Argentina, La Unión, Palma Coco, Peñas, Repunta, El Brujo, Villa Nueva, Herradura, La Piedra, San Gerardo, Barrio Los Ángeles, La Unión, santa ana, Las Mesas, Los Ángeles, Palmital, San Miguel, San Pablo, Pueblo Nuevo, La Sierra, La Bonita, La Piedra, La Guaria, Buena vista, San Rafael, Santiago, Santo Domingo, San Antonio.</t>
  </si>
  <si>
    <t>Palmar, Sierpe, Cortés</t>
  </si>
  <si>
    <t>Dos Brazos de Rincón, San Juan de Osa, Rancho Quemado, Finca térraba, Finca 2,3,4,  Finca 8, Finca 10, Baltzar, Chocuaco, Camibar, Estero La Camaronera, Sierpe, Finca 20, Finca 9</t>
  </si>
  <si>
    <t>Coto 47, El Barrido, Km 24, La Campesina, La chanchera, Las Castañas, Las Pangas, Puente Negro</t>
  </si>
  <si>
    <t>Guaycará, Golfito</t>
  </si>
  <si>
    <t>Km 24, Agroindustrial</t>
  </si>
  <si>
    <t>Térraba, Brunca, Brunka, Buenos Aires, Potrero Grande</t>
  </si>
  <si>
    <t>Olán, Brujo, Remolino Achiote, Paso Real, Catarata, Santa Marta, Santa María, Potrero Grande, San Rafael, Bolas, el Ceibo, La Tinta, Ujarrás, Clavera, Las Vueltas, Rey Curré</t>
  </si>
  <si>
    <t>Bovinos</t>
  </si>
  <si>
    <t>San Pedro, Rivas, Daniel Flores, General, Platanares</t>
  </si>
  <si>
    <t>San Jerónimo, Salitre, Barrio El Carmen, La Playa, General Viejo, San Pablito, La Unión, Repunta, La Piedra, San Ana</t>
  </si>
  <si>
    <t>Cortés,Palmar, Sierpe</t>
  </si>
  <si>
    <t>Finca Térraba, Finca 2,3,4,  Finca 8, Baltzar, Rancho Quemado, La Vuelta del Sapo,Paraíso, Ajuntaderas, Camibar, Chocuaco, Estero La Camaronera, Finca 20, Sierpe</t>
  </si>
  <si>
    <t>Boruca, Buenos Aires, Brunka</t>
  </si>
  <si>
    <t>Cajón, Guácimo, Campana, Remolino Achiote, Rey Curré, San Luis, Kaból Ská Diköl, Vergel, El Ceibo.</t>
  </si>
  <si>
    <t>Avicultura</t>
  </si>
  <si>
    <t>Recuperación de la producción avicola de los cantones de Osa y Golfito.</t>
  </si>
  <si>
    <t>2018-2024</t>
  </si>
  <si>
    <t>Cortés, Palmar, Sierpe</t>
  </si>
  <si>
    <t>Finca Térraba, Finca 2,3,4,  Finca 5, finca 8, finca 10, Finca Chánguena. La Ponderosa, Vuelta de Sapo, Camibar, sierpe</t>
  </si>
  <si>
    <t>San Isidro, Daniel Flores,Platanares</t>
  </si>
  <si>
    <t>El Hoyón, La Hermosa, Villa Argentina, Palma Coco</t>
  </si>
  <si>
    <t>Rivas, San Pedro, Cajón, daniel flores</t>
  </si>
  <si>
    <t>San Pedro, San Gerardo , San Jerónimo, Cedral, La Piedra, Herradura,</t>
  </si>
  <si>
    <t>Acuicultura</t>
  </si>
  <si>
    <t>Recuperación de la producción acuicola de los cantones de Buenos Aires, Perez Zeledon y Osa</t>
  </si>
  <si>
    <t>2018-2028</t>
  </si>
  <si>
    <t>Boruca, Brunca, Buenos Aires</t>
  </si>
  <si>
    <t>Remolino Achiote, Llano Grande Cañas, Chamba, Socorro, Ujarrás, San Vicente, El Carmen</t>
  </si>
  <si>
    <t>Rivas</t>
  </si>
  <si>
    <t>La Piedra</t>
  </si>
  <si>
    <t>Apicultura (767 colmenas, muertas</t>
  </si>
  <si>
    <t xml:space="preserve">Favorecer la recuperación de la actividad apícola en los cantones de Buenos Aires y Pérez Zeledón. </t>
  </si>
  <si>
    <t>2018-2030</t>
  </si>
  <si>
    <t>La Playa, Repunta</t>
  </si>
  <si>
    <t>Porcinos</t>
  </si>
  <si>
    <t>Recuperación de la producción porcina de los cantones de Osa, Buenos Aires y Golfito.</t>
  </si>
  <si>
    <t>2018-2035</t>
  </si>
  <si>
    <t>Remolino Achiote, Rey Curré, Guácimo, Santa María, Santa Marta, Rey Curré, San Luis, Vergel</t>
  </si>
  <si>
    <t>Finca Térraba, Finca 2,3,4,  Finca 10, finca Chánguena.</t>
  </si>
  <si>
    <t>Boruca, Brunca</t>
  </si>
  <si>
    <t>Lagarto, Santa Marta</t>
  </si>
  <si>
    <t>Equinos</t>
  </si>
  <si>
    <t>Para estas actividades no se contemplan proyectos, ya que están considerados en las otras alternativas</t>
  </si>
  <si>
    <t>Finca Térraba, Baltzar,Finca 2,3,4</t>
  </si>
  <si>
    <t>Río Nuevo</t>
  </si>
  <si>
    <t>El Brujo</t>
  </si>
  <si>
    <t>Páramo</t>
  </si>
  <si>
    <t>Caprinos</t>
  </si>
  <si>
    <t>Finca Térraba, Baltzar</t>
  </si>
  <si>
    <t>Chompipes</t>
  </si>
  <si>
    <t>Ovejas</t>
  </si>
  <si>
    <t>La Playa</t>
  </si>
  <si>
    <t xml:space="preserve">Finca Terraba, </t>
  </si>
  <si>
    <t>Codornises</t>
  </si>
  <si>
    <t>Sierpe</t>
  </si>
  <si>
    <t>Camibar</t>
  </si>
  <si>
    <t>Camarón</t>
  </si>
  <si>
    <t>Lagarto, La vieja, Siete Piedras</t>
  </si>
  <si>
    <t>corrales,cercas, comederos, galerones</t>
  </si>
  <si>
    <t>Pejibaye, Rivas, San Pedro, Río Nuevo, Barú, Páramo, Daniel Flores</t>
  </si>
  <si>
    <t>Pejibaye, San Jerónimo, San Gerardo, La Piedras, Savegre, Villa Mills, La Piedra, Berlín, Florida, Santa Lucía La Trocha</t>
  </si>
  <si>
    <t>corrales,cercas, comederos, suelo, galerones</t>
  </si>
  <si>
    <t>Finca Térraba, Finca 2,4</t>
  </si>
  <si>
    <t xml:space="preserve"> Rivas, San Pedro, Cajón, Rivas</t>
  </si>
  <si>
    <t>Cedral, San Jerónimo, Herradura</t>
  </si>
  <si>
    <t>Mangueras, abonos,concentrados, sal</t>
  </si>
  <si>
    <t>Palmar,Cortés</t>
  </si>
  <si>
    <t>Finca Térraba, Finca 2,4, Finca 6, Baltzar</t>
  </si>
  <si>
    <t>Ganado leche (LITROS)</t>
  </si>
  <si>
    <t>Pacas, fertilizantes, concentrado</t>
  </si>
  <si>
    <t>Pérdida de leche por T.T. Nate</t>
  </si>
  <si>
    <t xml:space="preserve"> Insumos para la dieta animal y reparaciòn de caminos</t>
  </si>
  <si>
    <t>Ganado leche (KG QUESO)</t>
  </si>
  <si>
    <t>Pérdida de queso por T.T. Nate</t>
  </si>
  <si>
    <t>Cerdos</t>
  </si>
  <si>
    <t>25 m2</t>
  </si>
  <si>
    <t>Alfajillas, clavos, làminas de zinc y postes</t>
  </si>
  <si>
    <t>Daños causados por T.T. Nate</t>
  </si>
  <si>
    <t>Compra de lechones y materiales para reparar porqueriza</t>
  </si>
  <si>
    <t>Prod. Huevos</t>
  </si>
  <si>
    <t>60 m2</t>
  </si>
  <si>
    <t>Reposiciòn de aves, e insumos para reparar galpones</t>
  </si>
  <si>
    <t>2meses</t>
  </si>
  <si>
    <t>Bovinos leche y DP</t>
  </si>
  <si>
    <t>reubicación de lecheria que el espacio quedo  inutilizable</t>
  </si>
  <si>
    <t>caprinos</t>
  </si>
  <si>
    <t>reubicación de potrero que el espacio quedo  inutilizable</t>
  </si>
  <si>
    <t>Bovinos leche</t>
  </si>
  <si>
    <t>1684 m2</t>
  </si>
  <si>
    <t>Láminas de zic, alfajillas, reglas de 3x1, plástico.</t>
  </si>
  <si>
    <t>Fuertes vientos provocaron que el techo se levantara y quebró alfajillas y reglas. Se rompió el plástico en su totalidad</t>
  </si>
  <si>
    <t>Compra de plástico de 8milésimas de grosor (2 rollos de plástico de 8milísimas de grosor), compra de alfajillas (30 en 5 varas) y compra de reglas de 3x1 en 4 varas (30 reglas).</t>
  </si>
  <si>
    <t>Abejas</t>
  </si>
  <si>
    <t>7 colmenas</t>
  </si>
  <si>
    <t>Cajones, fondos, tapas, aros</t>
  </si>
  <si>
    <t>Exceso de lluvia provocó deslizamiento</t>
  </si>
  <si>
    <t>Compra de 7 cajones con 10 aros cada uno, fondo y tapa. O en su defecto compra de 7 núcleos.</t>
  </si>
  <si>
    <t>Torito</t>
  </si>
  <si>
    <t>Ganadería</t>
  </si>
  <si>
    <t>Vientos superiores a la capacidad de resistencia de las estructuras</t>
  </si>
  <si>
    <t>Materiales e insumos para la recuperación de los daños sufridos</t>
  </si>
  <si>
    <t>La Fuente</t>
  </si>
  <si>
    <t>Guayabo</t>
  </si>
  <si>
    <t>Bonilla</t>
  </si>
  <si>
    <t>Guayabo Arriba</t>
  </si>
  <si>
    <t>Las Abras</t>
  </si>
  <si>
    <t>Las Virtudes</t>
  </si>
  <si>
    <t>San Rafael Irazú</t>
  </si>
  <si>
    <t>Ganadería leche</t>
  </si>
  <si>
    <t>invernadero dañado por vientos</t>
  </si>
  <si>
    <t>Compra de plástico y mano de obra con fondos propios</t>
  </si>
  <si>
    <t>1 mes</t>
  </si>
  <si>
    <t>Pinos</t>
  </si>
  <si>
    <t>Buena Vista Norte</t>
  </si>
  <si>
    <t>Reconstrucción estructura, compra de plástico y mano de obra con fondos propios</t>
  </si>
  <si>
    <t>Buena Vista Sur</t>
  </si>
  <si>
    <t>La Gaveta</t>
  </si>
  <si>
    <t>Capellades</t>
  </si>
  <si>
    <t>Los ríos</t>
  </si>
  <si>
    <t>Las Aguas</t>
  </si>
  <si>
    <t>Ganadería de leche</t>
  </si>
  <si>
    <t>Lluvias y vientos fuertes que dañaron estructura de invernadero ganadería</t>
  </si>
  <si>
    <t xml:space="preserve">2 y 3 </t>
  </si>
  <si>
    <t>Arreglar estructura y apoyar con plástico para techo de estructura  que se rompió</t>
  </si>
  <si>
    <t>Mariposario</t>
  </si>
  <si>
    <t>Apoyo con plástico  para el mariposario</t>
  </si>
  <si>
    <t>Lagunas y Zacatales</t>
  </si>
  <si>
    <t>Apicultura</t>
  </si>
  <si>
    <t>Compra de insumos y materiales</t>
  </si>
  <si>
    <t>Potenciana, San Luis, San Rafael</t>
  </si>
  <si>
    <t>El Palmar</t>
  </si>
  <si>
    <t>La Pita, San Pedro y La Florecilla</t>
  </si>
  <si>
    <t>Ganadería Bovina</t>
  </si>
  <si>
    <t>Atrastre y exceso de agua</t>
  </si>
  <si>
    <t xml:space="preserve">Gamalotillo </t>
  </si>
  <si>
    <t xml:space="preserve">San Gabriel y el Sur </t>
  </si>
  <si>
    <t>La Legua, Bajo La Legua, La Leguita, Lanas, Jilgeral y Cerbatana</t>
  </si>
  <si>
    <t>La Esperanza, La angostura, La Pavona, La Trampa, Galán</t>
  </si>
  <si>
    <t>Viento y arrastre</t>
  </si>
  <si>
    <t>Arrastre del río Tulín</t>
  </si>
  <si>
    <t>Picagres</t>
  </si>
  <si>
    <t>Monte Frio, Llano Grande</t>
  </si>
  <si>
    <t>Tabarcia</t>
  </si>
  <si>
    <t>Mónicos, Bustamante, Tabarcia y Corralar</t>
  </si>
  <si>
    <t>Exceso de humedad</t>
  </si>
  <si>
    <t>Guayabo y La Fila</t>
  </si>
  <si>
    <t>Colón</t>
  </si>
  <si>
    <t>Piscicultura</t>
  </si>
  <si>
    <t>Alimento</t>
  </si>
  <si>
    <t>Aserri</t>
  </si>
  <si>
    <t xml:space="preserve">Parritilla, La Legua  </t>
  </si>
  <si>
    <t>Parritilla, La Legua, Los camacho</t>
  </si>
  <si>
    <t>Porcicultura</t>
  </si>
  <si>
    <t>V. Jorco</t>
  </si>
  <si>
    <t>Los segura, Legua Los Naranjos</t>
  </si>
  <si>
    <t xml:space="preserve">Vuelta de Jorco </t>
  </si>
  <si>
    <t>Monte redondo, Ojo de agua, Los mangos, La Rosalia y Cedral</t>
  </si>
  <si>
    <t>La trinidad</t>
  </si>
  <si>
    <t>Sabanillas, San Gerónico</t>
  </si>
  <si>
    <t>Arrastre/Inundación</t>
  </si>
  <si>
    <t>Arrastre</t>
  </si>
  <si>
    <t>Linda Vista, Llano Bonito, Ceiba</t>
  </si>
  <si>
    <t>Deslizamiento y arrastre</t>
  </si>
  <si>
    <t>Centro, La Cruz</t>
  </si>
  <si>
    <t>Teruel, Zoncuano, Las Vegas y San Gerónimo</t>
  </si>
  <si>
    <t>Alto Los Mora, Salitral y Chirraca</t>
  </si>
  <si>
    <t>La Escuadra, Llano La Mesa, llano Bonito, Las jupas</t>
  </si>
  <si>
    <t>Exceso de lluvia, viento y deslizamientos</t>
  </si>
  <si>
    <t>Bajo Los  Segura, Ococa, Bajo Vargas y Guatil</t>
  </si>
  <si>
    <t>Deslizamiento, exceso de lluvia y viento</t>
  </si>
  <si>
    <t>Agua blanca, Potrerillos y Tablazo</t>
  </si>
  <si>
    <t>Arrastre, deslizamiento, exceso de agua y viento</t>
  </si>
  <si>
    <t>Exceso de lluvia y viento</t>
  </si>
  <si>
    <t>Barrio los Angeles y Carit</t>
  </si>
  <si>
    <t>Cañales Abajo</t>
  </si>
  <si>
    <t xml:space="preserve">Mercedes Sur </t>
  </si>
  <si>
    <t>Sabanas, Santa Marta, La Palma, Quivel</t>
  </si>
  <si>
    <t>Arrastre, exceso de agua, deslizamiento e inundación</t>
  </si>
  <si>
    <t>Piedades, Bajo Maquinas</t>
  </si>
  <si>
    <t>Cortezal, Barrio La Luz y calle maquinas</t>
  </si>
  <si>
    <t>Grifo Alto</t>
  </si>
  <si>
    <t>Grifo Bajo, Calle Los agüero, El  Poro</t>
  </si>
  <si>
    <t>Exceso de agua e inundación</t>
  </si>
  <si>
    <t xml:space="preserve">Bella Vista, Floralia, San Rafael </t>
  </si>
  <si>
    <t>Floralia</t>
  </si>
  <si>
    <t>Barrio la Cruz</t>
  </si>
  <si>
    <t xml:space="preserve">Chires </t>
  </si>
  <si>
    <t>Agua blanca</t>
  </si>
  <si>
    <t>Pasto de piso pastoreo</t>
  </si>
  <si>
    <t>Semilla</t>
  </si>
  <si>
    <t xml:space="preserve">Santa elena </t>
  </si>
  <si>
    <t xml:space="preserve">Santa Elena </t>
  </si>
  <si>
    <t>20,600   metros lineal de cera, 2640  postes.</t>
  </si>
  <si>
    <t xml:space="preserve">Semilla pasto, alambre, </t>
  </si>
  <si>
    <r>
      <rPr>
        <sz val="12"/>
        <color theme="1"/>
        <rFont val="Calibri"/>
        <family val="2"/>
        <scheme val="minor"/>
      </rPr>
      <t>La Garita</t>
    </r>
    <r>
      <rPr>
        <sz val="10"/>
        <rFont val="Arial"/>
        <family val="2"/>
      </rPr>
      <t xml:space="preserve"> </t>
    </r>
  </si>
  <si>
    <t xml:space="preserve">5100 metros lineales cercas 300 postes </t>
  </si>
  <si>
    <t>Semilla pasto alambre.</t>
  </si>
  <si>
    <t xml:space="preserve">5500 ml cercas 75 postes </t>
  </si>
  <si>
    <t xml:space="preserve">37250 ml de cercas 6750 postes </t>
  </si>
  <si>
    <t>Inundacion, exceso de lluvia</t>
  </si>
  <si>
    <t xml:space="preserve">Semilla, </t>
  </si>
  <si>
    <t>Compra de semilla y fertilizantes</t>
  </si>
  <si>
    <t>1 años</t>
  </si>
  <si>
    <t>Cuipilapa</t>
  </si>
  <si>
    <t xml:space="preserve">La Sierra                              </t>
  </si>
  <si>
    <t xml:space="preserve">El Dos          Los Tornos          San Rafael                      Cañitas                Cebadila            San Rafael                        </t>
  </si>
  <si>
    <t>Daños e pastos por derrumbe</t>
  </si>
  <si>
    <t>Bernabela,Barrio Camareno</t>
  </si>
  <si>
    <t>Por pizoteo de los animles y sobrepastoreo hay pérdida de pasturas de piso</t>
  </si>
  <si>
    <t>Polvazal,Guaitil</t>
  </si>
  <si>
    <t>El llano, Portegolpe</t>
  </si>
  <si>
    <t>Veintisiete Abril</t>
  </si>
  <si>
    <t>Soncoyo</t>
  </si>
  <si>
    <t>I (Nicoya Centro)</t>
  </si>
  <si>
    <t>Pérdida por agua de escorrentía</t>
  </si>
  <si>
    <t>Talolinga</t>
  </si>
  <si>
    <t>Cercas 2 460 metros lineales</t>
  </si>
  <si>
    <t>Pérdida por  arraste e inundación</t>
  </si>
  <si>
    <t xml:space="preserve">Liberia </t>
  </si>
  <si>
    <t xml:space="preserve"> Mayorga, </t>
  </si>
  <si>
    <t>Quebrada grande</t>
  </si>
  <si>
    <t>Berbabela,Barrio Camareno</t>
  </si>
  <si>
    <t>Pasto Heno</t>
  </si>
  <si>
    <t xml:space="preserve">Por pizoteo de los animles y sobrepastoreo hay </t>
  </si>
  <si>
    <t>Pasto para Heno</t>
  </si>
  <si>
    <t>Pasto para heno</t>
  </si>
  <si>
    <t>Raizal</t>
  </si>
  <si>
    <t xml:space="preserve">Belèn </t>
  </si>
  <si>
    <t>Belèn, Loma Bonita, Rìo Cañas, Castilla de Oro</t>
  </si>
  <si>
    <t>Sardinal . El Coco, Las Pilas, el Moral</t>
  </si>
  <si>
    <t>Pasto de corta (maiz, sorgo, caña, king grass)</t>
  </si>
  <si>
    <t xml:space="preserve">El Hotel </t>
  </si>
  <si>
    <r>
      <t>Pasto de corta (</t>
    </r>
    <r>
      <rPr>
        <b/>
        <sz val="9"/>
        <color theme="1"/>
        <rFont val="Arial"/>
        <family val="2"/>
      </rPr>
      <t>maiz</t>
    </r>
    <r>
      <rPr>
        <sz val="9"/>
        <color theme="1"/>
        <rFont val="Arial"/>
        <family val="2"/>
      </rPr>
      <t>, sorgo, caña, king grass)</t>
    </r>
  </si>
  <si>
    <r>
      <t xml:space="preserve">Pasto de corta (maiz, sorgo, </t>
    </r>
    <r>
      <rPr>
        <b/>
        <sz val="9"/>
        <color theme="1"/>
        <rFont val="Arial"/>
        <family val="2"/>
      </rPr>
      <t>caña</t>
    </r>
    <r>
      <rPr>
        <sz val="9"/>
        <color theme="1"/>
        <rFont val="Arial"/>
        <family val="2"/>
      </rPr>
      <t>, king grass)</t>
    </r>
  </si>
  <si>
    <t>Filadeflia</t>
  </si>
  <si>
    <t xml:space="preserve">Ballena, La Esperanza, </t>
  </si>
  <si>
    <t>Artolita, Nvo Colòn, San Blas</t>
  </si>
  <si>
    <t>Liberia, Cañas Dulces</t>
  </si>
  <si>
    <t>Quebrada Grande, San Josecito</t>
  </si>
  <si>
    <t>Bovino cría</t>
  </si>
  <si>
    <t>Moravia, El Triunfo, El Bongo</t>
  </si>
  <si>
    <t>Alambre fertilizante</t>
  </si>
  <si>
    <t>Hojancha, La Maravilla, San Rafael, Pilangosta</t>
  </si>
  <si>
    <t>Ganadería de cría</t>
  </si>
  <si>
    <t>2m2</t>
  </si>
  <si>
    <t>Concentrado y minerales</t>
  </si>
  <si>
    <t>Monte Romo, La Trinidad, El Socorro, Las Mercedes, San Isidro</t>
  </si>
  <si>
    <t>Santa Martía, Betania, Lajas, Estrada Ravago, Santa Marta</t>
  </si>
  <si>
    <t>Ganadería de cria</t>
  </si>
  <si>
    <t>Ahogadas</t>
  </si>
  <si>
    <t xml:space="preserve">La Sierra                        </t>
  </si>
  <si>
    <t xml:space="preserve">Los Tornos                               San Rafael                                           Cebadilla                                   Santa Lucia                              San Juan Chiquito                                      Raizal </t>
  </si>
  <si>
    <t>El Torno</t>
  </si>
  <si>
    <t>Bovino Cría</t>
  </si>
  <si>
    <t>Exceso de lluvía</t>
  </si>
  <si>
    <t>Bovinos de Cría</t>
  </si>
  <si>
    <t>Hojancha, San Gerardo, Los Angeles, Pilangosta, La Libertad</t>
  </si>
  <si>
    <t>Ganadería de carne</t>
  </si>
  <si>
    <t>Monte Romo, El Socorro, Las Mercedes, Palmares</t>
  </si>
  <si>
    <t>Santa Marta, Betania</t>
  </si>
  <si>
    <t>400 m</t>
  </si>
  <si>
    <t>Bovino carne</t>
  </si>
  <si>
    <t>Linderos</t>
  </si>
  <si>
    <t>Bovinos de carne</t>
  </si>
  <si>
    <t>Ganadería Carne</t>
  </si>
  <si>
    <t>lluvia, deslaves, daños por exceso</t>
  </si>
  <si>
    <t>Canjelito, Pto. San Pablo</t>
  </si>
  <si>
    <t>Bovino  DP</t>
  </si>
  <si>
    <t>Los Angeles, San Gerardo</t>
  </si>
  <si>
    <t>Ganadería leche y doble propósito</t>
  </si>
  <si>
    <t>Monte Romo, San Isidro, Cuesta Roja</t>
  </si>
  <si>
    <t>Bovino DP</t>
  </si>
  <si>
    <t xml:space="preserve">2 km en tuberia </t>
  </si>
  <si>
    <t>1 Años</t>
  </si>
  <si>
    <t>Arenal</t>
  </si>
  <si>
    <t>Ganadería DP</t>
  </si>
  <si>
    <t xml:space="preserve">Concentrado y minerales y fertilizantes </t>
  </si>
  <si>
    <t xml:space="preserve"> Cañas Dulces</t>
  </si>
  <si>
    <t>Bovino leche</t>
  </si>
  <si>
    <t>pérdidas de nacientes y tuberias</t>
  </si>
  <si>
    <t>Alimento para los animales,medicamentos</t>
  </si>
  <si>
    <t xml:space="preserve">Concentrado </t>
  </si>
  <si>
    <t xml:space="preserve">Sandillal,Sur, Corobicí, </t>
  </si>
  <si>
    <t>Aves ponedora</t>
  </si>
  <si>
    <t>Derrumbe y sin fluido eléctrico</t>
  </si>
  <si>
    <t xml:space="preserve">Mayorga, </t>
  </si>
  <si>
    <t>Aves Carne</t>
  </si>
  <si>
    <t>Concentrado</t>
  </si>
  <si>
    <t>Aves</t>
  </si>
  <si>
    <t>El Hotel</t>
  </si>
  <si>
    <t>Ovinos</t>
  </si>
  <si>
    <t>Ovina</t>
  </si>
  <si>
    <t>Compra de animales</t>
  </si>
  <si>
    <t>Compra de Azucar</t>
  </si>
  <si>
    <t xml:space="preserve"> Vergel</t>
  </si>
  <si>
    <t>Compra de azucar</t>
  </si>
  <si>
    <t xml:space="preserve"> Liberia</t>
  </si>
  <si>
    <t>Agua Fría</t>
  </si>
  <si>
    <t>Apícola</t>
  </si>
  <si>
    <t xml:space="preserve">Compra de </t>
  </si>
  <si>
    <t>Caprina</t>
  </si>
  <si>
    <t>Otro (Búfalos)</t>
  </si>
  <si>
    <t>Especies Menores gallinas</t>
  </si>
  <si>
    <t>2 sacos</t>
  </si>
  <si>
    <t>Recuperacion de los animales  por perdida de peso</t>
  </si>
  <si>
    <t>Enero 2018-Diciembre 2019</t>
  </si>
  <si>
    <t>Especies Menores pollos</t>
  </si>
  <si>
    <t>Animales afectados</t>
  </si>
  <si>
    <t xml:space="preserve"> 5 sacosConcentrado</t>
  </si>
  <si>
    <t xml:space="preserve">Ganaderia de Leche y doble </t>
  </si>
  <si>
    <t>produccion de leche  Apartos, caminos internos,captacion de nacientes, cercas, sistemas de reigo,Equipo de riego</t>
  </si>
  <si>
    <t xml:space="preserve">  718 sacos de Fertilizante 10-30-1 0y 718sacos de uera, 359 pacas de heno, 252 sacos de concentrado para vaca lechera, 63sacosde melaza en polvo, 42 unidadedes de vitaminas, 441 unidades de antibiotico mamario, 21 unidades antiflamatorio sistemico y 42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</si>
  <si>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muertos(10 ) y produccion de leche.</t>
  </si>
  <si>
    <t>Baldosas (40x90cms)</t>
  </si>
  <si>
    <t>Microsilos (Cincho)</t>
  </si>
  <si>
    <t>Tanque plastico</t>
  </si>
  <si>
    <t>Abrevaderos (75 gal)</t>
  </si>
  <si>
    <t>Fertilizante Nitrogenado (Nitrato de amonio)</t>
  </si>
  <si>
    <t>Quinto</t>
  </si>
  <si>
    <t>Ganaderia</t>
  </si>
  <si>
    <t xml:space="preserve">6 rollos de alambre cabra, 2,3 cerca </t>
  </si>
  <si>
    <t>Alambre de pua</t>
  </si>
  <si>
    <t>Modulo de cercas electricas</t>
  </si>
  <si>
    <t>Rollo de manquera de pulgada</t>
  </si>
  <si>
    <t>Río Blanco</t>
  </si>
  <si>
    <t>1 novilla</t>
  </si>
  <si>
    <t>300 m de cercas</t>
  </si>
  <si>
    <t>Inundación-sedimentación-deslizamientos</t>
  </si>
  <si>
    <t>Esparza</t>
  </si>
  <si>
    <t>Caldera</t>
  </si>
  <si>
    <t>Asent. Salinas ii</t>
  </si>
  <si>
    <t>Pasto henificación, pasto piso</t>
  </si>
  <si>
    <t>Jacó</t>
  </si>
  <si>
    <t>Herradura, Jaco, Quebrada Amarilla</t>
  </si>
  <si>
    <t>Bajo Capulín, Lagunillas, Tarcoles</t>
  </si>
  <si>
    <t>Pasto, banco forrajero</t>
  </si>
  <si>
    <t>Inundación, lluvia y viento</t>
  </si>
  <si>
    <t>Palmital</t>
  </si>
  <si>
    <t>pierde 2 colmenas y otras 20 quedan en mal estado al bajar la poblacion a la mitad</t>
  </si>
  <si>
    <t>azucar</t>
  </si>
  <si>
    <t>Cedral - Palmital</t>
  </si>
  <si>
    <t>La leche para COOPELECHE no se entrego por 10 dias y no hay capacidad de almacenar todo ese volumen, hay mucho pasto que perdio el follaje,  y se va a retrasar su recuperacion, una finca de queso no pueden salir se perdio camino en mas de 300 metros y la solucion es a mediano plazo, perdida de 200 m de rompeviento y 40 m de cercas vivas, Hay 13 has en deslizamientos, se pierden 800 m de cercas vivas, y 8 novillos muertos, caminos</t>
  </si>
  <si>
    <t>deslizamientos,unindacion</t>
  </si>
  <si>
    <t>Infraestructura perdida por deslizamientos, ademas que se debio trasladar cerdos a un lugar de menor riesgo y se baja rendimiento por este cambio pues se enfermaron, ademas el traslado del concentrado que aumenta los costos por no haber camino,  porqueriza que se partio</t>
  </si>
  <si>
    <t>deslizamientos</t>
  </si>
  <si>
    <t>Biodigestores de 4M3</t>
  </si>
  <si>
    <t>Miramar</t>
  </si>
  <si>
    <t xml:space="preserve">Muere de 2 novillas y un ternero, Perdida en insumos como concentrado, cebada, Perdida de 0,25 hs de caña, Muerte de 2 vacas </t>
  </si>
  <si>
    <t>deslizamientos, inundacion</t>
  </si>
  <si>
    <t>Plantas generadoras de electricidad S14000 12000kw</t>
  </si>
  <si>
    <t>No hay muertes solo la alimentacion y se retrasan un poco</t>
  </si>
  <si>
    <t>Laguna</t>
  </si>
  <si>
    <t>Muerte por deslizamiento</t>
  </si>
  <si>
    <t>Bajo Caliente-Laguna-Palmital-Zagala Nueva-San Buenaventura</t>
  </si>
  <si>
    <t>Destruccion de corrales,galpones,galerones ,caminos acceso  y  cercas, tuberia conduccion de agua(poliducto) al interior de las fncas</t>
  </si>
  <si>
    <t>Deslizamiento de áreas de pasto</t>
  </si>
  <si>
    <t>Rio Seco</t>
  </si>
  <si>
    <t>Muerte animales</t>
  </si>
  <si>
    <t>Ceiba</t>
  </si>
  <si>
    <t>Trinidad Nueva, salinas, km-81, uvita, ceiba, cascajal</t>
  </si>
  <si>
    <t>Limonal, cero alto, bajo coyote</t>
  </si>
  <si>
    <t>Avicola</t>
  </si>
  <si>
    <t>infraestructura de gallinas 70 mts</t>
  </si>
  <si>
    <t xml:space="preserve">Derrumbe </t>
  </si>
  <si>
    <t>Sardinal, subres, pirris, el almendro, vasconia, playon san isidro, el carmen julieta, las vegas, el tigre</t>
  </si>
  <si>
    <t>Destrucción total de gallinero de 72 mts cuadrodos y porqueriza con 20 mts cuadraods</t>
  </si>
  <si>
    <t>Perdida de alambre  y postes de cercas,  cerca y pasto, Perdida de alambre y postes de cercas, y los potreros por sedimentación</t>
  </si>
  <si>
    <t>inundación, deslizamiento, sedimentación y arrastre</t>
  </si>
  <si>
    <t>Bandera</t>
  </si>
  <si>
    <t>Ganaderia caprina</t>
  </si>
  <si>
    <t xml:space="preserve">Infraestructura de bodega,y animales perdidos10, y area de pasto </t>
  </si>
  <si>
    <t>perdida de animales, pasto por sedimentación, infraestructura agrícola</t>
  </si>
  <si>
    <t>1 novilla 2caballos</t>
  </si>
  <si>
    <t>1 km de cerca</t>
  </si>
  <si>
    <t>inundación-sedimentación</t>
  </si>
  <si>
    <t>Acapulco</t>
  </si>
  <si>
    <t>Perdida de pastos por exceso de lluvia</t>
  </si>
  <si>
    <t>Ojo de Agua, SAN MARTIN NORTE-SAN MARTIN SUR-BAJO CALIENTE-SANTA MARTA</t>
  </si>
  <si>
    <t>DESLIZAMIENTO-AVALANCHAS, caida de arboles</t>
  </si>
  <si>
    <t>Ojo de Agua, San Rafael, Corazon de Jesus</t>
  </si>
  <si>
    <t xml:space="preserve"> perdida de 650 m de cercas, muerte de 4 terneros</t>
  </si>
  <si>
    <t>deslizamientos, inundacion, abalanchas</t>
  </si>
  <si>
    <t>1 productor pierde parte de la porqueriza con 12 m2, muerte de 4 cerdos</t>
  </si>
  <si>
    <t>deslizamientos, unindacion</t>
  </si>
  <si>
    <t>SAN MARTIN NORTE-SAN MARTIN SUR-BAJO CALIENTE-SANTA MARTA</t>
  </si>
  <si>
    <t>GANADERIA</t>
  </si>
  <si>
    <t>DESTRUCCION DE CORRALES,GALPONES,GALERONES,CAMINOS ACCESO y  CERCAS, 11.3  KM LINEALES  DE TUBERIA CONDUCCION DE AGUA(POLIDUCTO) AL INTERIOR DE LAS  FINCAS</t>
  </si>
  <si>
    <t>DESLIZAMIENTOS Y AVALANCHAS</t>
  </si>
  <si>
    <t>Asent. Orocú</t>
  </si>
  <si>
    <t>Arrastre de sedimentacion</t>
  </si>
  <si>
    <t>Cobano</t>
  </si>
  <si>
    <t>Río Frío, San Ramón Arío</t>
  </si>
  <si>
    <t>Pasto mejorado</t>
  </si>
  <si>
    <t>Terreno inundado por desbordamiento río, fuerte crecida río socava el área de pasto</t>
  </si>
  <si>
    <t>Río Negro, Los Angeles, Cóbano</t>
  </si>
  <si>
    <t>afectación a 80 colmenas</t>
  </si>
  <si>
    <t>Exceso lluvia</t>
  </si>
  <si>
    <t>San Ramón Arío</t>
  </si>
  <si>
    <t>Ganadería Caprina</t>
  </si>
  <si>
    <t>20% menos  leche. No vendió lácteos,  problemas puente. Compra pacas para alimentar</t>
  </si>
  <si>
    <t>Especie tilapia</t>
  </si>
  <si>
    <t>Concentrado 20 sacos</t>
  </si>
  <si>
    <t>Recuperacion de las tilapias  por perdida de peso y mortalidad</t>
  </si>
  <si>
    <t>Concentrado 44 sacos</t>
  </si>
  <si>
    <t>Recuperacion de las aves  por perdida de peso</t>
  </si>
  <si>
    <t>Concentrado 10 sacos</t>
  </si>
  <si>
    <t>produccion de leche  Apartos, caminos internos,captacion de nacientes, cercas, sistemas de reigo,</t>
  </si>
  <si>
    <t xml:space="preserve">  2125 sacos de Fertilizante 10-30-1 0y 2125sacos de uera, 120 pacas de heno, 720 sacos de concentrado para vaca lechera, 165 sacosde melaza en polvo, 110 unidadedes de vitaminas, 1125 unidades de antibiotico mamario, 55 unidades antiflamatorio sistemico y 110 sacos de minerales, tuberia para sistemas de riego, cercas</t>
  </si>
  <si>
    <t xml:space="preserve"> Afectactacion  y perdidas de pastura por mucha lluvia, recuperacion de animales por perdida de peso,deslizamiento, erosion y zanjas en los caminos internos y capataciones, perdidas de cercas de puas y alambres, perdidas tuberias y mangueras </t>
  </si>
  <si>
    <t>Sta Cecilia</t>
  </si>
  <si>
    <t>Colmenas</t>
  </si>
  <si>
    <t>Perdida de las colmenas por desborde de rio</t>
  </si>
  <si>
    <t xml:space="preserve">Lepanto </t>
  </si>
  <si>
    <t xml:space="preserve">Rio Seco, Las Milpas </t>
  </si>
  <si>
    <t>Colmenas, Apiario</t>
  </si>
  <si>
    <t>exceso de lluvias, Caida de arbol</t>
  </si>
  <si>
    <t xml:space="preserve">Las Flores </t>
  </si>
  <si>
    <t xml:space="preserve">Aves </t>
  </si>
  <si>
    <t xml:space="preserve">El rio se llevo las gallinas </t>
  </si>
  <si>
    <t>Las Milpas, San Blas, Rio Blanco, San Blas</t>
  </si>
  <si>
    <t xml:space="preserve">Bovinos </t>
  </si>
  <si>
    <t>Al techo del corral le cayo un arbol y se daño en su totalidad.  El rio se llevo la picadora de pasto/ El pozo de agua para consumo, se tapo con barro, no tenia tapa, 1 km de cerca de puas dañado</t>
  </si>
  <si>
    <t>Insumos perdidos en bodega. Tres sacos de sal (5.550), 12 sacos de galleta dulce (98.640), 2 sacos de concentrado para perro (30.000), 3 sacos de pecutrin (93.750), 10 sacos de coquito (73.800), 1 saco de maiz (8050), 40 sacos de gallinaza (72.000), 6 sacos de cemento (41.700).</t>
  </si>
  <si>
    <t>lluvia, inundacion, sedimentacion</t>
  </si>
  <si>
    <t>La Gallega, bijagual</t>
  </si>
  <si>
    <t xml:space="preserve"> 4 Bovinos              1 Caballo               1 cerda de cría            8 ovejas</t>
  </si>
  <si>
    <t>Repastos                            3 kms cercas</t>
  </si>
  <si>
    <t>Marítima</t>
  </si>
  <si>
    <t>Porcino</t>
  </si>
  <si>
    <t>40 cerdos</t>
  </si>
  <si>
    <t>Savegre</t>
  </si>
  <si>
    <t>Sto Domingo</t>
  </si>
  <si>
    <t>34 Bovinos            10 Caballos          8 terneras            1 caballo          2 mulas</t>
  </si>
  <si>
    <t xml:space="preserve">Establo 40 m2                    1 km de cercas  </t>
  </si>
  <si>
    <t>Oricuajo</t>
  </si>
  <si>
    <t>Pasto piso</t>
  </si>
  <si>
    <t>5000 mts de alambre cerca electrica, 2700 mts alambre pua</t>
  </si>
  <si>
    <t>INUNDACIÓN,  SEDIMENTACIÓN Y ARRASTRE</t>
  </si>
  <si>
    <t>Tilaràn</t>
  </si>
  <si>
    <t>Almacen de insumos Agropecuarios(APLM)</t>
  </si>
  <si>
    <t>Varios</t>
  </si>
  <si>
    <t>Tormenta Tropical Nate</t>
  </si>
  <si>
    <t xml:space="preserve">Ganaderia de Leche  </t>
  </si>
  <si>
    <t xml:space="preserve">  3036 sacos de Fertilizante 10-30-1 0y 3036sacos de uera, 1772 pacas de heno, 9863 sacos de concentrado para vaca lechera, 252 sacosde melaza en polvo, 168 unidadedes de vitaminas, 1764 unidades de antibiotico mamario, 84 unidades antiflamatorio sistemico y 168 sacos de minerales, tuberias para sistemas de riego, cercas equipo de riego.</t>
  </si>
  <si>
    <t xml:space="preserve"> Afectactacion  y perdidas de pastura por mucha lluvia, recuperacion de animales por perdida de peso,deslizamiento, erosion y zanjas en los caminos internos y capataciones, perdidas de cercas de puas y alambres, perdidas tuberias y mangueras,perdidas de baldosas,Animales muertos(19 ) y produccion de leche.</t>
  </si>
  <si>
    <t>Carara, montelimar, san antonio, mata platano, san isidro</t>
  </si>
  <si>
    <t>Surtubal</t>
  </si>
  <si>
    <t>San Blas, Barrio El Alto</t>
  </si>
  <si>
    <t>C 3-01-040</t>
  </si>
  <si>
    <t>Las superficies de ruedo tanto de mezclas asfálticas como lastre, sufrieron daños por la infiltración y escurrimiento de agua pluvial; generando surcos, arrastre y pérdida de material en el tramo de lastre, y sobre el tramo de asfalto se evidencia el desprendimiento de la carpeta asfáltica, bombeo de finos y exposición de los materiales granulares subyacentes. Y deterioro de los drenajes laterales.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</si>
  <si>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además se deberá utilizar una estructura típica de pavimento o en su defecto realizar el respetivo diseño.</t>
  </si>
  <si>
    <t>Barrio La Turbina</t>
  </si>
  <si>
    <t>C 3-01-191</t>
  </si>
  <si>
    <t>Las superficies de ruedo  (material granular  tipo lastre), presenta daños por la infiltración y escurrimiento de agua pluvial; generando surcos, arrastre y pérdida de material de la superficie de rodamiento en el tramo, bombeo de finos y exposición de los materiales, asi como el deterioro de los drenajes laterales (media caña y naturales).</t>
  </si>
  <si>
    <t>Las obras requeridas para aumentar la serviciabilidad y funcionabilidad del camino corresponden basicamente a: conformación y revestimiento de cunetas laterales, lmipieza mecanizada de todo el tramo, conformación de la superficie, colocación de materiales granulares y material para capa de rodamiento (mezcla asfáltica). Para la ejecución de las obras será necesario realizar un diseño hidráulico para la sección de la cuneta o bien colocar una sección tipo media caña, además se deberá utilizar una estructura típica de pavimento o en su defecto realizar el respetivo diseño.</t>
  </si>
  <si>
    <t>Quebradilla, La Trocha</t>
  </si>
  <si>
    <t>C 3-01-152</t>
  </si>
  <si>
    <t>Inestabilidad , deslizamientos y  derrumbes de los taludes laterales al derecho de vía y superficie de ruedo en algunos sectores, lo anterior producto de la saturación de los suelos. Además se afecto la condición superficial del camino y drenajes laterales,</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</si>
  <si>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</si>
  <si>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El Carmen y Tierra Blanca</t>
  </si>
  <si>
    <t>C 3-01-005</t>
  </si>
  <si>
    <t>La superficie de ruedo con mezcla asfáltica, sufrio daños por la infiltración del agua producto d elas grande sprecipitaciones, dentro de los daños más considerables se encuentra la formación de baches, desprendimiento de mezcla, bombeo de finos, daños en cunetas revestidas.</t>
  </si>
  <si>
    <t xml:space="preserve">Las obras requeridas para devolver la condición original al camino consistiran en bacheo mayor en las zonas y revestimiento de las cunetas que fallaron producto de los eventos de la tormenta. </t>
  </si>
  <si>
    <t>Navarrito</t>
  </si>
  <si>
    <t>C 3-01-017</t>
  </si>
  <si>
    <t>Estudios geotécnicos de los taludes afectados,  diseños y construcción para muros de contención. Limpieza mecanizada del derecho de vía y conformación de la superfcie de ruedo, colocación de material granular y material de rodadura. Mejoramiento de drenajes laterales (conformación, revestimiento u otra tecnica que permita un adecuado manejo de aguas pluviales.</t>
  </si>
  <si>
    <t>Navarro del Muñeco</t>
  </si>
  <si>
    <t>C 3-01-338</t>
  </si>
  <si>
    <t xml:space="preserve">Inestabilidad , deslizamientos y  derrumbes de los taludes laterales al derecho de vía y superficie de ruedo en algunos sectores, lo anterior producto de la saturación de los suelos. </t>
  </si>
  <si>
    <t>Barrio Los Ángeles, La Gruta</t>
  </si>
  <si>
    <t>C 3-01-254</t>
  </si>
  <si>
    <t xml:space="preserve">Estudios geotécnicos de los taludes afectados,  diseños y construcción para muros de contención. </t>
  </si>
  <si>
    <t>La Ortiga</t>
  </si>
  <si>
    <t>C 3-01-008</t>
  </si>
  <si>
    <t>SubTotal Cartago</t>
  </si>
  <si>
    <t>Palomo – El Sitio</t>
  </si>
  <si>
    <t>03-02-043-00 (Ent.N 225) Palomo – El Sitio – Calle Sin salida</t>
  </si>
  <si>
    <t>Derrumbes,desizamientos, colapso del sistema de drenaje pluvial, surcos en la vía, pérdida de material granular (lastre), sedimento en cunetas.</t>
  </si>
  <si>
    <t>Recuperación de superficie de ruedo, conformación de subrasante, limpieza y conformación de cunetas/ canales  y espaldones, suministro, colocción y compactación de material granular.</t>
  </si>
  <si>
    <t>Guabata</t>
  </si>
  <si>
    <t>03-02-030-00 (Ent.N 225) Palomo – Guabata</t>
  </si>
  <si>
    <t>Juco</t>
  </si>
  <si>
    <t xml:space="preserve">03-02-046-00 (Ent.N 103) El Sitio de Juco </t>
  </si>
  <si>
    <t>Calle Gavilan N 1°</t>
  </si>
  <si>
    <t>03-02-116-00 (Ent.N 224) Calle el Gavilan N 1°</t>
  </si>
  <si>
    <t>Altos de Araya</t>
  </si>
  <si>
    <t>03-02-025-00 (Ent.N 224) Orosi</t>
  </si>
  <si>
    <t>Cachi</t>
  </si>
  <si>
    <t>Calle Bochinche</t>
  </si>
  <si>
    <t>03-02-123-00  ( Ent.C.   Calle sin Salida</t>
  </si>
  <si>
    <t>Calle Rio Oro</t>
  </si>
  <si>
    <t>03-02-132-00  Calle Rio Oro – Calle sin Salida</t>
  </si>
  <si>
    <t>Calle La Virginia</t>
  </si>
  <si>
    <t>03-02-044-00  (ENT. 224) Cementerio – Calle La Virginea calle sin  Salida</t>
  </si>
  <si>
    <t>Guatusito</t>
  </si>
  <si>
    <t>03-02-123-00  Camino– Calle sin Salida</t>
  </si>
  <si>
    <t>Calle El Canario</t>
  </si>
  <si>
    <t>03-02-051-00  (ENT. C. 42) Cuadrante norte Cachi – Calle Volio y Calle el Canario</t>
  </si>
  <si>
    <t>Guatusito – Loria</t>
  </si>
  <si>
    <t>03-02-120-00  Camino– Calles urbanas San Miguel</t>
  </si>
  <si>
    <t>Acevedo – Rio Regado</t>
  </si>
  <si>
    <t>03-02-029-00  (ENT. N. 404) Rio Regado -(Ent. CAM 5) ACEVEDO)</t>
  </si>
  <si>
    <t xml:space="preserve"> Acevedo</t>
  </si>
  <si>
    <t>03-02-028-00  (ENT. N. C. 6) Acevedo – Linea de Ferrocarril</t>
  </si>
  <si>
    <t xml:space="preserve"> Acevedo – Birrisito</t>
  </si>
  <si>
    <t>Calle  Vale</t>
  </si>
  <si>
    <t>03-02-032-00  (ENT.N. 33) calle Valle  - (Ent. N. 224) Ajenjal</t>
  </si>
  <si>
    <t>Las Mesas y las Mesitas</t>
  </si>
  <si>
    <t>03-02-048-00  Calles Urbanas – Cuadrante  - Las Mesa y las Mesitas</t>
  </si>
  <si>
    <t xml:space="preserve"> Ajenjal – Los Araya</t>
  </si>
  <si>
    <t>03-02-033-00  (ENT.C. 32) Ajenjal – Los Arayas – Puente Fajardo</t>
  </si>
  <si>
    <t>Camino las Quebradas</t>
  </si>
  <si>
    <t>03-02-152-00  (ENT.10). - (ENT.C 13)   Calle  las Quebradas</t>
  </si>
  <si>
    <t>Calle  Club Paraíso (Chiral)</t>
  </si>
  <si>
    <t>03-02-004-00  (ENT.10)  Birrisito -  (ENT.N 224) Ujarras – Clud Paraiso</t>
  </si>
  <si>
    <t>Calle Sanchiri</t>
  </si>
  <si>
    <t>03-02-012-00  (ENT. N 224)  Sanchiri-  Limite Cantonal</t>
  </si>
  <si>
    <t>Calle Calvario</t>
  </si>
  <si>
    <t xml:space="preserve">03-02-017-00  (ENT. N 224)  Salto el Picacho - (ENT. N 224)  Salto de los Novios </t>
  </si>
  <si>
    <t>Calle Mero- C. Vieja Birrisito</t>
  </si>
  <si>
    <t>03-02-076-00  (ENT. C 53 )  Calle Vieja Birrisito - (ENT. C 95 )  Calle Mero</t>
  </si>
  <si>
    <t>Calle   San Francisco (Birrisito )</t>
  </si>
  <si>
    <t>03-02-145-00  (ENT. N . 10)  Calle  San Francisco - (ENT. N. 10 )  San Francisco</t>
  </si>
  <si>
    <t>Calle   Mero – La Puente</t>
  </si>
  <si>
    <t>03-02-042-00  (ENT. C. 53)  Calle  Mero – Limite Cantonal La Puente</t>
  </si>
  <si>
    <t>Chirripo</t>
  </si>
  <si>
    <t>Vereh</t>
  </si>
  <si>
    <t>Liceo Jakkjua y puesto de salud (despues del puente)</t>
  </si>
  <si>
    <t>Recuperación de superficie de ruedo, conformación de subrasante, limpieza y conformación de cunetas/ canales  y espaldones, suministro, colocción y compactación de material granular, ademas de ampliaciones en la vía.</t>
  </si>
  <si>
    <t>Alto Tulesbata (donde termina el camino publico)</t>
  </si>
  <si>
    <t>Santubal</t>
  </si>
  <si>
    <t>Qubrada Dorbata/ Alto Peje</t>
  </si>
  <si>
    <t>Grano de Oro</t>
  </si>
  <si>
    <t>Tisbata, entronca con Paso Marcos por donde timoteo</t>
  </si>
  <si>
    <t>Quetzal</t>
  </si>
  <si>
    <t>Shukebacharí (entronca con C. de Quetzal)</t>
  </si>
  <si>
    <t>Esc. Guayabal (1,5 km antes de la escuela)</t>
  </si>
  <si>
    <t>Guayabal Bloriñak</t>
  </si>
  <si>
    <t>Alto Jokbata a l lano de Quetzal</t>
  </si>
  <si>
    <t>Roca Quemada</t>
  </si>
  <si>
    <t>03-05-115 (Ent.C.31) San Diego- Santa Eduviges</t>
  </si>
  <si>
    <t>tsipiri a Roca Quemada</t>
  </si>
  <si>
    <t>Derrumbes,desizamientos, colapso del sistema de drenaje pluvial, surcos en la vía, pérdida de material granular (lastre), sedimento en cunetas. Hundimientos en la vía.</t>
  </si>
  <si>
    <t>Pulperia Kokostakubata a fin de trocha</t>
  </si>
  <si>
    <t>al  Salon Comunal</t>
  </si>
  <si>
    <t>Tayutic</t>
  </si>
  <si>
    <t>Guadalupe - Las Minas</t>
  </si>
  <si>
    <t>Camino 03-05-64, Tayutic- Guadalupe – Las Minas</t>
  </si>
  <si>
    <t>SAN RAFAEL</t>
  </si>
  <si>
    <t>LA CHINCHILLA VIEJA</t>
  </si>
  <si>
    <t>C-3-07-015 Ent. N 219</t>
  </si>
  <si>
    <t>Derrumbes, desprendimiento y pérdida de la calzada, sistema de evacuación pluvial afectado</t>
  </si>
  <si>
    <t>Reacondicionamiento de calzada,  colocación de  base y subbase, reconstrucción de losas y cunetas, estabilizar taludes, rehabilitación pasos de alcantarillas.</t>
  </si>
  <si>
    <t>PROCOCO</t>
  </si>
  <si>
    <t>C-3-07-009 Ent. N219</t>
  </si>
  <si>
    <t xml:space="preserve">Derrumbes, pérdida de la superficie de rodamiento original (perfilado) </t>
  </si>
  <si>
    <t>Reacondicionamiento de calzada, colocación de  base y perfilado (TS-3), estabilización de taludes</t>
  </si>
  <si>
    <t xml:space="preserve">El Bosque </t>
  </si>
  <si>
    <t>C-3-07-029 Calle El Bosque Centro</t>
  </si>
  <si>
    <t>Pérdida de carpeta asfáltica. Afectación sistema de drenajes</t>
  </si>
  <si>
    <t>Bacheo con mezcla asfaltica y reconstrucción de cordones y caños</t>
  </si>
  <si>
    <t>C-3-07-003</t>
  </si>
  <si>
    <t>Bacheo con mezcla asfáltica y reconstrucción de cordones y caños</t>
  </si>
  <si>
    <t>C-3-07-001</t>
  </si>
  <si>
    <t>Pérdida de superficie de rodamiento (lastre y carpeta). Afectación sistema de drenajes</t>
  </si>
  <si>
    <t>Bacheo con mezcla asfáltica y base, Reconstrucción de cordones y caños</t>
  </si>
  <si>
    <t>San Rafael Centro cuadrantes</t>
  </si>
  <si>
    <t>C-3-07-041</t>
  </si>
  <si>
    <t>Alto Cerrillo centro</t>
  </si>
  <si>
    <t>C-3-07-053</t>
  </si>
  <si>
    <t>Pérdida de carpeta asfáltica, base granular. Sistema de drenajes colapsados</t>
  </si>
  <si>
    <t>Blanquillo</t>
  </si>
  <si>
    <t>C-3-07-056</t>
  </si>
  <si>
    <t>Pérdida de carpeta asfáltica, base granular. Sistema de alcantarillado colapsado</t>
  </si>
  <si>
    <t>Bacheo con mezcla asfáltica, colocación de base graular, y reconstrucción de tomas y cordones y caños</t>
  </si>
  <si>
    <t xml:space="preserve">CALLE BREÑAS </t>
  </si>
  <si>
    <t>C-3-07-007</t>
  </si>
  <si>
    <t>Pérdida de carpeta asfáltica, base granular. Afectación sistema de drenajes (cajas de registro, cunetas, cabezales)</t>
  </si>
  <si>
    <t>COT</t>
  </si>
  <si>
    <t>CALLE A LAS PARCELAS Y CALLE JAULES</t>
  </si>
  <si>
    <t>C-3-07-016</t>
  </si>
  <si>
    <t>Pérdida de superficie rodamiento (lastre y perfilado)</t>
  </si>
  <si>
    <t>Reacondicionamiento de calzada, colocación de  material granular y perfilado (TS-3) o semejante permita tracción en pendientes pronunciadas</t>
  </si>
  <si>
    <t>CALLE LA CUESTA</t>
  </si>
  <si>
    <t>C-3-07-023</t>
  </si>
  <si>
    <t>Pérdida de superficie rodamiento (lastre )</t>
  </si>
  <si>
    <t xml:space="preserve">Reacondicionamiento de calzada, colocación de  material granular </t>
  </si>
  <si>
    <t>CAMINO A PASO ANCHO</t>
  </si>
  <si>
    <t>C-3-07-010</t>
  </si>
  <si>
    <t>Pérdida de superficie rodamiento (lastre), pasos de alcantarilla</t>
  </si>
  <si>
    <t>Calle LA HORTALIZA</t>
  </si>
  <si>
    <t>C-3-07-027</t>
  </si>
  <si>
    <t>Pérdida de superficie rodamiento (lastre), pasos de alcantarilla, inestabilidad de taludes (pérdida de seccion camino)</t>
  </si>
  <si>
    <t>Reacondicionamiento de calzada,  colocación de  base y subbase, estabilización de taludes, rehabilitación pasos de alcantarillas, excavación, muros de gaviones</t>
  </si>
  <si>
    <t>CALLE A LAS PARCELAS DE MATA DE  MORA</t>
  </si>
  <si>
    <t>C-3-07-026</t>
  </si>
  <si>
    <t>Pérdida de superficie rodamiento (lastre)</t>
  </si>
  <si>
    <t>Reacondicionamiento de calzada,  relastreado</t>
  </si>
  <si>
    <t>Cot Centro cuadrantes</t>
  </si>
  <si>
    <t>C-3-07-042</t>
  </si>
  <si>
    <t>Pérdida de carpeta asfáltica y base granular. Afectación sistema de drenajes, pasos de alcantarillas</t>
  </si>
  <si>
    <t>Reacondicionamiento de calzada, Relastrado, Bacheo con mezcla asfáltica y reconstrucción de cordones y caños, pasos de alcantarillas, cajas de registro</t>
  </si>
  <si>
    <t>POTRERO CERRADO</t>
  </si>
  <si>
    <t>CALLE DEL CRISTO</t>
  </si>
  <si>
    <t>C-3-07-050</t>
  </si>
  <si>
    <t>Reacondicionamiento de calzada y Relastrado</t>
  </si>
  <si>
    <t>A FINCA CAÑADA Y PARCELAS CENTRO</t>
  </si>
  <si>
    <t>C-3-07-018</t>
  </si>
  <si>
    <t>Pérdida de superficie rodamiento (lastre), apertura de zanjones muy profundos, perdida de seccion de calzada</t>
  </si>
  <si>
    <t>Reacondicionamiento de calzada, relastrado, obras de mitigación de erosion, canales de aguas escorrentia</t>
  </si>
  <si>
    <t>CALLES URBANAS DE POTRERO CERRADO</t>
  </si>
  <si>
    <t>C-3-07-049</t>
  </si>
  <si>
    <t>Pérdida de superficie rodamiento (lastre y asfalto), apertura de zanjones profundos, pérdida de sección de calzada</t>
  </si>
  <si>
    <t>CUADRANTES DE SANABRIA</t>
  </si>
  <si>
    <t>C-3-07-006</t>
  </si>
  <si>
    <t>Erosicón canales de aguas escorrentia, perdida de calzada lastre y asfalto</t>
  </si>
  <si>
    <t>Reacondicionamiento de calzada, relastrado, obras de mitigación de erosion, canales de aguas escorrentia revestidos</t>
  </si>
  <si>
    <t>CAMINO A FINCA LA ESPERANZA</t>
  </si>
  <si>
    <t>C-3-07-005</t>
  </si>
  <si>
    <t>A SAN JUAN POR BARRIO FATIMA</t>
  </si>
  <si>
    <t>C-3-07-035</t>
  </si>
  <si>
    <t>Pérdida de superficie rodamiento (lastre), inestabilidad de taludes</t>
  </si>
  <si>
    <t>Reacondicionamiento de calzada y Relastrado, obras mitigación erosión</t>
  </si>
  <si>
    <t>A FINCA UNION IRAZU</t>
  </si>
  <si>
    <t>3-07-034</t>
  </si>
  <si>
    <t>Reacondicionamiento de calzada y Relastrado, obras mitigación erosión, muro de gaviones</t>
  </si>
  <si>
    <t>ANTIGUA FINCA IRAZU</t>
  </si>
  <si>
    <t>3-07-061</t>
  </si>
  <si>
    <t>SAN GERARDO NORTE</t>
  </si>
  <si>
    <t>C-3-07-037 Ent. Volcán Irazú</t>
  </si>
  <si>
    <t xml:space="preserve">Derrumbes, desprendimiento y pérdida de la superfie de rodamiento, erosión sobre taludes </t>
  </si>
  <si>
    <t>Reacondicionamiento de calzada, relastrado, estabilización de taludes, pasos de alcantarillas y cabezales</t>
  </si>
  <si>
    <t>CALLE LOS QUEMADOS</t>
  </si>
  <si>
    <t xml:space="preserve">C-3-07-012 Ent. N219/Ent 402 </t>
  </si>
  <si>
    <t>Desprendimiento de la superficie de rodamiento y afectación sobre paso de alcantarilla existente</t>
  </si>
  <si>
    <t>Reacondicionamiento de calzada,  relastrado del camino,  reconstrucción de paso de alcantarilla y cabezales</t>
  </si>
  <si>
    <t>A LA PASTORA</t>
  </si>
  <si>
    <t>C-3-07-008</t>
  </si>
  <si>
    <t xml:space="preserve">Desprendimiento de la superficie de rodamiento </t>
  </si>
  <si>
    <t>Reacondicionamiento de calzada,  relastrado del camino, bacheo con asfalto</t>
  </si>
  <si>
    <t>CIPRESES</t>
  </si>
  <si>
    <t>CALLES URBANAS DE CIPRESES</t>
  </si>
  <si>
    <t>C-3-07-043</t>
  </si>
  <si>
    <t>Bacheo con mezcla asfaltica, reconstrucción de cunetas y cajas de registro</t>
  </si>
  <si>
    <t>CALLE ORATORIO</t>
  </si>
  <si>
    <t>3-07-024</t>
  </si>
  <si>
    <t>Afectación paso de vehiculos, desprendimiento de superficie de rodamiento</t>
  </si>
  <si>
    <t>Reacondicionamiento de calzada,  relastrado, rehabilitación de paso vehicular</t>
  </si>
  <si>
    <t>CALLE A LAS PARCELAS</t>
  </si>
  <si>
    <t>3-07-055</t>
  </si>
  <si>
    <t>Desprendimiento de superficie de rodamiento</t>
  </si>
  <si>
    <t>Reacondicionamiento de calzada,  relastrado</t>
  </si>
  <si>
    <t>El Guarco 08</t>
  </si>
  <si>
    <t>Patio de agua</t>
  </si>
  <si>
    <t>3-08-001</t>
  </si>
  <si>
    <t xml:space="preserve">Derrumbes  y deslizamientos en el camino, colapso de alcantarillas, paso interrumpido, surcos en la vía, pérdida de material granular (lastre), sedimento en cunetas. </t>
  </si>
  <si>
    <t>Limpieza de obstrucciones, Recuperación de superficie de ruedo, conformación de subrasante, cambio y colocación de tubería pluvial, limpieza y conformación de cunetas/ canales  y espaldones, suministro, colocción y compactación de material granular.</t>
  </si>
  <si>
    <t>Tobosi, Santa Rosa Hacienda</t>
  </si>
  <si>
    <t>3-08-002</t>
  </si>
  <si>
    <t>Inundación, colapso de alcantarillas</t>
  </si>
  <si>
    <t>Estudios y diseño de solución pluvial</t>
  </si>
  <si>
    <t>La Chanchera</t>
  </si>
  <si>
    <t>3-08-008</t>
  </si>
  <si>
    <t xml:space="preserve">Deslizamientos y derrumbes en el camino, paso interrumpido, surcos en la vía, pérdida de material granular (lastre), sedimento en cunetas. </t>
  </si>
  <si>
    <t>Recuperación de superficie de ruedo, conformación de subrasante, cambio y colocación de tubería pluvial, limpieza y conformación de cunetas/ canales  y espaldones, suministro, colocción y compactación de material granular.</t>
  </si>
  <si>
    <t>Las Quebradas Tablón</t>
  </si>
  <si>
    <t>3-08-010</t>
  </si>
  <si>
    <t xml:space="preserve">Derrumbes en el camino, colapso de alcantarillas, paso interrumpido, surcos en la vía, pérdida de material granular (lastre), sedimento en cunetas.  </t>
  </si>
  <si>
    <t>Macho Gaff</t>
  </si>
  <si>
    <t>3-08-014</t>
  </si>
  <si>
    <t xml:space="preserve">Deslizamiento en el camino y Perdida de derecho de vía,  surcos en la vía, pérdida de material granular (lastre), sedimento en cunetas.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</si>
  <si>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</si>
  <si>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El Quetzal</t>
  </si>
  <si>
    <t>3-08-015</t>
  </si>
  <si>
    <t xml:space="preserve">Derrumbes en el camino, colapso de alcantarillas, surcos en la vía, pérdida de material granular (lastre), sedimento en cunetas.  </t>
  </si>
  <si>
    <t>La Minilla, Tablón</t>
  </si>
  <si>
    <t>3-08-019</t>
  </si>
  <si>
    <t>Chiquiza, La Estrella</t>
  </si>
  <si>
    <t>3-08-023</t>
  </si>
  <si>
    <t>La Estrella Vara el Roble</t>
  </si>
  <si>
    <t>3-08-027</t>
  </si>
  <si>
    <t>Palo Verde</t>
  </si>
  <si>
    <t>3-08-028</t>
  </si>
  <si>
    <t>La Cangreja</t>
  </si>
  <si>
    <t>3-08-029</t>
  </si>
  <si>
    <t>El Tejar</t>
  </si>
  <si>
    <t>Asunción</t>
  </si>
  <si>
    <t>3-08-036</t>
  </si>
  <si>
    <t>Inundación, colapso de alcantarillas y canalización de aguas al costado del camino</t>
  </si>
  <si>
    <t>3-08-040</t>
  </si>
  <si>
    <t>Grietas y deslizamientos en el camino</t>
  </si>
  <si>
    <t>Construcción de obra de contención, que permita dar protecciónal camino, evita que colapse le vía y recuperar el ancho del camino para brindar seguridad vial a los ususarios.</t>
  </si>
  <si>
    <t xml:space="preserve">La Estrella  </t>
  </si>
  <si>
    <t>3-08-042</t>
  </si>
  <si>
    <t>Deslizamientos y derrumbes en el camino</t>
  </si>
  <si>
    <t>Las Catalinas</t>
  </si>
  <si>
    <t>3-08-060</t>
  </si>
  <si>
    <t>Inundaciones y daños en el sistema de alcantarillado por taponamiento</t>
  </si>
  <si>
    <t>3-08-068</t>
  </si>
  <si>
    <t xml:space="preserve">Derrumbes en el camino, colapso de alcantarillas </t>
  </si>
  <si>
    <t>Los Tanques Estrella</t>
  </si>
  <si>
    <t>3-08-074</t>
  </si>
  <si>
    <t>Volcancillo</t>
  </si>
  <si>
    <t>3-08-076</t>
  </si>
  <si>
    <t>Grietas y deslizamientos en el camino, surcos en la vía, pérdida de material granular (lastre), sedimento en cunetas.</t>
  </si>
  <si>
    <t>3-08-078</t>
  </si>
  <si>
    <t>Santa Clara</t>
  </si>
  <si>
    <t>3-08-079</t>
  </si>
  <si>
    <t xml:space="preserve">Derrumbes en el camino, colapso de alcantarillas , paso interrumpido, surcos en la vía, pérdida de material granular (lastre), sedimento en cunetas. </t>
  </si>
  <si>
    <t>Palmital Norte-Sur</t>
  </si>
  <si>
    <t>3-08-080</t>
  </si>
  <si>
    <t>3-08-081</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</si>
  <si>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</si>
  <si>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Patiode agua-SantaClara</t>
  </si>
  <si>
    <t>3-08-096</t>
  </si>
  <si>
    <t>Las Duelas (El Empalme)</t>
  </si>
  <si>
    <t>3-08-099</t>
  </si>
  <si>
    <t>Deslizamientos y derrumbes en el camino, surcos en la vía, pérdida de material granular (lastre), sedimento en cunetas.</t>
  </si>
  <si>
    <t>Viejo EL Empalme</t>
  </si>
  <si>
    <t>3-08-100</t>
  </si>
  <si>
    <t>Los Nuñez</t>
  </si>
  <si>
    <t>3-08-105</t>
  </si>
  <si>
    <t>Chiquiza, Palo Verde</t>
  </si>
  <si>
    <t>3-08-108</t>
  </si>
  <si>
    <t>CU Ba La Cruz</t>
  </si>
  <si>
    <t>3-08-119</t>
  </si>
  <si>
    <t>Chiquizá</t>
  </si>
  <si>
    <t>3-08-123</t>
  </si>
  <si>
    <t>3-08-156</t>
  </si>
  <si>
    <t>3-08-165</t>
  </si>
  <si>
    <t>3-08-182</t>
  </si>
  <si>
    <t>Los Tencio Tobosi</t>
  </si>
  <si>
    <t>3-08-193</t>
  </si>
  <si>
    <t>La Piedra del Indio</t>
  </si>
  <si>
    <t>3-08-200</t>
  </si>
  <si>
    <t>Los Chiminos</t>
  </si>
  <si>
    <t>3-08-205</t>
  </si>
  <si>
    <t>PARAÍSO</t>
  </si>
  <si>
    <t>TURRIALBA</t>
  </si>
  <si>
    <t>OREAMUNO</t>
  </si>
  <si>
    <t>EL GUARCO</t>
  </si>
  <si>
    <t>San Nicolas</t>
  </si>
  <si>
    <t>San Rafael, Quircot</t>
  </si>
  <si>
    <t>C 3-01-071</t>
  </si>
  <si>
    <t>Río Amapolo</t>
  </si>
  <si>
    <t>Estructura de puente, con subestructra conformada por bastiones tipo muro de concreto reforzado. La superestructura consiste de vigas simples de concreto reforzado con alineamiento recto y losa de concreto reforzado con un espesor de 25 cm. Cuenta con una sobrecarpeta asfáltica como superficie de rodamiento. La estructura actual cuenta con una longitud de 6,90 metros, ancho total de 6,70, ancho de calzada de 5,70 m.</t>
  </si>
  <si>
    <t>Afectación de la estabilidad e integridad de los elementos de subestructura (bastiones) y vigas principales de la superestructura.</t>
  </si>
  <si>
    <t>Elaboración de los estudios basicos para la construcción de puentes (topografía, geotécnicos, hidrológicos e hidráulicos).   Diseño esttructural y construcción de la estructura de puente.</t>
  </si>
  <si>
    <t>C 3-01-087</t>
  </si>
  <si>
    <t>Río Purires</t>
  </si>
  <si>
    <t>Estructura de puente, con subestructra conformada por bastiones concreto reforzado. La superestructura consiste de concreto reforzado  y losa de concreto reforzado. Cuenta con una sobrecarpeta asfáltica como superficie de rodamiento. La estructura actual cuenta con una longitud aproximada de 20 metros, ancho aproximado de   metros, no cuenta con aceras y las barandas laterales tambien estan en mal estado.</t>
  </si>
  <si>
    <t>Afectación de la estabilidad e integrdad de los elementos de subestructura (bastiones) y vigas principales de la superestructura. Socavación de los elementos de la subestrucura y daño de los baationes producto del arrastre de material rocoso.</t>
  </si>
  <si>
    <t>Sinoli</t>
  </si>
  <si>
    <t>Paso de Sinoli con Shuquebachali y Chinakicha</t>
  </si>
  <si>
    <t>Rio Chirripo</t>
  </si>
  <si>
    <t>No existia puente , solo  un andaribel que comunicaba las comunidades</t>
  </si>
  <si>
    <t>Perdida total de la estructura</t>
  </si>
  <si>
    <t>Estudios preeliminares, diseño y Construcción de puente peatonal</t>
  </si>
  <si>
    <t>Paso de Jerey a jarey y Tsuebata con Shuquebachaliy Kabebata</t>
  </si>
  <si>
    <t xml:space="preserve"> Paso de Ñari con Jamari Ukatipei, y Bloriñak y Kabebata</t>
  </si>
  <si>
    <t>Sagrada Familia</t>
  </si>
  <si>
    <t>Rio toyogres (510395/1091778)</t>
  </si>
  <si>
    <t>Puente destruido, pérdida total</t>
  </si>
  <si>
    <t>Reconstrucción del  puente colapsadod.</t>
  </si>
  <si>
    <t>Juan Pablo II</t>
  </si>
  <si>
    <t>Rio toyogres (510201/1091132)</t>
  </si>
  <si>
    <t>Puente vehicular, tipo arco vehicular dos carriles</t>
  </si>
  <si>
    <t>Soportes excesivamente socavados</t>
  </si>
  <si>
    <t>Reforzamiento de las bases soportantes</t>
  </si>
  <si>
    <t>Centro del Cuadrante</t>
  </si>
  <si>
    <t>Rio toyogres (510285/1091415)</t>
  </si>
  <si>
    <t>Losa de concreto, bastiones por gravedad</t>
  </si>
  <si>
    <r>
      <t xml:space="preserve">Aletones y bastiones expuestos/ socavación importante, poca capacidad hidráulica. </t>
    </r>
    <r>
      <rPr>
        <b/>
        <sz val="11"/>
        <rFont val="Calibri"/>
        <family val="2"/>
      </rPr>
      <t>Estado Critico</t>
    </r>
    <r>
      <rPr>
        <sz val="11"/>
        <rFont val="Calibri"/>
        <family val="2"/>
      </rPr>
      <t xml:space="preserve"> </t>
    </r>
  </si>
  <si>
    <t>Posible demolición, estudios preliminares, diseño y reconstrucción de nuevo puente.</t>
  </si>
  <si>
    <t>Rio toyogres (510244/1091222)</t>
  </si>
  <si>
    <r>
      <rPr>
        <b/>
        <sz val="11"/>
        <color theme="1"/>
        <rFont val="Calibri"/>
        <family val="2"/>
      </rPr>
      <t>Pérdida total</t>
    </r>
    <r>
      <rPr>
        <sz val="11"/>
        <color theme="1"/>
        <rFont val="Calibri"/>
        <family val="2"/>
      </rPr>
      <t>; taludes aguas arriba y abajo socavados y muy erosionables</t>
    </r>
  </si>
  <si>
    <t>Estudios preliminares, diseño y reconstrucción de nuevo puente, obras de mitigación erosiva en cauce</t>
  </si>
  <si>
    <t>Entrada a El Bosque por Pali Los Angeles</t>
  </si>
  <si>
    <t>Rio toyogres (510170/1090865)</t>
  </si>
  <si>
    <t>Aletones y bastiones expuestos y falla cortante en un aleton, Taludes socavados, capacidad hidráulica insuficiente (rio se sale)</t>
  </si>
  <si>
    <t>Estudios preliminares, diseño y rehabilitación del puente.</t>
  </si>
  <si>
    <t>Puente Antigua Cooperativa</t>
  </si>
  <si>
    <t>Rio toyogres (510266/1091318)</t>
  </si>
  <si>
    <r>
      <t xml:space="preserve">Cimientos y taludes aledaños  expuestos/socavados, puente </t>
    </r>
    <r>
      <rPr>
        <b/>
        <sz val="11"/>
        <color theme="1"/>
        <rFont val="Calibri"/>
        <family val="2"/>
      </rPr>
      <t>recien construido</t>
    </r>
  </si>
  <si>
    <t>Obras de mitigación y refuerzo de la áreas socavadas del puente.</t>
  </si>
  <si>
    <t>Sagrada Familia, 100 norte y 25 oeste de la plaza</t>
  </si>
  <si>
    <t>Rio San Nicolas (510601/1091569)</t>
  </si>
  <si>
    <t xml:space="preserve">Aletones aguas arriba socavados </t>
  </si>
  <si>
    <t>Rehabilitación de aletones</t>
  </si>
  <si>
    <t>Costado oeste de la plaza de deportes</t>
  </si>
  <si>
    <t>Rio San Nicolas (510689/1091554)</t>
  </si>
  <si>
    <t>Piso socavado</t>
  </si>
  <si>
    <t>Reforzamiento del piso socavado</t>
  </si>
  <si>
    <t>50 Este del Abastecedor El Tesoro, cuadrante</t>
  </si>
  <si>
    <t>Rio San Nicolas (510653/1091177)</t>
  </si>
  <si>
    <t>Piso, aletones, socavados</t>
  </si>
  <si>
    <t>Rehabilitación del piso y aletones</t>
  </si>
  <si>
    <t>Costado oeste del plantel municipal</t>
  </si>
  <si>
    <t>Bastion, aletones y taludes socavados, poca capacidad hidraúlica</t>
  </si>
  <si>
    <t>Urb. González Angulo, acceso hacia ruta nacional N°10</t>
  </si>
  <si>
    <t>Rio toyogres (510002/1090405)</t>
  </si>
  <si>
    <t>Pérdida del 75% aprox.</t>
  </si>
  <si>
    <t xml:space="preserve">Reconstrucción de muro de gaviones </t>
  </si>
  <si>
    <t>El Bosque, 150m este de la escuela</t>
  </si>
  <si>
    <t>C-3-07-029</t>
  </si>
  <si>
    <t>Rio Chinchilla (510946/1090642)</t>
  </si>
  <si>
    <t>Aletones y bastiones poco expuestos</t>
  </si>
  <si>
    <t>Reforzamiento de aletones y bastiones</t>
  </si>
  <si>
    <t>El Bosque,  75 oeste de las canchas sinteticas camino a Blanquillo</t>
  </si>
  <si>
    <t>Rio Tatisku (511391/10901004)</t>
  </si>
  <si>
    <t>Bastion, aletones y taludes socavados excesivamente</t>
  </si>
  <si>
    <t>Rehabilitación de la subestructura</t>
  </si>
  <si>
    <t>El Bosque, ruta de INQUISA</t>
  </si>
  <si>
    <t>Rio Tatisku (511326/1090498)</t>
  </si>
  <si>
    <t>Afectación en muro gavion parcial (margen izquierda aguas arriba); pérdida de la chorrea del piso (debajo del puente y salida)</t>
  </si>
  <si>
    <t>Rehabilitación del piso y salida de cauce</t>
  </si>
  <si>
    <t>El Alto, Corazon de Jesus</t>
  </si>
  <si>
    <t>Rio Tatisku (511442/1091150)</t>
  </si>
  <si>
    <r>
      <t>Estructura de arco con factura en la parte superior y aletones, cimientos expuestos.</t>
    </r>
    <r>
      <rPr>
        <b/>
        <sz val="11"/>
        <color theme="1"/>
        <rFont val="Calibri"/>
        <family val="2"/>
      </rPr>
      <t xml:space="preserve"> Estado Critico</t>
    </r>
  </si>
  <si>
    <t>75m este del Ebais</t>
  </si>
  <si>
    <t>Rio Chinchilla (511442/1091150)</t>
  </si>
  <si>
    <t>Cimientos (aletones, y parte de bastión), parcialmente expuestos</t>
  </si>
  <si>
    <t>3-08-028-01</t>
  </si>
  <si>
    <t>Navarro</t>
  </si>
  <si>
    <t>Estructura de concreto, 16 metros de longitud y 5.6 metros de altura.</t>
  </si>
  <si>
    <t>Socavamiento leve de bastiones y aletones</t>
  </si>
  <si>
    <t>Trabajos de mantenimiento de la estructura del puente</t>
  </si>
  <si>
    <t>La Estrella</t>
  </si>
  <si>
    <t>3-08-046-01</t>
  </si>
  <si>
    <t>Estructura de concreto, 9 metros de longitud y 4.1 metros de altura.</t>
  </si>
  <si>
    <t>Colapso de puente</t>
  </si>
  <si>
    <t>Construcción de vado temporal y Estudios, diseño y Construcción de puente vehicular</t>
  </si>
  <si>
    <t>3-08-046-02</t>
  </si>
  <si>
    <t>Estructura de concreto, 9 metros de longitud y 3.5 metros de altura.</t>
  </si>
  <si>
    <t>Socavación de bastiones</t>
  </si>
  <si>
    <t>3-08-050-01</t>
  </si>
  <si>
    <t>Estructura de concreto, de 5.5 metros de largo, con bastiones de concreto de 2 metros de largo.</t>
  </si>
  <si>
    <t>Deslizamiento sobre la estructura</t>
  </si>
  <si>
    <t>3-08-017-01</t>
  </si>
  <si>
    <t>Macho</t>
  </si>
  <si>
    <t>Estructura de madera, 6 metros de largo y 1 metro de altura</t>
  </si>
  <si>
    <t>Construcción de vado temporal , Estudios, diseño y Construcción de puente vehicular</t>
  </si>
  <si>
    <t>3-08-021-01</t>
  </si>
  <si>
    <t>Estructura de concreto, 4 metros de longitud y 2.5 metros de altura.</t>
  </si>
  <si>
    <t>Socavación de bastiones y debilitamiento de toda la estructura</t>
  </si>
  <si>
    <t>Estudios, diseño y Construcción de puente vehicular</t>
  </si>
  <si>
    <t>Tobosi-Barrancas</t>
  </si>
  <si>
    <t>3-08-003-01</t>
  </si>
  <si>
    <t>Purires</t>
  </si>
  <si>
    <t>Estructura mixta de acero y concreto de 30 metros de largo y 3.6 metros de alto</t>
  </si>
  <si>
    <t>Pérdida de escollera de protección</t>
  </si>
  <si>
    <t>Trabajos de mantenimiento de la estructura y construcción de escolleras</t>
  </si>
  <si>
    <t>Tablón</t>
  </si>
  <si>
    <t>3-08-018-02</t>
  </si>
  <si>
    <t>Estructura de concreto, 6 metros de longitud y 3.8 metros de altura.</t>
  </si>
  <si>
    <t>3-08-018-03</t>
  </si>
  <si>
    <t>Estructura de concreto, 8 metros de longitud y 3.3 metros de altura.</t>
  </si>
  <si>
    <t>Desprendimiento de bastión</t>
  </si>
  <si>
    <t>Reconstrucción de aletones del puente.</t>
  </si>
  <si>
    <t>Tobosi- Quebradilla</t>
  </si>
  <si>
    <t>3-08-035-01</t>
  </si>
  <si>
    <t>Estructura de concreto, 12 metros de longitud y 2.6 metros de altura.</t>
  </si>
  <si>
    <t>Perdida de sección en la viga</t>
  </si>
  <si>
    <t>Analisis de soporte de la estructura y mantenimiento de la estructura</t>
  </si>
  <si>
    <t>SubTotal El Guarco</t>
  </si>
  <si>
    <t>CARTAGO</t>
  </si>
  <si>
    <t xml:space="preserve">San Francisco </t>
  </si>
  <si>
    <t>Sector Cocorí, Urbanización San Francisco</t>
  </si>
  <si>
    <t>C 3-01-225</t>
  </si>
  <si>
    <t>Quebrada El Molino</t>
  </si>
  <si>
    <t xml:space="preserve">Alcantarilla de cuadro de concreto reforzado, con dimensiones aproximadas de </t>
  </si>
  <si>
    <t>Socavación en los cimientos de la estructura. Además del fallo de los rellenos de aproximación producto de la socavación. Inestabilidad de las paredes laterales de la alcantarilla.</t>
  </si>
  <si>
    <t xml:space="preserve">Diseño y construcción de alcantarilla de cuadro y elaboración de estudios básicos (geotécnicos, hidrológicos e hidráulicos y topográficos) </t>
  </si>
  <si>
    <t>Sector Urbanización Manuel de Jesús</t>
  </si>
  <si>
    <t>C 3-01-214</t>
  </si>
  <si>
    <t>Colapso de la estructura de alcantarilla, por socavación e inestabilidad de lso elementos estructurales.</t>
  </si>
  <si>
    <t>Río Toyogres</t>
  </si>
  <si>
    <t>Socavación en los ciminetos de la estructura de alcantarilla</t>
  </si>
  <si>
    <t>Alcantarilla circular de concreto refozado, con capacidad hidraulica reducida y en mal estado de funcionamiento</t>
  </si>
  <si>
    <t>Saturación de la sección hidraulica, asi como poca capacidad respecto al caudal demandado. Daños por erosión en la entrada y salida.</t>
  </si>
  <si>
    <t>Quebrada</t>
  </si>
  <si>
    <t>Vado natural</t>
  </si>
  <si>
    <t>Perdida por corte y obstrucción y deslizamiento dentro de la quebrada.</t>
  </si>
  <si>
    <t>Construcción de vado en concreto y obras de protección de margenes.</t>
  </si>
  <si>
    <t xml:space="preserve">Construcción de Alcantarilla de Cuadro </t>
  </si>
  <si>
    <t>Barrancas</t>
  </si>
  <si>
    <t>3-08-083</t>
  </si>
  <si>
    <t>Asequia</t>
  </si>
  <si>
    <t>Doble Alcantarilla de 90 centímetros de diámetro, metálica, 8 metros de longitud.</t>
  </si>
  <si>
    <t>Perdida de cabezales por deslizamiento y perdida de sección de la tubería.</t>
  </si>
  <si>
    <t xml:space="preserve">Construcción de Alcantarilla de Cuadro y obras de protección y rellenos. </t>
  </si>
  <si>
    <t>Perdida de cabezales y obras de arte por deslizamientos y obstrucción de alcantarillas.</t>
  </si>
  <si>
    <t>3-08-003</t>
  </si>
  <si>
    <t>Grietas y socavación de la estructura</t>
  </si>
  <si>
    <t>La Silvia</t>
  </si>
  <si>
    <t>3-08-061</t>
  </si>
  <si>
    <t>Obstrucción de Alcantarilla por falta de capacidad y perdida de obras de protección</t>
  </si>
  <si>
    <t>Reubicación de alcantarilla, mejora de diámetro, construcción de obras de arte y rellenos, mejora de calzada y barandas de seguridad</t>
  </si>
  <si>
    <t>Taras, Quircot y la Lima</t>
  </si>
  <si>
    <t>Quebrada Amapola</t>
  </si>
  <si>
    <t>Cause</t>
  </si>
  <si>
    <t>500 metros</t>
  </si>
  <si>
    <t>Acumulación de agregado grueso y fino sobre el cause</t>
  </si>
  <si>
    <t>Limpieza de cause</t>
  </si>
  <si>
    <t>Quebrada Norberta</t>
  </si>
  <si>
    <t>700 metros</t>
  </si>
  <si>
    <t>Río Taras</t>
  </si>
  <si>
    <t>4000 metros</t>
  </si>
  <si>
    <t>Tierra Blanca, El Carmen, Oriente, Dulce Nombre</t>
  </si>
  <si>
    <t>El Rodeo, San Blas, Los Angeles, Residencial González Angulo, Dulce Nombre</t>
  </si>
  <si>
    <t>Oriente</t>
  </si>
  <si>
    <t>Caballo Blanco</t>
  </si>
  <si>
    <t>Río Barquero</t>
  </si>
  <si>
    <t>Quebradilla, Condominio La Rueda y Condomino Albacete</t>
  </si>
  <si>
    <t>1000 metros</t>
  </si>
  <si>
    <t>Río Coris</t>
  </si>
  <si>
    <t>Río Caliente</t>
  </si>
  <si>
    <t>Riberas del río</t>
  </si>
  <si>
    <t>Desplome de las riberas del río en el sector de Puente Negro ocasionada por la dinámica pluvial del mismo.</t>
  </si>
  <si>
    <t>Estudios preliminares y diseño de obra de protección de las riberas del río.</t>
  </si>
  <si>
    <t>SAGRADA FAMILIA</t>
  </si>
  <si>
    <t>RIO TOYOGRES</t>
  </si>
  <si>
    <t>MARGENES EROSIONADAS</t>
  </si>
  <si>
    <t>60m</t>
  </si>
  <si>
    <t>Inundación viviendas y camino público, perdida de puente peatonal</t>
  </si>
  <si>
    <t>Construcción de muros de gaviones</t>
  </si>
  <si>
    <t xml:space="preserve">Centro </t>
  </si>
  <si>
    <t xml:space="preserve">MARGENES EROSIONADAS/ENTRADA Y SALIDA BAJO NIVEL DE BASTIONES </t>
  </si>
  <si>
    <t>20m</t>
  </si>
  <si>
    <t>Pérdida de sección de los taludes proximos al puente, exposición de bastiones parcial</t>
  </si>
  <si>
    <t>Construcción de muro de gaviones y/o colchonetas</t>
  </si>
  <si>
    <t>Juan Pablo II/ Monseñor sanabria</t>
  </si>
  <si>
    <t>MARGENES Y LECHO EROSIONADOS, colapso de puente</t>
  </si>
  <si>
    <t>200m</t>
  </si>
  <si>
    <t>Pérdida de sección de los taludes, y lechos, pérdidas de terrenos, muros de viviendas, perdida completa de estructura vehiculas</t>
  </si>
  <si>
    <t xml:space="preserve">Construcción de muro de gaviones y/o colchonetas, obras para el control de la erosión; reconstruccion de puente descrito en afectacion de puentes </t>
  </si>
  <si>
    <t>San Rafael centro/ Bosque</t>
  </si>
  <si>
    <t>115m</t>
  </si>
  <si>
    <t>Pérdida de sección de los taludes, y lechos, pérdidas de terrenos, viviendas, arrastre de vehiculos, afectación de puente sub y super estructura</t>
  </si>
  <si>
    <t>Reventado</t>
  </si>
  <si>
    <t>Rutas cantonales y Diques de protección</t>
  </si>
  <si>
    <t>Pérdida de diques de protección, socavamiento de rutas cantonales.</t>
  </si>
  <si>
    <t xml:space="preserve">Conformación de cauce y diques de protección, construcción de obras de protección de las rutas cantonales. </t>
  </si>
  <si>
    <t>Guayabal</t>
  </si>
  <si>
    <t>Diques de protección</t>
  </si>
  <si>
    <t xml:space="preserve">Conformación de cauce y diques de protección, para portección de viviendas y rutas cantonales. </t>
  </si>
  <si>
    <t>La Chapeta</t>
  </si>
  <si>
    <t>Pérdida de diques de protección.</t>
  </si>
  <si>
    <t>Barrio San Francisco</t>
  </si>
  <si>
    <t>Villas de Arfán</t>
  </si>
  <si>
    <t>Puente y Diques de protección</t>
  </si>
  <si>
    <t>Pérdida de diques de protección, daños en estructura de puente.</t>
  </si>
  <si>
    <t>Pérdida de diques de protección, inundaciones.</t>
  </si>
  <si>
    <t>Pérdida de diques de protección, socavamiento de rutas cantonales, colapso de puente vehicular.</t>
  </si>
  <si>
    <t>Las Chaconas</t>
  </si>
  <si>
    <t>Cucaracha</t>
  </si>
  <si>
    <t>Sendas del Sol</t>
  </si>
  <si>
    <t>Lobo</t>
  </si>
  <si>
    <t>Pérdida de diques de protección,colapso de puente vehicular.</t>
  </si>
  <si>
    <t xml:space="preserve">Madeira </t>
  </si>
  <si>
    <t>Tiribí</t>
  </si>
  <si>
    <t>10 mill x cada 100 m</t>
  </si>
  <si>
    <t>bajo</t>
  </si>
  <si>
    <t>Estudio de Geotecnia y Estabilidad de Taludes</t>
  </si>
  <si>
    <t xml:space="preserve">La Isla </t>
  </si>
  <si>
    <t>Alumbre</t>
  </si>
  <si>
    <t>Alto Tablazo</t>
  </si>
  <si>
    <t>Finca Valverde, San Gerardo</t>
  </si>
  <si>
    <t>Barrio San José</t>
  </si>
  <si>
    <t>Calle Marín - Jericó</t>
  </si>
  <si>
    <t>Calabacitas</t>
  </si>
  <si>
    <t xml:space="preserve">Bustamante </t>
  </si>
  <si>
    <t>Calle Marín - Frailes</t>
  </si>
  <si>
    <t xml:space="preserve">Guizaros </t>
  </si>
  <si>
    <t xml:space="preserve">Quebrada Honda </t>
  </si>
  <si>
    <t xml:space="preserve">El Rosario </t>
  </si>
  <si>
    <t xml:space="preserve">Guadarrama </t>
  </si>
  <si>
    <t>La Joya</t>
  </si>
  <si>
    <t>Chirogres – Calle Méndez</t>
  </si>
  <si>
    <t>Calle Zeneida</t>
  </si>
  <si>
    <t xml:space="preserve">Los Guido </t>
  </si>
  <si>
    <t>Las Palmas – Sector 7 y 8</t>
  </si>
  <si>
    <t>Cucubres</t>
  </si>
  <si>
    <t xml:space="preserve">Sector 3 </t>
  </si>
  <si>
    <t>Valladolid</t>
  </si>
  <si>
    <t>La Lucha</t>
  </si>
  <si>
    <t>Cuenca</t>
  </si>
  <si>
    <t>Estudio Integrado de geología y amenazas</t>
  </si>
  <si>
    <t xml:space="preserve">SAN ISIDRO </t>
  </si>
  <si>
    <t xml:space="preserve">LA PALMA </t>
  </si>
  <si>
    <t>1-19-008 RUTA LA PALMA EL ROBLE</t>
  </si>
  <si>
    <t xml:space="preserve">DAÑOS EN ACCESO PRINCIPAL </t>
  </si>
  <si>
    <t>Rehabilitacion de via y construccion de estructuras contensivas en cauce</t>
  </si>
  <si>
    <t>MIRAVALLES</t>
  </si>
  <si>
    <t>1-19-022 1 K ESTE DE LA ESCUELA MIRAVALLES</t>
  </si>
  <si>
    <t xml:space="preserve">CAMINO CERRADO </t>
  </si>
  <si>
    <t>Rehabilitacion de via</t>
  </si>
  <si>
    <t xml:space="preserve">1-19-008 100M HACIA EL ROBLE </t>
  </si>
  <si>
    <t xml:space="preserve">INCOMUNICADOS </t>
  </si>
  <si>
    <t xml:space="preserve">SAN RAFAEL NORTE </t>
  </si>
  <si>
    <t>1-19-332 CALLE ENTRADA FRENTE A LA PLAZA</t>
  </si>
  <si>
    <t xml:space="preserve">CAMINO FALSEADO </t>
  </si>
  <si>
    <t xml:space="preserve">Rehabilitacion y construccion de estructuras contensivas de via </t>
  </si>
  <si>
    <t>SAN ISIDRO</t>
  </si>
  <si>
    <t>Miravalles</t>
  </si>
  <si>
    <t>1-19-1024 2 km este de la plaza de deportes</t>
  </si>
  <si>
    <t>Caminos Cerrados</t>
  </si>
  <si>
    <t>Toledo Paso Lagarto</t>
  </si>
  <si>
    <t>1-19-010 Toledo</t>
  </si>
  <si>
    <t>Camino destruido</t>
  </si>
  <si>
    <t>1-19-007 100 mts este de la Escuela La Guaria</t>
  </si>
  <si>
    <t>Deslizamiento de calle y Vivienda</t>
  </si>
  <si>
    <t>B. Cooperativa</t>
  </si>
  <si>
    <t>1-19-179 Frente a 2da casa de la iglesia catolica</t>
  </si>
  <si>
    <t>Deslizamiento de paredón</t>
  </si>
  <si>
    <t>San Valentin</t>
  </si>
  <si>
    <t>1-19-1382 Calle 4, 75 mts este a la derecho, 400 mts norte Bar El Corral</t>
  </si>
  <si>
    <t>Hundimiento en la vía</t>
  </si>
  <si>
    <t>1-19-022300 mts este de la Pulpería Miravalles</t>
  </si>
  <si>
    <t>Terraplen en casa y calle</t>
  </si>
  <si>
    <t>San Rafael Norte</t>
  </si>
  <si>
    <t>1-19-112 600 oeste iglesia catolica San Rafael Norte</t>
  </si>
  <si>
    <t>Deslizamiento sobre calle</t>
  </si>
  <si>
    <t>El Roble</t>
  </si>
  <si>
    <t>1-19-414 150 mts oeste de Escuela El Roble</t>
  </si>
  <si>
    <t>Derrumbes</t>
  </si>
  <si>
    <t>Toledo Bajo Esperanza</t>
  </si>
  <si>
    <t>1-19-013 100 mts oeste de la iglesia catolica</t>
  </si>
  <si>
    <t>1-19-007 La Guaria</t>
  </si>
  <si>
    <t>Derrumbes ydesbordamiento de quebradas</t>
  </si>
  <si>
    <t>Rehabilitacion y construccion de estructuras contensivas de via. Rehabilitación de sistemas de drenaje</t>
  </si>
  <si>
    <t>1-19-008 La Palma</t>
  </si>
  <si>
    <t>Inundaciones lavado de material</t>
  </si>
  <si>
    <t>Rosario Pacuar</t>
  </si>
  <si>
    <t>1-19-012 Rosario Pacuar</t>
  </si>
  <si>
    <t>Derrumbes sobre la vía</t>
  </si>
  <si>
    <t>Morazán</t>
  </si>
  <si>
    <t>1-19-020 De la Iglesia Catolica 700 mts norte</t>
  </si>
  <si>
    <t>Rehabilitacion de via y construccion de sistema de drenaje lingitudinal a ruta 1-19-020</t>
  </si>
  <si>
    <t>1-19-301 San Rafael Norte El Relleno Tajo</t>
  </si>
  <si>
    <t>1-19-178 San Luis</t>
  </si>
  <si>
    <t>Barrio Valverde</t>
  </si>
  <si>
    <t>1-19-1472 Barrio Valverde</t>
  </si>
  <si>
    <t>Derrumbe sobre la calle</t>
  </si>
  <si>
    <t xml:space="preserve"> Boston</t>
  </si>
  <si>
    <t>1-19-186  Boston</t>
  </si>
  <si>
    <t>Se perdió el material de la calle</t>
  </si>
  <si>
    <t xml:space="preserve">Rehabilitacion de via </t>
  </si>
  <si>
    <t>Quebradas</t>
  </si>
  <si>
    <t>1-19-020 Quebradas</t>
  </si>
  <si>
    <t>Desbordamiento de ríos</t>
  </si>
  <si>
    <t>Angostura</t>
  </si>
  <si>
    <t>1-19-067 Angostura</t>
  </si>
  <si>
    <t>1-19-741Quebradas arriba, Calle Fallas</t>
  </si>
  <si>
    <t>Vivienda y calle afectadas por terraplen</t>
  </si>
  <si>
    <t>Pinar del Río</t>
  </si>
  <si>
    <t>1-19-031 Pinar del Río</t>
  </si>
  <si>
    <t>Ciudadela El Río</t>
  </si>
  <si>
    <t>1-19-818 Ciudadela El Río</t>
  </si>
  <si>
    <t>Puente falseado y diques de protección arrasados</t>
  </si>
  <si>
    <t>GENERAL</t>
  </si>
  <si>
    <t>1-19-158 Calle Alvarado Los Badilla</t>
  </si>
  <si>
    <t>Inundaciones</t>
  </si>
  <si>
    <t>La Linda Cuesta Cascarillo</t>
  </si>
  <si>
    <t>1-19-033 800 mts sur del Super El General</t>
  </si>
  <si>
    <t>Deslizamientos, Hundimientos y agrietamientos</t>
  </si>
  <si>
    <t>1-19-035 Santa Elena</t>
  </si>
  <si>
    <t>1-19-086 Peñas Blancas</t>
  </si>
  <si>
    <t>Calle hundida</t>
  </si>
  <si>
    <t>San Blas/ La Linda</t>
  </si>
  <si>
    <t>1-19-033 San Blas/ La Linda</t>
  </si>
  <si>
    <t>La Hermosa</t>
  </si>
  <si>
    <t>1-19-034 Comunidad Chancas/ La Arepa</t>
  </si>
  <si>
    <t>Deslizamientos y alcantarillas colapsadas</t>
  </si>
  <si>
    <t>DANIEL FLORES</t>
  </si>
  <si>
    <t>Playón</t>
  </si>
  <si>
    <t>1-19-028 Del Abastecedor La Playa 75 mts a mano izquierda</t>
  </si>
  <si>
    <t>Aislados</t>
  </si>
  <si>
    <t>San Juan Bosco</t>
  </si>
  <si>
    <t>1-119-144 800 mts sur de la escuela San Juan Bosco</t>
  </si>
  <si>
    <t>5,5</t>
  </si>
  <si>
    <t>Calle agrietada/Alcantarilla</t>
  </si>
  <si>
    <t>1-19-646 700 mts sur de la Escuela Los Angeles</t>
  </si>
  <si>
    <t>Dragar quebrada para evitar inundación</t>
  </si>
  <si>
    <t>Rehabilitacion de via y construccion de estructuras de drenaje apropiada</t>
  </si>
  <si>
    <t>Repunta</t>
  </si>
  <si>
    <t>1-19-032 500 mts este de la escuela Repunta</t>
  </si>
  <si>
    <t>Desbordamiento de río y afectación de calle</t>
  </si>
  <si>
    <t>1-19-028 La Playa</t>
  </si>
  <si>
    <t>Calle lavada</t>
  </si>
  <si>
    <t>1-19-025 La Trocha</t>
  </si>
  <si>
    <t>calle lavada</t>
  </si>
  <si>
    <t>1-19-219 Lourdes</t>
  </si>
  <si>
    <t>Calle instransitable por zanjas</t>
  </si>
  <si>
    <t>1-19-646 Los Angeles</t>
  </si>
  <si>
    <t>Derrumbe sobre la vía</t>
  </si>
  <si>
    <t>Concepción</t>
  </si>
  <si>
    <t>1-19-144 Concepción</t>
  </si>
  <si>
    <t>Deslizamientos/Caminos en mal estado</t>
  </si>
  <si>
    <t>Cristo Rey</t>
  </si>
  <si>
    <t>1-19-096 Cristo Rey</t>
  </si>
  <si>
    <t>Deslizmiento de la vía</t>
  </si>
  <si>
    <t>RIVAS</t>
  </si>
  <si>
    <t xml:space="preserve">MONTERREY </t>
  </si>
  <si>
    <t xml:space="preserve">1-19-119 DESPUES DE LA ANTIGUA ESCUELA </t>
  </si>
  <si>
    <t xml:space="preserve">GRIETAS CALLE </t>
  </si>
  <si>
    <t>Canaan</t>
  </si>
  <si>
    <t>1-19-052 300 mts este de la escuela de Canaan</t>
  </si>
  <si>
    <t>Incomunicados. Destrucción parcial de estructura de puente</t>
  </si>
  <si>
    <t>Rehabilitacion de via y construccion de estructuras contensivas en cauce. Puente Nuevo</t>
  </si>
  <si>
    <t>Herradura</t>
  </si>
  <si>
    <t>1-19-039 accesototal  Herradura</t>
  </si>
  <si>
    <t>Desbordamiento del Río Herradura</t>
  </si>
  <si>
    <t>Chimirol</t>
  </si>
  <si>
    <t>1-19-161 Cruce de Barrio San Francisco</t>
  </si>
  <si>
    <t>Alto Jaular</t>
  </si>
  <si>
    <t>1-19-110 En los alrededores de la Escuela Los Altos</t>
  </si>
  <si>
    <t>Aislados. Deslizamientos en la via</t>
  </si>
  <si>
    <t>Rehabilitación de via</t>
  </si>
  <si>
    <t>1-19-164 100 mts sur y 1 km oeste del Puente los Corderos</t>
  </si>
  <si>
    <t>1-19-161 1 km este de Pulpería Los Segura</t>
  </si>
  <si>
    <t>Linda Vista</t>
  </si>
  <si>
    <t>1-19-773 300 mts sureste de la Pulpería Linda Vista</t>
  </si>
  <si>
    <t xml:space="preserve">SAN PEDRO </t>
  </si>
  <si>
    <t>SAN JERONIMO</t>
  </si>
  <si>
    <t xml:space="preserve">1-19-066 1 K ESTE DEL CENTRO DE SAN JERONIMO(acceso a Aguacatales) </t>
  </si>
  <si>
    <t>INCOMUNICADOS. Puente arrasado y 500 ml de camino desapareció.</t>
  </si>
  <si>
    <t xml:space="preserve">1-19-066 COMUNIDAD COMPLETA </t>
  </si>
  <si>
    <t>INCOMUNICADOS. Derrumbes en la via</t>
  </si>
  <si>
    <t>CAJÓN</t>
  </si>
  <si>
    <t>1-19-1254 3 km norte Escuela Cedral</t>
  </si>
  <si>
    <t>Afectación de acueducto y caminos</t>
  </si>
  <si>
    <t>SAN PEDRO</t>
  </si>
  <si>
    <t>1-19-273 De la escuela 100 mts hacia el centro de San Pedro</t>
  </si>
  <si>
    <t>Arenilla</t>
  </si>
  <si>
    <t>1-19-064 Arenilla</t>
  </si>
  <si>
    <t>Río destruyó parte de la calle</t>
  </si>
  <si>
    <t>Rehabilitacion de via y construccion de estructuras contensivas en cauce San Pedro</t>
  </si>
  <si>
    <t>Ciudad de la Cruz Roja</t>
  </si>
  <si>
    <t>1-19-688 Ciudad de la Cruz Roja</t>
  </si>
  <si>
    <t>Calles lavadas por inundación</t>
  </si>
  <si>
    <t>PLATANARES</t>
  </si>
  <si>
    <t xml:space="preserve">LA SIERRA </t>
  </si>
  <si>
    <t xml:space="preserve">1-19-068 COMUNIDAD COMPLETA </t>
  </si>
  <si>
    <t>DAÑO A CAMINO / ALCANTARILLAS</t>
  </si>
  <si>
    <t xml:space="preserve">SAN PABLITO </t>
  </si>
  <si>
    <t xml:space="preserve">1-19-104 150 ESTE ESCUELA SAN PABLITO </t>
  </si>
  <si>
    <t>SIN PASO POR DESLIZAMIENTO Y DERRUMBES</t>
  </si>
  <si>
    <t>LA SIERRA</t>
  </si>
  <si>
    <t xml:space="preserve">1-19-068 CAMINO DE PLATANARES A LA SIERRA </t>
  </si>
  <si>
    <t>CAMINOS BLOQUEADOS POR DERRUMBES</t>
  </si>
  <si>
    <t>CRISTO REY</t>
  </si>
  <si>
    <t xml:space="preserve">1-19-096 CAMINO CRISTO REY A PACUAR </t>
  </si>
  <si>
    <t>Socorro</t>
  </si>
  <si>
    <t>1-19-049 Por puente de Socorro de San Rafael y B. Zuñiga</t>
  </si>
  <si>
    <t>Derrumbes en la vias</t>
  </si>
  <si>
    <t>1-19-096 Camino Mollejones hacia Pacuar</t>
  </si>
  <si>
    <t>Derrumbes en el camino</t>
  </si>
  <si>
    <t>Oratorio</t>
  </si>
  <si>
    <t>1-19-144 Camino a la Plaza de deportes</t>
  </si>
  <si>
    <t>Gaviones afectados</t>
  </si>
  <si>
    <t>1-19-048 10 mts oeste de la escuela de Buenos Aires</t>
  </si>
  <si>
    <t>1-19-144 Oratorio</t>
  </si>
  <si>
    <t>Calle cortada por el agua del río</t>
  </si>
  <si>
    <t>Bajo Espinoza</t>
  </si>
  <si>
    <t>1-19-472 Bajo Espinoza</t>
  </si>
  <si>
    <t>Deslizamientos/ Derrumbes en la Vía/ Desbordamiento de Ríos</t>
  </si>
  <si>
    <t>1-19-210 Lourdes</t>
  </si>
  <si>
    <t>Derrumbes en la via</t>
  </si>
  <si>
    <t>San Pablito</t>
  </si>
  <si>
    <t>1-19-104 San Pablito</t>
  </si>
  <si>
    <t>Calle agrietada</t>
  </si>
  <si>
    <t>PEJIBAYE</t>
  </si>
  <si>
    <t>La Trinidad</t>
  </si>
  <si>
    <t>1-19-073  1-19-011 
Todo el pueblo</t>
  </si>
  <si>
    <t>Aislada por deslizamientos</t>
  </si>
  <si>
    <t>El Progreso</t>
  </si>
  <si>
    <t>1-19-198 1.5 Km sur este del salón COOPESEPROMA RL</t>
  </si>
  <si>
    <t>No hay paso</t>
  </si>
  <si>
    <t>Aguila</t>
  </si>
  <si>
    <t>1-19-860 Aguila</t>
  </si>
  <si>
    <t>Derrumbes/Inundaciones</t>
  </si>
  <si>
    <t>Quemado</t>
  </si>
  <si>
    <t>Calle 1-19-619</t>
  </si>
  <si>
    <t>daño en paso de alcantarilla</t>
  </si>
  <si>
    <t>1-19-618 Quemado 250 mts Norte de la pulpería</t>
  </si>
  <si>
    <t>Deslizamientos/ Inundaciones</t>
  </si>
  <si>
    <t>Quizarrá</t>
  </si>
  <si>
    <t>1-19-077 Finca Altamira/Montecarlo/Las Nubes</t>
  </si>
  <si>
    <t>Desbordamientos de ríos/ Caminos con paso regulado</t>
  </si>
  <si>
    <t>1-19-602 Mercedes Finca Torres</t>
  </si>
  <si>
    <t>Camino dañado, dificulta el acceso a otras comunidades</t>
  </si>
  <si>
    <t>1-19-693, 1-19-041, 1-19-238, 1-19-002 Arco Iris/Cedral/Gloria/Las Vegas</t>
  </si>
  <si>
    <t>Desbordamientos/ Deslizamientos</t>
  </si>
  <si>
    <t>BARÚ</t>
  </si>
  <si>
    <t>San Juan de Dios Tres Piedras</t>
  </si>
  <si>
    <t>1-19-1330 Costado del Ebais Platanillo</t>
  </si>
  <si>
    <t>Familia Aislada por derrumbe</t>
  </si>
  <si>
    <t>San Salvador</t>
  </si>
  <si>
    <t>1-19-1026 San Salvador</t>
  </si>
  <si>
    <t>Derrumbes / deslizamientos</t>
  </si>
  <si>
    <t>Florida</t>
  </si>
  <si>
    <t>1-19-127 Florida</t>
  </si>
  <si>
    <t>La Ceiba</t>
  </si>
  <si>
    <t>1-19-170 La Ceiba</t>
  </si>
  <si>
    <t>Zanjas en la calle</t>
  </si>
  <si>
    <t>La Alfombra</t>
  </si>
  <si>
    <t>1-19-089 La Alfombra</t>
  </si>
  <si>
    <t>Las Tumbas</t>
  </si>
  <si>
    <t>1-19-004 Las Tumbas</t>
  </si>
  <si>
    <t>Vista de Mar</t>
  </si>
  <si>
    <t>1-19-050 Vista de Mar</t>
  </si>
  <si>
    <t xml:space="preserve">RÍO NUEVO </t>
  </si>
  <si>
    <t xml:space="preserve">EL ROBLE </t>
  </si>
  <si>
    <t xml:space="preserve">1-19-008 RUTA SANTA ROSA/ EL ROBLE </t>
  </si>
  <si>
    <t>Camino bloquedo con obstáculos y calle lavada</t>
  </si>
  <si>
    <t>Rehabilitacion de via y construccion de estructuras de sistema de drenaje en cauce</t>
  </si>
  <si>
    <t>ZARAGOZA</t>
  </si>
  <si>
    <t>1-19-174 500 SUR DE LA ESCUELA ZARAGOZA</t>
  </si>
  <si>
    <t>SANTA LUCIA</t>
  </si>
  <si>
    <t xml:space="preserve">1-19-174 1 K OESTE ESCUELA SANTA LUCIA </t>
  </si>
  <si>
    <t>Comunidad incomunicada por alcantarilla arrasadas y derrumbes</t>
  </si>
  <si>
    <t>Del Llano al Brujo</t>
  </si>
  <si>
    <t>1-19-009 600 mts este de la escuela el Brujo</t>
  </si>
  <si>
    <t>Derrumbe en la vía y destruccion total de al menos 500 m de camino</t>
  </si>
  <si>
    <t>California</t>
  </si>
  <si>
    <t>1-19-174 California</t>
  </si>
  <si>
    <t>Comunidad aislada</t>
  </si>
  <si>
    <t>1-19-174 6 km norte, hacia Río División</t>
  </si>
  <si>
    <t>Incomunicados por derrumbes y deslizamientos</t>
  </si>
  <si>
    <t>Calle Mora</t>
  </si>
  <si>
    <t>1-19-212 Frente a la Escuela Calle Mora</t>
  </si>
  <si>
    <t>Deslizamiento que afectó casa y calle</t>
  </si>
  <si>
    <t xml:space="preserve">Andalucía </t>
  </si>
  <si>
    <t>1-19-342 Camino Andalucía</t>
  </si>
  <si>
    <t>Derrumbe en la vía y destruccion desistema de drenaje</t>
  </si>
  <si>
    <t>1-19-1139 Río Blanco</t>
  </si>
  <si>
    <t>Destrucción de la calle en varios puntos por hasta 1 km de longitud</t>
  </si>
  <si>
    <t>Rehabilitacion de via, reubicación de via y construccion de estructuras de sistema de drenajey obras en cauce</t>
  </si>
  <si>
    <t>Brujo</t>
  </si>
  <si>
    <t>1-19-009 todo el tramo entre el Llano y limite con Quepos</t>
  </si>
  <si>
    <t>Destrucción de la calle, el rio División causó muchos daños en la via, colapdo de elememtos del sistema de drenaje y desaparicion completa de varios tramos de calle</t>
  </si>
  <si>
    <t>Viento Fresco</t>
  </si>
  <si>
    <t>1-19-346 Viento Fresco</t>
  </si>
  <si>
    <t>Incomunicados/ Derrumbes/ Deslizamientos</t>
  </si>
  <si>
    <t>1-19-009 El Llano</t>
  </si>
  <si>
    <t>Desbordamiento de Ríos/ Deslizamientos/ Derrumbes</t>
  </si>
  <si>
    <t>Rehabilitacion de via, reubicación de via y construccion de estructuras de sistema de drenaje y obras en cauce</t>
  </si>
  <si>
    <t>Calle Moras</t>
  </si>
  <si>
    <t>1-19-120 Calle Moras</t>
  </si>
  <si>
    <t>San Cayetano</t>
  </si>
  <si>
    <t>1-19-123,1-19-122
1-19-338,San Cayetano</t>
  </si>
  <si>
    <t>1-19-094 Santa Marta</t>
  </si>
  <si>
    <t>1-19-388 Providencia</t>
  </si>
  <si>
    <t xml:space="preserve">PÁRAMO </t>
  </si>
  <si>
    <t xml:space="preserve">SAN RAMON NORTE </t>
  </si>
  <si>
    <t>1-19-024 100 NO DEL CRUCE LA ESE SOBRE CALLE VALENCIA</t>
  </si>
  <si>
    <t xml:space="preserve">VIA PUBLICA AFECTADA </t>
  </si>
  <si>
    <t xml:space="preserve">ALTO MACHO MORA </t>
  </si>
  <si>
    <t xml:space="preserve">1-19-267 COMUNIDAD COMPLETA </t>
  </si>
  <si>
    <t xml:space="preserve">CAMINO DESTRUIDO </t>
  </si>
  <si>
    <t>Finca Providencia</t>
  </si>
  <si>
    <t>1-19-388 Camino a Santa Rosa de la iglesia 800 mts siguiendo el camino</t>
  </si>
  <si>
    <t>La Ese</t>
  </si>
  <si>
    <t>1-19-1362 1 km norte 400 mts este del Trapiche Nayo</t>
  </si>
  <si>
    <t>Hundimiento en la vía. Inhabilitacion de vivienda</t>
  </si>
  <si>
    <t>Se requiere valoración geotecnica exautiva para definir acciones</t>
  </si>
  <si>
    <t>por determinar</t>
  </si>
  <si>
    <t>1-19-336, 1-19-335, 1-19-124, Los Angeles y comunidades aledañas</t>
  </si>
  <si>
    <t>Deslizamientos en la via</t>
  </si>
  <si>
    <t>1-19-122 9 Km este del centro de Savegre hacia San Cayetano(Chiricano)</t>
  </si>
  <si>
    <t>Incomunicados por derrumbes y deslizamiento</t>
  </si>
  <si>
    <t>División</t>
  </si>
  <si>
    <t>1-19-036 Camino División hacia la Piedra</t>
  </si>
  <si>
    <t>Rehabilitacion de via, reubicación de via y construccion de estructuras de sistema de drenaje y obras de contención</t>
  </si>
  <si>
    <t>Nivel</t>
  </si>
  <si>
    <t>1-19-263 Antes de la Georgina</t>
  </si>
  <si>
    <t>Incomunicados</t>
  </si>
  <si>
    <t>1-19-341 Zapotal</t>
  </si>
  <si>
    <t>Deslizamiento de la calle</t>
  </si>
  <si>
    <t>1-19-023 División-Santa Eduviges</t>
  </si>
  <si>
    <t>Deslizamientos y derrumbes</t>
  </si>
  <si>
    <t>1-19-019 Berlín</t>
  </si>
  <si>
    <t>Derrumbes y deslizamientos en varios tramos</t>
  </si>
  <si>
    <t>San Ramón Norte</t>
  </si>
  <si>
    <t>1-19-024 Barrio Fátima</t>
  </si>
  <si>
    <t>Deslizamiento afecta calle pública</t>
  </si>
  <si>
    <t>Matazanos</t>
  </si>
  <si>
    <t>1-19-112 Matazanos</t>
  </si>
  <si>
    <t>Pedregosito</t>
  </si>
  <si>
    <t>1-19-018 Pedregosito</t>
  </si>
  <si>
    <t>1-19-016 Providencia</t>
  </si>
  <si>
    <t>1-19-019 San Miguel</t>
  </si>
  <si>
    <t>LA AMISTAD</t>
  </si>
  <si>
    <t>1-19-059 Guadalupe</t>
  </si>
  <si>
    <t>1-19-054 Santa Lucía</t>
  </si>
  <si>
    <t>Deslizamientos/ Derrumbes</t>
  </si>
  <si>
    <t>Montezuma</t>
  </si>
  <si>
    <t>1-19-491 Montezuma</t>
  </si>
  <si>
    <t>1-19-236 San Gabriel</t>
  </si>
  <si>
    <t>derrumbes en la via</t>
  </si>
  <si>
    <t>1-19-198 El Progreso</t>
  </si>
  <si>
    <t>Desbordamientos/Deslizamientos/Derrumbes</t>
  </si>
  <si>
    <t>1-19-072 Paraíso</t>
  </si>
  <si>
    <t>Gibre</t>
  </si>
  <si>
    <t>1-19-054 Gibre</t>
  </si>
  <si>
    <t>Pérdida de material de calzada pavimentada y en lastre</t>
  </si>
  <si>
    <t>PEREZ ZELEDON</t>
  </si>
  <si>
    <t>SAN ANDRES</t>
  </si>
  <si>
    <t>PUENTE SOBRE RIO QUEBRADAS</t>
  </si>
  <si>
    <t>RIO QUEBRADAS</t>
  </si>
  <si>
    <t>Vigas vehicular sobre bastiones masivos(puente Rojo)</t>
  </si>
  <si>
    <t>SOCAVACION DE BASTIONES</t>
  </si>
  <si>
    <t>Demolición de puente existente y construcción de nuevo puente de 30m  de longitud minimo</t>
  </si>
  <si>
    <t xml:space="preserve">QUEBRADAS </t>
  </si>
  <si>
    <t>PUENTE LA GUARDIA</t>
  </si>
  <si>
    <t>Puente vehicular Vigas sobre pilotes</t>
  </si>
  <si>
    <t>SOCAVACION DE RELLENOS DE APROXIMACION</t>
  </si>
  <si>
    <t>Reparación de rellenos</t>
  </si>
  <si>
    <t>ROSARIO PACUAR</t>
  </si>
  <si>
    <t xml:space="preserve">PUENTE SOBRE RIO PACUAR </t>
  </si>
  <si>
    <t>RIO PACUAR</t>
  </si>
  <si>
    <t>Puente vehucular estructura Bailey sobre bastiones</t>
  </si>
  <si>
    <t>SOCAVACION DE BASTIONES Y RELLENO DE APROXIMACIÓN. DAÑOS A SUPERESTRUCTURA</t>
  </si>
  <si>
    <t>reconstrucción de rellenos de aproximación y construccion de escolleras</t>
  </si>
  <si>
    <t>PUENTE QUEBRADA LA BONITA</t>
  </si>
  <si>
    <t>QUEBRADA LA BONITA</t>
  </si>
  <si>
    <t>Puente vehicular de vigas sobre bastiones masivos</t>
  </si>
  <si>
    <t>DESTRUCCION PARCIAL DEL PUENTE</t>
  </si>
  <si>
    <t>Rehabilitar las cimentaciones y barandas</t>
  </si>
  <si>
    <t>PUENTE ENTRE QUEBRADAS Y MIRAVALLES</t>
  </si>
  <si>
    <t xml:space="preserve">SOCAVACION DEL PUENTE </t>
  </si>
  <si>
    <t xml:space="preserve">PINAR DEL RIO </t>
  </si>
  <si>
    <t>RIO GENERAL</t>
  </si>
  <si>
    <t>Puente bailey sobre bastiones armados</t>
  </si>
  <si>
    <t>PUENTE FALSEADO AMBOS LADOS EN LOS RELLENOS DE APROXIMACION Y DESTRUCCION TOTAL DE DIQUES DE DIRECCIONAMIENTO.</t>
  </si>
  <si>
    <t>Construccion de nuevos diques, Reacondicionamiento de rellenos de aproximación y construccion de escolleras a los bastiones. Reacondicionamiento de rellenos de aproximación.Revision y reparacion de superestructura</t>
  </si>
  <si>
    <t>CHUCUYO</t>
  </si>
  <si>
    <t>PUENTE CHUCUYO</t>
  </si>
  <si>
    <t>RIO CHUCUYO</t>
  </si>
  <si>
    <t>Puente de vigas sobre bastiones masivos</t>
  </si>
  <si>
    <t xml:space="preserve">CANAAN </t>
  </si>
  <si>
    <t>PUENTE LOS ANGELES</t>
  </si>
  <si>
    <t>RIO CHIRRIPÓ PACIFICO</t>
  </si>
  <si>
    <t xml:space="preserve">LA UNION </t>
  </si>
  <si>
    <t xml:space="preserve">PUENTE CEMENTERIO Y LA UNION </t>
  </si>
  <si>
    <t>RIO LA UNION</t>
  </si>
  <si>
    <t>Reconstrucción de rellenos de aproximación y construccion de escolleras</t>
  </si>
  <si>
    <t>PUENTE DE SANTA ROSA</t>
  </si>
  <si>
    <t>RIO SAN RAFAEL</t>
  </si>
  <si>
    <t>DESTRUCCION TOTAL DEL PUENTE Y AMPLIACION SIGNIFICATIVA DEL CAUCE.</t>
  </si>
  <si>
    <t>Construccion de puente nuevo de al menos 36 ml de longitud</t>
  </si>
  <si>
    <t>SAN RAFAEL/ZAPOTAL</t>
  </si>
  <si>
    <t>PUENTE ENTRE SAN RAFAEL Y ZAPOTAL</t>
  </si>
  <si>
    <t>Demolicion de estructura existente y Construccion de puente nuevo de al menos 36 ml de longitud</t>
  </si>
  <si>
    <t>Segundo puente camino a La Guaria</t>
  </si>
  <si>
    <t>QUEBRADA NEGRA</t>
  </si>
  <si>
    <t>Socavación en ambos Bastiones</t>
  </si>
  <si>
    <t>Puente Falseado</t>
  </si>
  <si>
    <t>RIO NUEVO</t>
  </si>
  <si>
    <t>EL BRUJO</t>
  </si>
  <si>
    <t>Puente Clementina</t>
  </si>
  <si>
    <t>QUEBRADA CLEMENTINA</t>
  </si>
  <si>
    <t xml:space="preserve"> Preliminarmente se realizaría la construccion de puente vehicular nuevo de al menos 24 ml de longitud. No obstante se valora otor sitio de puente</t>
  </si>
  <si>
    <t>Paso Eladio</t>
  </si>
  <si>
    <t>QUEBRADA ELADIO</t>
  </si>
  <si>
    <t xml:space="preserve">SOCAVACION DE BASTIONES Y RELLENOS </t>
  </si>
  <si>
    <t>Construccion de alcantarilla de cuadro mayor</t>
  </si>
  <si>
    <t>Zaragoza</t>
  </si>
  <si>
    <t xml:space="preserve">Zaragoza centro </t>
  </si>
  <si>
    <t>QUEBRADA ZAPOTAL</t>
  </si>
  <si>
    <t>Alcantarilla de cuadro mayor de 3 celdas</t>
  </si>
  <si>
    <t>Construccion de puente vehicular nuevo de al menos 22,5 ml de longitud</t>
  </si>
  <si>
    <t>Piedras Blancas</t>
  </si>
  <si>
    <t>Acceso a Piedras Blancas</t>
  </si>
  <si>
    <t xml:space="preserve">RIO DIVISIÓN </t>
  </si>
  <si>
    <t>PUENTE PEATONAL COLGANTE</t>
  </si>
  <si>
    <t>Puente destruido totalmete</t>
  </si>
  <si>
    <t>Construccion de puente vehicular nuevo de al menos 90 ml de longitud</t>
  </si>
  <si>
    <t>PÁRAMO</t>
  </si>
  <si>
    <t xml:space="preserve">FINCA PROVIDENCIA </t>
  </si>
  <si>
    <t>800 M DE IGLESIA CAMINO A SANTA ROSA</t>
  </si>
  <si>
    <t>QUEBRADA SANTA ROSA</t>
  </si>
  <si>
    <t>DESTRUCCION TOTAL DEL PUENTE</t>
  </si>
  <si>
    <t>Construccion de puente vehicular nuevo de al menos 12 ml de longitud</t>
  </si>
  <si>
    <t>Barrio Sinai Alto de Alonso</t>
  </si>
  <si>
    <t>1-19-180</t>
  </si>
  <si>
    <t>Pulperia Xiomara 100 hacia abajo, casa color verde detrás de propiedad municipal.</t>
  </si>
  <si>
    <t>Alcantarillas</t>
  </si>
  <si>
    <t>Destruyó alcantarillas y se llevó la tapia</t>
  </si>
  <si>
    <t>Reconstrucción de Paso de alcantarilla</t>
  </si>
  <si>
    <t>1-19-069</t>
  </si>
  <si>
    <t>Ruta La Palma – Rosario de Pacuar</t>
  </si>
  <si>
    <t>Pasos de alcantarilla colapsados en la ruta la palma – rosario de Pacuar</t>
  </si>
  <si>
    <t>Reconstrucción de Pasos de alcantarillas</t>
  </si>
  <si>
    <t>1-19-008</t>
  </si>
  <si>
    <t>Ruta Santa Rosa - El Roble</t>
  </si>
  <si>
    <t>Colapso total y parcial de múltiples pasos de alcantarilla entre santa rosa y el roble</t>
  </si>
  <si>
    <t xml:space="preserve">La Sierra </t>
  </si>
  <si>
    <t>1-19-068</t>
  </si>
  <si>
    <t>Hay 6 pasos dañas de alcantarilla y 3 barrancos, hay personas aisladas</t>
  </si>
  <si>
    <t>LOS REYES</t>
  </si>
  <si>
    <t>RN-244</t>
  </si>
  <si>
    <t>150 Sur Bar Los Criollos</t>
  </si>
  <si>
    <t>Desalojo la vivienda ya que la alcantarilla pasa por la propiedad y provoco un hundimiento</t>
  </si>
  <si>
    <t>Reconstrucción de salida de alcantarillas</t>
  </si>
  <si>
    <t>1-19-096</t>
  </si>
  <si>
    <t>150 mts. Este del parque infantil de la comunidad</t>
  </si>
  <si>
    <t>Puente: el agua  escarbo la alcantarilla hizo una grieta aproximadamente 5 mts de alto, el agua está haciendo remolinos.</t>
  </si>
  <si>
    <t>REPUNTA</t>
  </si>
  <si>
    <t>1-19-032</t>
  </si>
  <si>
    <t>800 M Suroeste de la Escuela de Repunta</t>
  </si>
  <si>
    <t>Se fue  el paso no hay alcantarillas</t>
  </si>
  <si>
    <t>Reconstrucción total de Paso de alcantarilla</t>
  </si>
  <si>
    <t>Entrada Calle Toros, B° Valverde</t>
  </si>
  <si>
    <t>Inundación de casas debido a daño en alcantarillas, perdida de electrodomesticos</t>
  </si>
  <si>
    <t>SANTA LUCIA CHIRICANO</t>
  </si>
  <si>
    <t>1-19-340</t>
  </si>
  <si>
    <t>Caminos colapsados, puentes falseados, deslizamientos, pasos de alcantarillas dañados</t>
  </si>
  <si>
    <t>SANTA ROSA / PROVIDENCIA/ SAVEGRE</t>
  </si>
  <si>
    <t>1-19-388</t>
  </si>
  <si>
    <t>Personas aisladas / derrumbes/ deslizamientos pasos de alcantarillas dañadas</t>
  </si>
  <si>
    <t>ORATORIO/ LA SIERRA/ CONCEPCION/ CRISTO REY</t>
  </si>
  <si>
    <t>1-19-144
1-19-307
1-19-306
1-19-068
1-19-168</t>
  </si>
  <si>
    <t xml:space="preserve">Deslizamientos / puentes dañados/ caminos en mal estado/ alcantarillas en mal estado </t>
  </si>
  <si>
    <t>Cajón</t>
  </si>
  <si>
    <t xml:space="preserve">QUEMADO </t>
  </si>
  <si>
    <t>1-19-619</t>
  </si>
  <si>
    <t>CALLE 619</t>
  </si>
  <si>
    <t xml:space="preserve">Paso de alcantarilla </t>
  </si>
  <si>
    <t>LOS ANGELES</t>
  </si>
  <si>
    <t>1-19-646</t>
  </si>
  <si>
    <t xml:space="preserve">BAZAR LA NEGRA BAJANDO PORTON DE MADERA MANO IZQ </t>
  </si>
  <si>
    <t xml:space="preserve">Alcantarillas se llenaron agua se rebalso e ingreso a la casa </t>
  </si>
  <si>
    <t>SAN JUAN BOSCO</t>
  </si>
  <si>
    <t>1-19-673</t>
  </si>
  <si>
    <t xml:space="preserve">800 SUR DE LA ESCUELA SAN JUAN BOSCO CALLE LOS CORDERO </t>
  </si>
  <si>
    <t>Calle agrietada / alcantarilla</t>
  </si>
  <si>
    <t>Rio Nuevo</t>
  </si>
  <si>
    <t>1-19-174</t>
  </si>
  <si>
    <t>Quebrada Julian</t>
  </si>
  <si>
    <t>Socavacion Excesiva y daños menores</t>
  </si>
  <si>
    <t>Reconstrucción parcial de Paso de alcantarilla</t>
  </si>
  <si>
    <t>Quebrada Leona</t>
  </si>
  <si>
    <t>Quebrada Santa Lucía</t>
  </si>
  <si>
    <t>Quebrada Zapotal</t>
  </si>
  <si>
    <t>Socavacion Excesiva y pérdida total de la estructura</t>
  </si>
  <si>
    <t>Quebrada Elvis Cespedes</t>
  </si>
  <si>
    <t>Quebrada Allan Quesada</t>
  </si>
  <si>
    <t>Quebrada Jorge Valverde</t>
  </si>
  <si>
    <t>Barrio Pocito</t>
  </si>
  <si>
    <t xml:space="preserve">Río Jilguero Coord. N1036307.327
E533520.389 </t>
  </si>
  <si>
    <t>Viviendas</t>
  </si>
  <si>
    <t>Sedimentación  y desbordamiento de río</t>
  </si>
  <si>
    <t>URGENTE</t>
  </si>
  <si>
    <t>Protección de margen</t>
  </si>
  <si>
    <t>El Hoyón - Aeropuerto</t>
  </si>
  <si>
    <t>Río Pedregoso
N1034673.545 E531469.671</t>
  </si>
  <si>
    <t>Viviendas-Bastión</t>
  </si>
  <si>
    <t>Sedimentación y rompimiento de talud, daño de bastión</t>
  </si>
  <si>
    <t>Protección de margen y de bastión</t>
  </si>
  <si>
    <t>El Hoyón - Coopeagri  /Non Plus</t>
  </si>
  <si>
    <t xml:space="preserve">Quebrada Vueltas
N1034798.633
E1034798.633 </t>
  </si>
  <si>
    <t>Desbordamiento de río</t>
  </si>
  <si>
    <t>El Carmen de Rivas</t>
  </si>
  <si>
    <t>Río Buena Vista
N1033779.632
E537330.996</t>
  </si>
  <si>
    <t>Protección de bastiones</t>
  </si>
  <si>
    <t>Río Quebradas
N1037754.191
E532841.846</t>
  </si>
  <si>
    <t>General</t>
  </si>
  <si>
    <t>Miraflores</t>
  </si>
  <si>
    <t>Río Chirripó
N1040335.707
E537796.578</t>
  </si>
  <si>
    <t>Río General
N1033564.139
E537491.386</t>
  </si>
  <si>
    <t>Calle Vargas Villa Ligia</t>
  </si>
  <si>
    <t>Quebrada Honda
N1032808.165
E533830.059</t>
  </si>
  <si>
    <t>Rio Peje
N1033452.259
E535456.677</t>
  </si>
  <si>
    <t>Palmares Centro</t>
  </si>
  <si>
    <t>Quebrada Palmares
N1030391.483
E537098.076</t>
  </si>
  <si>
    <t>Río Chucuyo
N1042846.307
E540774.677</t>
  </si>
  <si>
    <t>Socavación de bastiones y sedimentación</t>
  </si>
  <si>
    <t>Protección de margen y bastión</t>
  </si>
  <si>
    <t>La Chipa</t>
  </si>
  <si>
    <t>Río Chirripó
N1047171.537
E545699.306</t>
  </si>
  <si>
    <t>Herradura Centro</t>
  </si>
  <si>
    <t>Río Blanco
N1048171.612
E542666.093</t>
  </si>
  <si>
    <t>Viviendas-Puente</t>
  </si>
  <si>
    <t>Socavación de taludes y destrucción de puente</t>
  </si>
  <si>
    <t>Río Buena Vista
N1043415.162
E538036.052</t>
  </si>
  <si>
    <t>Socavación de taludes y desbordamiento de río</t>
  </si>
  <si>
    <t>Antigua Arenilla</t>
  </si>
  <si>
    <t>Río San Pero
N1025035.122
E548560.690</t>
  </si>
  <si>
    <t>El Marañón</t>
  </si>
  <si>
    <t>Río San Pero
N1022312.828
E547794.041</t>
  </si>
  <si>
    <t>San Rafael detrás Iglesia</t>
  </si>
  <si>
    <t>Río Platanares
N1017566.900
E539273.490</t>
  </si>
  <si>
    <t>Santa Rosa Centro</t>
  </si>
  <si>
    <t>Río Nuevo
N1038313.118
E526687.693</t>
  </si>
  <si>
    <t>Río Savegre
N1043060.639
E517720.918</t>
  </si>
  <si>
    <t>Río Pedregoso
N1039160.290
E529582.815</t>
  </si>
  <si>
    <t>Viviendas-Camino</t>
  </si>
  <si>
    <t>Rompimiento de taludes y Desbordamiento de río</t>
  </si>
  <si>
    <t>Río San Ramón
N1043076.308
E530052.620</t>
  </si>
  <si>
    <t>Reconstrucción del Dique</t>
  </si>
  <si>
    <t>Barrio Fátima</t>
  </si>
  <si>
    <t>Quebrada Barrio Fátima
N1043354.660
E530105.167</t>
  </si>
  <si>
    <t>Quebrada Euclides Hernández
N1043515.283
E530072.405</t>
  </si>
  <si>
    <t>Tierra Prometida</t>
  </si>
  <si>
    <t>Quebrada Tierra Prometida
N1037450.645
E531313.944</t>
  </si>
  <si>
    <t>Ciudadela Blanco</t>
  </si>
  <si>
    <t>Quebrada Ciudadela Blanco
N1035735.610
E532377.992</t>
  </si>
  <si>
    <t>Río Platanares
N1018215.641
E537351.398</t>
  </si>
  <si>
    <t>Las Bonitas</t>
  </si>
  <si>
    <t>Quebrada Las Bonitas
N1016888.885
E539208.540</t>
  </si>
  <si>
    <t>Río Virilla</t>
  </si>
  <si>
    <t>Zona de Protección</t>
  </si>
  <si>
    <t>Pérdida - deslizamiento de zona de protección</t>
  </si>
  <si>
    <t>N/I</t>
  </si>
  <si>
    <t>Recuperación de zonas de protección</t>
  </si>
  <si>
    <t>Curridabat</t>
  </si>
  <si>
    <t>Sánchez</t>
  </si>
  <si>
    <t>CURRIDABAT</t>
  </si>
  <si>
    <t>PEÑAS BLANCAS (Intendencia)</t>
  </si>
  <si>
    <t>PEÑAS BLANCAS</t>
  </si>
  <si>
    <t>PARCELAS SANTA GERTRUDIS</t>
  </si>
  <si>
    <t>2-02-136</t>
  </si>
  <si>
    <t>PERDIDA DE MATERIAL GRANULAR(LASTRE) SOBRE LA CAPA DE RODAMIENTO, PEQUEÑOS DESLIZAMIENTOS SOBRE EL ACCESO, AFECTACIÒN DEL SISTEMA DE DRENAJE DEL CAMINO (CUNETAS)</t>
  </si>
  <si>
    <t>CONFORMACIÒN DE CUNETAS A LO LARGO DEL CAMINO -CONFORMACIÒN DE LA SUPERFICIE DE RIUEDO EXISTE-COLOCACION Y COMPACTACIÒN DE CAPA DE MATERIAL GRANULAR TIPO BASE 0,2m ESPESOR  SOBRE EL CAMINO.</t>
  </si>
  <si>
    <t>CALLE ROJAS-SECTOR ANGELES Y LA CRUZ</t>
  </si>
  <si>
    <t>2-02-015</t>
  </si>
  <si>
    <t>PERDIDA DE MATERIAL GRANULAR(LASTRE)  SOBRE LA CAPA DE RODAMIENTO, AFECTACIÒN DEL SISTEMA DE DRENAJE DEL CAMINO (CUNETAS)</t>
  </si>
  <si>
    <t>CONFORMACIÒN DE CUNETAS A LO LARGO DEL CAMINO -CONFORMACIÒN DE LA SUPERFICIE DE RIUEDO EXISTE-COLOCACION Y COMPACTACIÒN DE CAPA DE MATERIAL GRANULAR BASE 0,2m ESPESOR COMPACATADOSOBRE EL CAMINO.</t>
  </si>
  <si>
    <t>LINDA VISTA-LLANO TREPO</t>
  </si>
  <si>
    <t>2-02-243</t>
  </si>
  <si>
    <t xml:space="preserve">PERDIDA DE MATERIAL GRANULAR(LASTRE) SOBRE LA CAPA DE RODAMIENTO, AFECTACIÒN DEL SISTEMA DE DRENAJE DEL CAMINO, PARTE DE CAMINO INACCESIBLE PARA PASO VEHICULAR </t>
  </si>
  <si>
    <t>CONFORMACIÒN DE CUNETAS A LO LARGO DEL CAMINO -CONFORMACIÒN DE LA SUPERFICIE DE RIUEDO EXISTE-COLOCACION Y COMPACTACIÒN DE CAPA DE MATERIAL GRANULAR BASE 0,2m ESPESOR COMPACTADO  SOBRE EL CAMINO.</t>
  </si>
  <si>
    <t>LA CRUZ -EL INVU</t>
  </si>
  <si>
    <t>2-02-019</t>
  </si>
  <si>
    <t>PERDIDA DE MATERIAL GRANULAR SOBRE LA CAPA DE RODAMIENTO, AFECTACIÒN DEL SISTEMA DE DRENAJE DEL CAMINO (CUNETAS)</t>
  </si>
  <si>
    <t xml:space="preserve">LA CRUZ -CALLE ROJAS </t>
  </si>
  <si>
    <t>2-02-242</t>
  </si>
  <si>
    <t>PERDIDA DE MATERIAL GRANULAR(LASTRE) SOBRE LA CAPA DE RODAMIENTO, AFECTACIÒN DEL SISTEMA DE DRENAJE DEL CAMINO</t>
  </si>
  <si>
    <t xml:space="preserve">EL BOSQUE-LA BRUJA </t>
  </si>
  <si>
    <t>2-02-313</t>
  </si>
  <si>
    <t xml:space="preserve">PERDIDA DE MATERIAL GRANULAR(LASTRE) SOBRE LA CAPA DE RODAMIENTO, AFECTACIÒN DEL SISTEMA DE DRENAJE DEL CAMINO </t>
  </si>
  <si>
    <t>CHACHAGUA Y AMISTAD</t>
  </si>
  <si>
    <t>2-02-239</t>
  </si>
  <si>
    <t>PERDIDA DE MATERIAL GRANULAR(LASTRE) SOBRE LA CAPA DE RODAMIENTO, AFECTACIÒN DEL SISTEMA DE DRENAJE DEL CAMINO (CUNETAS)</t>
  </si>
  <si>
    <t xml:space="preserve">CHACHAGUA Y SAN RAFAEL </t>
  </si>
  <si>
    <t>2-02-354</t>
  </si>
  <si>
    <t>Subtotal</t>
  </si>
  <si>
    <t>GRECIA -03</t>
  </si>
  <si>
    <t xml:space="preserve">SAN ROQUE </t>
  </si>
  <si>
    <t xml:space="preserve">CALLE HOGAR DE ANCIANOS </t>
  </si>
  <si>
    <t>02-03-013</t>
  </si>
  <si>
    <t>Se presentan deslizamientos en la vía producto de talud  inestable que causa afectación del camino por socavamiento en el margen izquierdo hacia el río.</t>
  </si>
  <si>
    <t>Se requiere estudios preliminares y estabilidad de talud de 6m de largo por 4m de alto y otro de 15m de largo por 4m de alto e intervención para realizar los movimientos de tierra necesarios para salvaguardar el paso y la integridad de las personas que por ahí transitan.</t>
  </si>
  <si>
    <t xml:space="preserve">BOLIVAR </t>
  </si>
  <si>
    <t xml:space="preserve">CALLE PARRITA </t>
  </si>
  <si>
    <t>02-03-018</t>
  </si>
  <si>
    <t>Se presentan deslizamiento en la vía producto de talud  inestable, así como afectación del camino por socavamiento en el margen izquierdo hacia acantilado inestable que pone en riesgo la vida de usuarios de la vía.</t>
  </si>
  <si>
    <t>Se requiere estudios preliminares y estabilidad de talud de 25m de largo por 50m de alto e intervención para realizar los movimientos de tierra necesarios para salvaguardar el paso y la integridad de las personas que por ahí transitan.</t>
  </si>
  <si>
    <t>SAN MATEO -04</t>
  </si>
  <si>
    <t>ATENAS -05</t>
  </si>
  <si>
    <t>NARANJO -06</t>
  </si>
  <si>
    <t>Calle Porosal</t>
  </si>
  <si>
    <t>2-06-024</t>
  </si>
  <si>
    <t>Perdida de Material Granular por Escorrentía Superficial</t>
  </si>
  <si>
    <t>Limpieza de Cunetas, Reacondicionamiento de Calzada y Suministro y Compactación de Agregados</t>
  </si>
  <si>
    <t>2-06-026</t>
  </si>
  <si>
    <t>Derrumbe en la Vía</t>
  </si>
  <si>
    <t>II</t>
  </si>
  <si>
    <t>Limpieza de Derrumbes</t>
  </si>
  <si>
    <t>Barrio El Carmen</t>
  </si>
  <si>
    <t>2-06-051</t>
  </si>
  <si>
    <t>Calle Zapote</t>
  </si>
  <si>
    <t>2-06-066</t>
  </si>
  <si>
    <t>Calle Bajo Arrieta</t>
  </si>
  <si>
    <t>2-06-094</t>
  </si>
  <si>
    <t>San José</t>
  </si>
  <si>
    <t>Calle La Plaza de San Juanillo</t>
  </si>
  <si>
    <t>2-06-089</t>
  </si>
  <si>
    <t>Calle Concepción San Miguel</t>
  </si>
  <si>
    <t>2-06-036</t>
  </si>
  <si>
    <t>Cirrí</t>
  </si>
  <si>
    <t>2-06-008</t>
  </si>
  <si>
    <t>Calle La Isla</t>
  </si>
  <si>
    <t>2-06-005</t>
  </si>
  <si>
    <t>Calle Bajo Zapote</t>
  </si>
  <si>
    <t>2-06-004</t>
  </si>
  <si>
    <t>Calle Los Rojas</t>
  </si>
  <si>
    <t>2-06-118</t>
  </si>
  <si>
    <t>Calle Varela</t>
  </si>
  <si>
    <t>2-06-095</t>
  </si>
  <si>
    <t>Calle Muñoz</t>
  </si>
  <si>
    <t>2-06-044</t>
  </si>
  <si>
    <t>Calle Bateas</t>
  </si>
  <si>
    <t>2-06-184</t>
  </si>
  <si>
    <t>Calle Versalles</t>
  </si>
  <si>
    <t>2-06-023</t>
  </si>
  <si>
    <t>Calle Zelmira Navarro</t>
  </si>
  <si>
    <t>2-06-136</t>
  </si>
  <si>
    <t>Calle Rio Grande</t>
  </si>
  <si>
    <t>2-06-022</t>
  </si>
  <si>
    <t>Calle Linda Vista</t>
  </si>
  <si>
    <t>2-06-041</t>
  </si>
  <si>
    <t>Calle Tajo Zacarias</t>
  </si>
  <si>
    <t>2-06-140</t>
  </si>
  <si>
    <t>Calle Los Mora</t>
  </si>
  <si>
    <t>2-06-139</t>
  </si>
  <si>
    <t>Calle Carlos Elizondo</t>
  </si>
  <si>
    <t>2-06-163</t>
  </si>
  <si>
    <t>Calle Parcelas Los Robles</t>
  </si>
  <si>
    <t>2-06-050          2-06-227</t>
  </si>
  <si>
    <t>Calle Solís</t>
  </si>
  <si>
    <t>2-06-088</t>
  </si>
  <si>
    <t>Calle El Espino</t>
  </si>
  <si>
    <t>2-06-090</t>
  </si>
  <si>
    <t>Calle Barranquilla</t>
  </si>
  <si>
    <t>2-06-011</t>
  </si>
  <si>
    <t>Calle Islas Cañuela</t>
  </si>
  <si>
    <t>2-06-014</t>
  </si>
  <si>
    <t>Calle El Rincón Cañuela</t>
  </si>
  <si>
    <t>2-06-015</t>
  </si>
  <si>
    <t>Calle La Palmita</t>
  </si>
  <si>
    <t>2-06-001</t>
  </si>
  <si>
    <t>Calle Tacacal</t>
  </si>
  <si>
    <t>2-06-009</t>
  </si>
  <si>
    <t>PALMARES -07</t>
  </si>
  <si>
    <t xml:space="preserve">En la Y Griega, despues de la escuela 300 m sur </t>
  </si>
  <si>
    <t>Ruta  Cantonal 20703300</t>
  </si>
  <si>
    <t>Cierre de vía por deslizamiento 1</t>
  </si>
  <si>
    <t>Construcción de Muro Gaviones o Llantiones de 20 mts de largo, 6 mts de alto.</t>
  </si>
  <si>
    <t xml:space="preserve">Santiago </t>
  </si>
  <si>
    <t>Calle Principal</t>
  </si>
  <si>
    <t>Deslizamiento 2</t>
  </si>
  <si>
    <t xml:space="preserve">Candelaria </t>
  </si>
  <si>
    <t xml:space="preserve">100 m sur de la escuela septima casa a mano izquierda </t>
  </si>
  <si>
    <t xml:space="preserve">Ruta Nacional </t>
  </si>
  <si>
    <t xml:space="preserve">Se está socavando la casa por debajo y el agua entro a la casa, hay un árbol que podría caer </t>
  </si>
  <si>
    <t>inspección y uso de maquinaria</t>
  </si>
  <si>
    <t xml:space="preserve">800 m hacia Atenas </t>
  </si>
  <si>
    <t xml:space="preserve">Ruta  Nacional </t>
  </si>
  <si>
    <t>Cierre total de la vía por derrumbe y problemas de cableado</t>
  </si>
  <si>
    <t xml:space="preserve">300 m al sur del cruce de la reforestación </t>
  </si>
  <si>
    <t xml:space="preserve">Ruta cantonal </t>
  </si>
  <si>
    <t xml:space="preserve">Deslizamiento de talud </t>
  </si>
  <si>
    <t xml:space="preserve">Zaragoza </t>
  </si>
  <si>
    <t xml:space="preserve">Calle Vásquez, Calle Chepillos </t>
  </si>
  <si>
    <t>Ruta  cantonal</t>
  </si>
  <si>
    <t>Iglesia nueva</t>
  </si>
  <si>
    <t>Ruta Cantonal</t>
  </si>
  <si>
    <t xml:space="preserve">Obstrucción de la vía, caída de talud y arboleda </t>
  </si>
  <si>
    <t xml:space="preserve">Esquipulas </t>
  </si>
  <si>
    <t xml:space="preserve">La perica </t>
  </si>
  <si>
    <t>Ruta cantonal 20701600</t>
  </si>
  <si>
    <t>Construcción de Muro Gaviones o Llantiones de 5 mts de largo, 6 mts de alto. Y lastreo.</t>
  </si>
  <si>
    <t xml:space="preserve">La Mina </t>
  </si>
  <si>
    <t>Ruta Cantonal 20712800</t>
  </si>
  <si>
    <t>Construcción de Muro Gaviones o Llantiones de 5 mts de largo, 5 mts de alto. Y lastreo.</t>
  </si>
  <si>
    <t>Santiago-Zaragoza</t>
  </si>
  <si>
    <t xml:space="preserve">Entre Quebradas y Berlin </t>
  </si>
  <si>
    <t xml:space="preserve">Palmares- Atenas </t>
  </si>
  <si>
    <t xml:space="preserve">Ramal La Chola </t>
  </si>
  <si>
    <t>Ruta cantonal 20712900</t>
  </si>
  <si>
    <t>Obstrucción de la vía por deslizamiento y deterioro completo de la superficie de rodamiento</t>
  </si>
  <si>
    <t>Lastreo</t>
  </si>
  <si>
    <t>Santa Lucia</t>
  </si>
  <si>
    <t>Ruta Cantonal 20703500</t>
  </si>
  <si>
    <t>Colocación de lastre 700m lineales 523 m3</t>
  </si>
  <si>
    <t xml:space="preserve">150 m al sur de la escuela Jacinto Avila </t>
  </si>
  <si>
    <t>Daño en la base de la carretera y colapso de la alcantarilla</t>
  </si>
  <si>
    <t xml:space="preserve">inspección y uso de la maquinaria, reparación de la calzada </t>
  </si>
  <si>
    <t xml:space="preserve">Buenos Aires </t>
  </si>
  <si>
    <t xml:space="preserve">Calle Ramírez </t>
  </si>
  <si>
    <t>Caída de árboles y huecos en la carretera</t>
  </si>
  <si>
    <t>Colocación de lastre en 700 mts lineales,  525 m3.</t>
  </si>
  <si>
    <t>Construcción de Muro Gaviones o Llantiones de 10 mts de largo, 4 mts de alto.</t>
  </si>
  <si>
    <t>Construccion de un muro de gaviones o llantiones de 10 m de largo y 4 m de largo</t>
  </si>
  <si>
    <t>Calle Bajo el Beneficio</t>
  </si>
  <si>
    <t xml:space="preserve">Deterioro de camino por lluvias </t>
  </si>
  <si>
    <t>Construcción de 200 m lineales de losa de concreto con 5 m de ancho</t>
  </si>
  <si>
    <t>Cocaleca</t>
  </si>
  <si>
    <t>Construcción de un muro de gavioneso llantiones de 40m de largo y 4 m de alto, costado norte de la calle</t>
  </si>
  <si>
    <t>Calle Corella</t>
  </si>
  <si>
    <t>Construcción de 300 m de cunetas, construcción de 300 m de una losa de concretode 5 metros de ancho</t>
  </si>
  <si>
    <t>Calle Maroto</t>
  </si>
  <si>
    <t>Deterioro de camino por  exceso lluvias y deslizamiento</t>
  </si>
  <si>
    <t>Construcción de 300 m de cunetas, construcción de 300 m de una losa de concreto de 5 metros de ancho</t>
  </si>
  <si>
    <t xml:space="preserve">Calle los Chepillos </t>
  </si>
  <si>
    <t xml:space="preserve">Deterioro de camino por  exceso lluvias </t>
  </si>
  <si>
    <t>Calle Céspedes</t>
  </si>
  <si>
    <t>Deterioro de camino por exceso de lluvias y deslizamiento</t>
  </si>
  <si>
    <t>Colocación de lastre en 700 m lineales 523 m3</t>
  </si>
  <si>
    <t xml:space="preserve">Calle La Tinajita </t>
  </si>
  <si>
    <t>Colocación de lastre 300 m lineales 1000m3. construcción de muro de gaviones o llantiones de 80 m de largo y 6 m de alto</t>
  </si>
  <si>
    <t xml:space="preserve">Los Tanques </t>
  </si>
  <si>
    <t>Colocación de lastre 300m lineales 225m3</t>
  </si>
  <si>
    <t>frente APROSAN</t>
  </si>
  <si>
    <t>Construcción de muro de Gaviones o llantiones de 20 m de largoy 5 m de largo</t>
  </si>
  <si>
    <t xml:space="preserve">La Mina costado norte </t>
  </si>
  <si>
    <t>La Mina costado sur</t>
  </si>
  <si>
    <t>Construcción de un muro de Gaviones o llantiones 20 m de largo y 5 m de alto</t>
  </si>
  <si>
    <t>Pata de Gallo</t>
  </si>
  <si>
    <t>Colocación de lastre 200 ml lineales 250 m3</t>
  </si>
  <si>
    <t xml:space="preserve">La Chola </t>
  </si>
  <si>
    <t>Colocación de lastre 700 m lineales 523 m4</t>
  </si>
  <si>
    <t>La Hacienda 135 m sur del Beneficio de los Orlich</t>
  </si>
  <si>
    <t>Construcción de un muro de Gaviones o llantiones de 20 m de largo y 4 m de alto</t>
  </si>
  <si>
    <t>La Hacienda 200 m sur del Beneficio de los Orlich</t>
  </si>
  <si>
    <t>Construcción de un muro de Gaviones o llantiones de 30 m de largo y 5 m de alto</t>
  </si>
  <si>
    <t xml:space="preserve">La Hacienda 150 m sur del Beneficio de los Pinos </t>
  </si>
  <si>
    <t>Construcción de un muro de Gaviones o llantiones de 10 m de largo y 4 m de alto</t>
  </si>
  <si>
    <t>Calle Cubero</t>
  </si>
  <si>
    <t>Deterioro del camino por exceso de lluvias y deslizamiento</t>
  </si>
  <si>
    <t>Construcción de un muro de Gaviones o llantiones de 10 m de largo y 3 m de alto</t>
  </si>
  <si>
    <t xml:space="preserve">Calle Escuela Vieja </t>
  </si>
  <si>
    <t>Colocación de lastre en 1000 m lineales 500m3,construcción de muro de gaviones o llantiones de 10 m de largo y 3 m de alto</t>
  </si>
  <si>
    <t xml:space="preserve">La Plaza y Pan Caliente </t>
  </si>
  <si>
    <t>Construcción de muro de gaviones de 20 m de largo y 5 m de alto</t>
  </si>
  <si>
    <t xml:space="preserve">La Granja </t>
  </si>
  <si>
    <t xml:space="preserve">Calle Principal Llegando al límite cantonal </t>
  </si>
  <si>
    <t>Colocación de lastre 300 m lineales 225 m3</t>
  </si>
  <si>
    <t xml:space="preserve">Calle Julio Salas </t>
  </si>
  <si>
    <t>Colocación de lastre 100 m lineales 100 m3</t>
  </si>
  <si>
    <t>POAS -08</t>
  </si>
  <si>
    <t>OROTINA -09</t>
  </si>
  <si>
    <t xml:space="preserve">Coyolar </t>
  </si>
  <si>
    <t xml:space="preserve">2-09-009 </t>
  </si>
  <si>
    <t xml:space="preserve">3 km </t>
  </si>
  <si>
    <t>8,5 m</t>
  </si>
  <si>
    <t xml:space="preserve">Perdida de material  de la superficie de ruedo en varios puntos de la ruta, daños en las cunetas en tierra. </t>
  </si>
  <si>
    <t xml:space="preserve">Conformación de superficie de ruedo, limpieza mecanizada de cunetas, colocación de piedra bruta de relleno, colocación de material de base, 200 metros de cuneta revestida, colocación de 800 metros de carpeta asfática.  </t>
  </si>
  <si>
    <t xml:space="preserve">Ceiba </t>
  </si>
  <si>
    <t xml:space="preserve">Guacimo </t>
  </si>
  <si>
    <t xml:space="preserve">2-09-044 </t>
  </si>
  <si>
    <t xml:space="preserve">11 metros </t>
  </si>
  <si>
    <t xml:space="preserve">6 metros </t>
  </si>
  <si>
    <t xml:space="preserve">Cambio del cause del rio que barrio el camino generando perdidas de la estructura del camino. Se requiere construcción de un vado. </t>
  </si>
  <si>
    <t xml:space="preserve">Construcción de vado de cuatro alacantarillas de 90 cm de diámetro .  </t>
  </si>
  <si>
    <t>SAN CARLOS -10</t>
  </si>
  <si>
    <t>Quesada</t>
  </si>
  <si>
    <t>2-10-0005</t>
  </si>
  <si>
    <t xml:space="preserve">Perdidas de material y erosion de la superficie de rodamiento, por condiciones lluviosas. </t>
  </si>
  <si>
    <t>Rehabilitacion de superficie de rodamiento, mediante conformacion y lastrado de camino, debido a que sus condiciones de lastre y tierra que aumentan debido a la ocurrencia del evento de condiciones lluviosas</t>
  </si>
  <si>
    <t>2-10-0007</t>
  </si>
  <si>
    <t>2-10-0015</t>
  </si>
  <si>
    <t>2-10-0016</t>
  </si>
  <si>
    <t>2-10-0018</t>
  </si>
  <si>
    <t>2-10-0124</t>
  </si>
  <si>
    <t>2-10-0170</t>
  </si>
  <si>
    <t>2-10-0208</t>
  </si>
  <si>
    <t>2-10-0216</t>
  </si>
  <si>
    <t>2-10-0230</t>
  </si>
  <si>
    <t>2-10-0232</t>
  </si>
  <si>
    <t>2-10-0233</t>
  </si>
  <si>
    <t>2-10-0236</t>
  </si>
  <si>
    <t>2-10-0238</t>
  </si>
  <si>
    <t>2-10-0239</t>
  </si>
  <si>
    <t>2-10-0765</t>
  </si>
  <si>
    <t>2-10-0766</t>
  </si>
  <si>
    <t>2-10-0767</t>
  </si>
  <si>
    <t>2-10-0768</t>
  </si>
  <si>
    <t>2-10-0769</t>
  </si>
  <si>
    <t>2-10-0824</t>
  </si>
  <si>
    <t>2-10-0825</t>
  </si>
  <si>
    <t>2-10-0826</t>
  </si>
  <si>
    <t>2-10-0828</t>
  </si>
  <si>
    <t>2-10-0891</t>
  </si>
  <si>
    <t>2-10-0893</t>
  </si>
  <si>
    <t>2-10-0895</t>
  </si>
  <si>
    <t>2-10-0896</t>
  </si>
  <si>
    <t>2-10-0897</t>
  </si>
  <si>
    <t>2-10-0898</t>
  </si>
  <si>
    <t>2-10-0899</t>
  </si>
  <si>
    <t>2-10-0900</t>
  </si>
  <si>
    <t>2-10-0901</t>
  </si>
  <si>
    <t>2-10-0902</t>
  </si>
  <si>
    <t>2-10-0903</t>
  </si>
  <si>
    <t>2-10-0904</t>
  </si>
  <si>
    <t>2-10-0905</t>
  </si>
  <si>
    <t>2-10-0906</t>
  </si>
  <si>
    <t>2-10-0907</t>
  </si>
  <si>
    <t>2-10-0913</t>
  </si>
  <si>
    <t>2-10-0924</t>
  </si>
  <si>
    <t>2-10-0925</t>
  </si>
  <si>
    <t>2-10-0926</t>
  </si>
  <si>
    <t>2-10-0927</t>
  </si>
  <si>
    <t>2-10-0929</t>
  </si>
  <si>
    <t>2-10-0931</t>
  </si>
  <si>
    <t>2-10-0932</t>
  </si>
  <si>
    <t>2-10-0933</t>
  </si>
  <si>
    <t>2-10-0934</t>
  </si>
  <si>
    <t>2-10-0936</t>
  </si>
  <si>
    <t>2-10-0937</t>
  </si>
  <si>
    <t>2-10-0938</t>
  </si>
  <si>
    <t>2-10-0940</t>
  </si>
  <si>
    <t>2-10-0941</t>
  </si>
  <si>
    <t>2-10-0943</t>
  </si>
  <si>
    <t>2-10-0945</t>
  </si>
  <si>
    <t>2-10-0946</t>
  </si>
  <si>
    <t>2-10-0948</t>
  </si>
  <si>
    <t>2-10-0949</t>
  </si>
  <si>
    <t>2-10-0950</t>
  </si>
  <si>
    <t>2-10-0951</t>
  </si>
  <si>
    <t>2-10-0952</t>
  </si>
  <si>
    <t>2-10-0953</t>
  </si>
  <si>
    <t>2-10-0954</t>
  </si>
  <si>
    <t>2-10-0955</t>
  </si>
  <si>
    <t>2-10-0956</t>
  </si>
  <si>
    <t>2-10-0957</t>
  </si>
  <si>
    <t>2-10-0960</t>
  </si>
  <si>
    <t>2-10-1041</t>
  </si>
  <si>
    <t>2-10-1044</t>
  </si>
  <si>
    <t>2-10-1062</t>
  </si>
  <si>
    <t>2-10-1065</t>
  </si>
  <si>
    <t>2-10-1067</t>
  </si>
  <si>
    <t>2-10-1108</t>
  </si>
  <si>
    <t>2-10-1110</t>
  </si>
  <si>
    <t>2-10-0935</t>
  </si>
  <si>
    <t>2-10-0939</t>
  </si>
  <si>
    <t>2-10-0942</t>
  </si>
  <si>
    <t>2-10-0947</t>
  </si>
  <si>
    <t>2-10-0959</t>
  </si>
  <si>
    <t>2-10-0962</t>
  </si>
  <si>
    <t>2-10-1043</t>
  </si>
  <si>
    <t>2-10-1061</t>
  </si>
  <si>
    <t>2-10-1063</t>
  </si>
  <si>
    <t>2-10-1064</t>
  </si>
  <si>
    <t>2-10-1066</t>
  </si>
  <si>
    <t>2-10-1070</t>
  </si>
  <si>
    <t>2-10-1109</t>
  </si>
  <si>
    <t>Florencia</t>
  </si>
  <si>
    <t>2-10-0019</t>
  </si>
  <si>
    <t>2-10-0024</t>
  </si>
  <si>
    <t>2-10-0129</t>
  </si>
  <si>
    <t>2-10-0554</t>
  </si>
  <si>
    <t>2-10-0555</t>
  </si>
  <si>
    <t>2-10-0556</t>
  </si>
  <si>
    <t>2-10-0562</t>
  </si>
  <si>
    <t>2-10-0618</t>
  </si>
  <si>
    <t>2-10-0857</t>
  </si>
  <si>
    <t>2-10-0858</t>
  </si>
  <si>
    <t>2-10-0862</t>
  </si>
  <si>
    <t>2-10-0863</t>
  </si>
  <si>
    <t>2-10-0866</t>
  </si>
  <si>
    <t>2-10-0867</t>
  </si>
  <si>
    <t>2-10-0868</t>
  </si>
  <si>
    <t>2-10-0871</t>
  </si>
  <si>
    <t>2-10-0875</t>
  </si>
  <si>
    <t>2-10-0879</t>
  </si>
  <si>
    <t>2-10-0880</t>
  </si>
  <si>
    <t>2-10-0881</t>
  </si>
  <si>
    <t>2-10-0883</t>
  </si>
  <si>
    <t>2-10-0886</t>
  </si>
  <si>
    <t>2-10-0916</t>
  </si>
  <si>
    <t>2-10-0917</t>
  </si>
  <si>
    <t>2-10-0920</t>
  </si>
  <si>
    <t>2-10-1003</t>
  </si>
  <si>
    <t>2-10-1036</t>
  </si>
  <si>
    <t>2-10-1085</t>
  </si>
  <si>
    <t>2-10-1086</t>
  </si>
  <si>
    <t>2-10-0037</t>
  </si>
  <si>
    <t>Rehabilitacion de superficie de rodamiento, mediante conformacion y lastrado de camino, debido a que sus condiciones de lastre y tierra que aumentan debido a la ocurrencia del evento de  lluvias</t>
  </si>
  <si>
    <t>2-10-0038</t>
  </si>
  <si>
    <t>2-10-0921</t>
  </si>
  <si>
    <t>2-10-0922</t>
  </si>
  <si>
    <t>2-10-0923</t>
  </si>
  <si>
    <t>2-10-1071</t>
  </si>
  <si>
    <t>Venecia</t>
  </si>
  <si>
    <t>2-10-0046</t>
  </si>
  <si>
    <t>2-10-0049</t>
  </si>
  <si>
    <t>2-10-0051</t>
  </si>
  <si>
    <t>2-10-0053</t>
  </si>
  <si>
    <t>2-10-0114</t>
  </si>
  <si>
    <t>2-10-0116</t>
  </si>
  <si>
    <t>2-10-0118</t>
  </si>
  <si>
    <t>2-10-0126</t>
  </si>
  <si>
    <t>2-10-0127</t>
  </si>
  <si>
    <t>2-10-0140</t>
  </si>
  <si>
    <t>2-10-0142</t>
  </si>
  <si>
    <t>2-10-0144</t>
  </si>
  <si>
    <t>2-10-0148</t>
  </si>
  <si>
    <t>2-10-0150</t>
  </si>
  <si>
    <t>2-10-0151</t>
  </si>
  <si>
    <t>2-10-0715</t>
  </si>
  <si>
    <t>2-10-0731</t>
  </si>
  <si>
    <t>2-10-0732</t>
  </si>
  <si>
    <t>2-10-0734</t>
  </si>
  <si>
    <t>2-10-0773</t>
  </si>
  <si>
    <t>2-10-0778</t>
  </si>
  <si>
    <t>2-10-0779</t>
  </si>
  <si>
    <t>2-10-0782</t>
  </si>
  <si>
    <t>2-10-0783</t>
  </si>
  <si>
    <t>2-10-0785</t>
  </si>
  <si>
    <t>2-10-0788</t>
  </si>
  <si>
    <t>2-10-0789</t>
  </si>
  <si>
    <t>2-10-0791</t>
  </si>
  <si>
    <t>2-10-0792</t>
  </si>
  <si>
    <t>2-10-0793</t>
  </si>
  <si>
    <t>2-10-0795</t>
  </si>
  <si>
    <t>2-10-0796</t>
  </si>
  <si>
    <t>2-10-0797</t>
  </si>
  <si>
    <t>2-10-0798</t>
  </si>
  <si>
    <t>2-10-0799</t>
  </si>
  <si>
    <t>2-10-0801</t>
  </si>
  <si>
    <t>2-10-0802</t>
  </si>
  <si>
    <t>2-10-0803</t>
  </si>
  <si>
    <t>2-10-0804</t>
  </si>
  <si>
    <t>2-10-0805</t>
  </si>
  <si>
    <t>2-10-1000</t>
  </si>
  <si>
    <t>2-10-1026</t>
  </si>
  <si>
    <t>2-10-1047</t>
  </si>
  <si>
    <t>2-10-1105</t>
  </si>
  <si>
    <t xml:space="preserve">Pital </t>
  </si>
  <si>
    <t>2-10-0010</t>
  </si>
  <si>
    <t>2-10-0056</t>
  </si>
  <si>
    <t>2-10-0171</t>
  </si>
  <si>
    <t>2-10-0290</t>
  </si>
  <si>
    <t>2-10-0291</t>
  </si>
  <si>
    <t>2-10-0293</t>
  </si>
  <si>
    <t>2-10-0297</t>
  </si>
  <si>
    <t>2-10-0298</t>
  </si>
  <si>
    <t>2-10-0299</t>
  </si>
  <si>
    <t>2-10-0300</t>
  </si>
  <si>
    <t>2-10-0301</t>
  </si>
  <si>
    <t>2-10-0302</t>
  </si>
  <si>
    <t>2-10-0303</t>
  </si>
  <si>
    <t>2-10-0304</t>
  </si>
  <si>
    <t>2-10-0305</t>
  </si>
  <si>
    <t>2-10-0306</t>
  </si>
  <si>
    <t>2-10-0307</t>
  </si>
  <si>
    <t>2-10-0308</t>
  </si>
  <si>
    <t>2-10-0309</t>
  </si>
  <si>
    <t>2-10-0310</t>
  </si>
  <si>
    <t>2-10-0311</t>
  </si>
  <si>
    <t>2-10-0312</t>
  </si>
  <si>
    <t>2-10-0313</t>
  </si>
  <si>
    <t>2-10-0315</t>
  </si>
  <si>
    <t>2-10-0316</t>
  </si>
  <si>
    <t>2-10-0317</t>
  </si>
  <si>
    <t>2-10-0318</t>
  </si>
  <si>
    <t>2-10-0319</t>
  </si>
  <si>
    <t>2-10-0320</t>
  </si>
  <si>
    <t>2-10-0321</t>
  </si>
  <si>
    <t>2-10-0322</t>
  </si>
  <si>
    <t>2-10-0323</t>
  </si>
  <si>
    <t>2-10-0357</t>
  </si>
  <si>
    <t>2-10-0657</t>
  </si>
  <si>
    <t>2-10-0658</t>
  </si>
  <si>
    <t>2-10-0660</t>
  </si>
  <si>
    <t>2-10-0662</t>
  </si>
  <si>
    <t>2-10-0664</t>
  </si>
  <si>
    <t>2-10-0665</t>
  </si>
  <si>
    <t>2-10-0672</t>
  </si>
  <si>
    <t>2-10-0674</t>
  </si>
  <si>
    <t>2-10-0675</t>
  </si>
  <si>
    <t>2-10-0676</t>
  </si>
  <si>
    <t>2-10-0677</t>
  </si>
  <si>
    <t>2-10-0678</t>
  </si>
  <si>
    <t>2-10-0680</t>
  </si>
  <si>
    <t>2-10-0681</t>
  </si>
  <si>
    <t>2-10-0682</t>
  </si>
  <si>
    <t>2-10-0683</t>
  </si>
  <si>
    <t>2-10-0685</t>
  </si>
  <si>
    <t>2-10-0686</t>
  </si>
  <si>
    <t>2-10-0688</t>
  </si>
  <si>
    <t>2-10-0689</t>
  </si>
  <si>
    <t>2-10-0691</t>
  </si>
  <si>
    <t>2-10-0693</t>
  </si>
  <si>
    <t>2-10-0694</t>
  </si>
  <si>
    <t>2-10-0695</t>
  </si>
  <si>
    <t>2-10-0696</t>
  </si>
  <si>
    <t>2-10-0697</t>
  </si>
  <si>
    <t>2-10-0698</t>
  </si>
  <si>
    <t>2-10-0700</t>
  </si>
  <si>
    <t>2-10-0701</t>
  </si>
  <si>
    <t>2-10-0702</t>
  </si>
  <si>
    <t>2-10-0704</t>
  </si>
  <si>
    <t>2-10-0707</t>
  </si>
  <si>
    <t>2-10-0710</t>
  </si>
  <si>
    <t>2-10-0712</t>
  </si>
  <si>
    <t>2-10-1082</t>
  </si>
  <si>
    <t>2-10-0074</t>
  </si>
  <si>
    <t>2-10-0495</t>
  </si>
  <si>
    <t>2-10-0496</t>
  </si>
  <si>
    <t>2-10-0499</t>
  </si>
  <si>
    <t>2-10-0504</t>
  </si>
  <si>
    <t>2-10-0505</t>
  </si>
  <si>
    <t>2-10-0513</t>
  </si>
  <si>
    <t>2-10-0514</t>
  </si>
  <si>
    <t>2-10-0515</t>
  </si>
  <si>
    <t>2-10-0518</t>
  </si>
  <si>
    <t>2-10-0530</t>
  </si>
  <si>
    <t>2-10-0532</t>
  </si>
  <si>
    <t>2-10-0533</t>
  </si>
  <si>
    <t>2-10-0535</t>
  </si>
  <si>
    <t>2-10-1025</t>
  </si>
  <si>
    <t>2-10-1028</t>
  </si>
  <si>
    <t>La Tigra</t>
  </si>
  <si>
    <t>2-10-0079</t>
  </si>
  <si>
    <t>2-10-0207</t>
  </si>
  <si>
    <t>2-10-0214</t>
  </si>
  <si>
    <t>2-10-0829</t>
  </si>
  <si>
    <t>2-10-0830</t>
  </si>
  <si>
    <t>2-10-0831</t>
  </si>
  <si>
    <t>2-10-0833</t>
  </si>
  <si>
    <t>2-10-0834</t>
  </si>
  <si>
    <t>2-10-0837</t>
  </si>
  <si>
    <t>2-10-0838</t>
  </si>
  <si>
    <t>2-10-0840</t>
  </si>
  <si>
    <t>2-10-0842</t>
  </si>
  <si>
    <t>2-10-0843</t>
  </si>
  <si>
    <t>2-10-0844</t>
  </si>
  <si>
    <t>2-10-0845</t>
  </si>
  <si>
    <t>2-10-0848</t>
  </si>
  <si>
    <t>2-10-0850</t>
  </si>
  <si>
    <t>2-10-0851</t>
  </si>
  <si>
    <t>2-10-0852</t>
  </si>
  <si>
    <t>2-10-0853</t>
  </si>
  <si>
    <t>2-10-0855</t>
  </si>
  <si>
    <t>2-10-1045</t>
  </si>
  <si>
    <t>2-10-1050</t>
  </si>
  <si>
    <t>2-10-1055</t>
  </si>
  <si>
    <t>2-10-1056</t>
  </si>
  <si>
    <t>2-10-1057</t>
  </si>
  <si>
    <t>2-10-1058</t>
  </si>
  <si>
    <t>2-10-1072</t>
  </si>
  <si>
    <t>Palmera</t>
  </si>
  <si>
    <t>2-10-0082</t>
  </si>
  <si>
    <t>2-10-0084</t>
  </si>
  <si>
    <t>2-10-0134</t>
  </si>
  <si>
    <t>2-10-0226</t>
  </si>
  <si>
    <t>2-10-0620</t>
  </si>
  <si>
    <t>2-10-0624</t>
  </si>
  <si>
    <t>2-10-0625</t>
  </si>
  <si>
    <t>2-10-0736</t>
  </si>
  <si>
    <t>2-10-0738</t>
  </si>
  <si>
    <t>2-10-0740</t>
  </si>
  <si>
    <t>2-10-0741</t>
  </si>
  <si>
    <t>2-10-0742</t>
  </si>
  <si>
    <t>2-10-0743</t>
  </si>
  <si>
    <t>2-10-0745</t>
  </si>
  <si>
    <t>2-10-0746</t>
  </si>
  <si>
    <t>2-10-0748</t>
  </si>
  <si>
    <t>2-10-0756</t>
  </si>
  <si>
    <t>2-10-0758</t>
  </si>
  <si>
    <t>2-10-0760</t>
  </si>
  <si>
    <t>2-10-0761</t>
  </si>
  <si>
    <t>2-10-0820</t>
  </si>
  <si>
    <t>2-10-0822</t>
  </si>
  <si>
    <t>Venado</t>
  </si>
  <si>
    <t>2-10-0086</t>
  </si>
  <si>
    <t>2-10-0088</t>
  </si>
  <si>
    <t>2-10-0182</t>
  </si>
  <si>
    <t>2-10-0221</t>
  </si>
  <si>
    <t>2-10-0448</t>
  </si>
  <si>
    <t>2-10-0449</t>
  </si>
  <si>
    <t>2-10-0450</t>
  </si>
  <si>
    <t>2-10-0451</t>
  </si>
  <si>
    <t>2-10-0452</t>
  </si>
  <si>
    <t>2-10-0453</t>
  </si>
  <si>
    <t>2-10-0454</t>
  </si>
  <si>
    <t>2-10-0455</t>
  </si>
  <si>
    <t>2-10-0456</t>
  </si>
  <si>
    <t>2-10-0457</t>
  </si>
  <si>
    <t>2-10-0458</t>
  </si>
  <si>
    <t>2-10-0459</t>
  </si>
  <si>
    <t>2-10-0466</t>
  </si>
  <si>
    <t>2-10-0467</t>
  </si>
  <si>
    <t>2-10-0468</t>
  </si>
  <si>
    <t>2-10-0469</t>
  </si>
  <si>
    <t>2-10-0480</t>
  </si>
  <si>
    <t>2-10-0481</t>
  </si>
  <si>
    <t>2-10-1012</t>
  </si>
  <si>
    <t>2-10-1014</t>
  </si>
  <si>
    <t>2-10-1015</t>
  </si>
  <si>
    <t>2-10-1016</t>
  </si>
  <si>
    <t>2-10-1029</t>
  </si>
  <si>
    <t>2-10-1046</t>
  </si>
  <si>
    <t xml:space="preserve">Monterrey </t>
  </si>
  <si>
    <t>2-10-0011</t>
  </si>
  <si>
    <t>Rehabilitacion de superficie de rodamiento, mediante conformacion y lastrado de camino, debido a que sus condiciones de lastre y tierra que aumentan debido a la ocurrencia del evento de lluvias</t>
  </si>
  <si>
    <t>2-10-0113</t>
  </si>
  <si>
    <t>2-10-0164</t>
  </si>
  <si>
    <t>2-10-0192</t>
  </si>
  <si>
    <t>2-10-0193</t>
  </si>
  <si>
    <t>2-10-0443</t>
  </si>
  <si>
    <t>2-10-0444</t>
  </si>
  <si>
    <t>2-10-0445</t>
  </si>
  <si>
    <t>2-10-0461</t>
  </si>
  <si>
    <t>2-10-0462</t>
  </si>
  <si>
    <t>2-10-0463</t>
  </si>
  <si>
    <t>2-10-0464</t>
  </si>
  <si>
    <t>2-10-0465</t>
  </si>
  <si>
    <t>2-10-0470</t>
  </si>
  <si>
    <t>2-10-0471</t>
  </si>
  <si>
    <t>2-10-0472</t>
  </si>
  <si>
    <t>2-10-0473</t>
  </si>
  <si>
    <t>2-10-0474</t>
  </si>
  <si>
    <t>2-10-0475</t>
  </si>
  <si>
    <t>2-10-0476</t>
  </si>
  <si>
    <t>2-10-0477</t>
  </si>
  <si>
    <t>2-10-0478</t>
  </si>
  <si>
    <t>2-10-0479</t>
  </si>
  <si>
    <t>2-10-0483</t>
  </si>
  <si>
    <t>2-10-0484</t>
  </si>
  <si>
    <t>2-10-0485</t>
  </si>
  <si>
    <t>2-10-0486</t>
  </si>
  <si>
    <t>2-10-0487</t>
  </si>
  <si>
    <t>2-10-0488</t>
  </si>
  <si>
    <t>2-10-0489</t>
  </si>
  <si>
    <t>2-10-0490</t>
  </si>
  <si>
    <t>2-10-0491</t>
  </si>
  <si>
    <t>2-10-0492</t>
  </si>
  <si>
    <t>2-10-0493</t>
  </si>
  <si>
    <t>2-10-0494</t>
  </si>
  <si>
    <t>2-10-0516</t>
  </si>
  <si>
    <t>2-10-0569</t>
  </si>
  <si>
    <t>2-10-0570</t>
  </si>
  <si>
    <t>2-10-0571</t>
  </si>
  <si>
    <t>2-10-0572</t>
  </si>
  <si>
    <t>2-10-0573</t>
  </si>
  <si>
    <t>2-10-0574</t>
  </si>
  <si>
    <t>2-10-0575</t>
  </si>
  <si>
    <t>2-10-1019</t>
  </si>
  <si>
    <t>2-10-1020</t>
  </si>
  <si>
    <t>2-10-1022</t>
  </si>
  <si>
    <t>2-10-1023</t>
  </si>
  <si>
    <t>Aguas Zarcas</t>
  </si>
  <si>
    <t>2-10-0136</t>
  </si>
  <si>
    <t>2-10-0138</t>
  </si>
  <si>
    <t>2-10-0145</t>
  </si>
  <si>
    <t>2-10-0169</t>
  </si>
  <si>
    <t>2-10-0327</t>
  </si>
  <si>
    <t>2-10-0348</t>
  </si>
  <si>
    <t>2-10-0626</t>
  </si>
  <si>
    <t>2-10-0628</t>
  </si>
  <si>
    <t>2-10-0631</t>
  </si>
  <si>
    <t>2-10-0632</t>
  </si>
  <si>
    <t>2-10-0633</t>
  </si>
  <si>
    <t>2-10-0636</t>
  </si>
  <si>
    <t>2-10-0637</t>
  </si>
  <si>
    <t>2-10-0638</t>
  </si>
  <si>
    <t>2-10-0639</t>
  </si>
  <si>
    <t>2-10-0640</t>
  </si>
  <si>
    <t>2-10-0642</t>
  </si>
  <si>
    <t>2-10-0643</t>
  </si>
  <si>
    <t>2-10-0644</t>
  </si>
  <si>
    <t>2-10-0645</t>
  </si>
  <si>
    <t>2-10-0646</t>
  </si>
  <si>
    <t>2-10-0652</t>
  </si>
  <si>
    <t>2-10-0654</t>
  </si>
  <si>
    <t>2-10-0716</t>
  </si>
  <si>
    <t>2-10-0718</t>
  </si>
  <si>
    <t>2-10-0722</t>
  </si>
  <si>
    <t>2-10-0723</t>
  </si>
  <si>
    <t>2-10-0725</t>
  </si>
  <si>
    <t>2-10-0727</t>
  </si>
  <si>
    <t>2-10-0729</t>
  </si>
  <si>
    <t>2-10-0730</t>
  </si>
  <si>
    <t>2-10-0775</t>
  </si>
  <si>
    <t>2-10-0809</t>
  </si>
  <si>
    <t>2-10-0812</t>
  </si>
  <si>
    <t>2-10-0814</t>
  </si>
  <si>
    <t>2-10-0817</t>
  </si>
  <si>
    <t>2-10-0819</t>
  </si>
  <si>
    <t>2-10-1078</t>
  </si>
  <si>
    <t>2-10-1080</t>
  </si>
  <si>
    <t>2-10-1099</t>
  </si>
  <si>
    <t>2-10-1101</t>
  </si>
  <si>
    <t>2-10-1103</t>
  </si>
  <si>
    <t>ZARCERO -11</t>
  </si>
  <si>
    <t>San Luis - Barranca</t>
  </si>
  <si>
    <t>2-11-001</t>
  </si>
  <si>
    <t>0.9</t>
  </si>
  <si>
    <t>4.5</t>
  </si>
  <si>
    <t>Deterioro importante del camino</t>
  </si>
  <si>
    <t>Limpieza, conformacion del camino y colocacion de material granular, construccion del puente</t>
  </si>
  <si>
    <t>Zapote</t>
  </si>
  <si>
    <t>Camino la Quina</t>
  </si>
  <si>
    <t>2-11-011</t>
  </si>
  <si>
    <t>6.8</t>
  </si>
  <si>
    <t>Limpieza, conformacion del camino y colocacion de material granular,</t>
  </si>
  <si>
    <t>VALVERDE VEGA -12</t>
  </si>
  <si>
    <t>Sarchí Norte</t>
  </si>
  <si>
    <t xml:space="preserve">San José de Trojas </t>
  </si>
  <si>
    <t xml:space="preserve">2-12-017       Calle Toro </t>
  </si>
  <si>
    <t>Afectación en 3 puntos de la vía que consiste en el deslizamiento del talud negativo el cual ocurre en una sección de la vía afectando por su magnitud otro punto de la vía,  el deslizamiento siguió su trayectoria por una pendiente hacia el rio en una distancia aproximada de 100m, produciendo inestabilidad en ambos puntos afectados,  queda habilitado solo un carril de la vía en ambos puntos, Existe en el otro punto un desplazamiento y agrietamiento de la superficie de ruedo en al menos 7.5 cm y 30 m de longitud, lo cual afecta directamente un carril de la vía.</t>
  </si>
  <si>
    <t xml:space="preserve">Se requiere la contratación de una empresa  consultora para que realice los Estudios preliminares necesarios que determinen el diseño y  tipo de obra a construir para la estabilización del talud de la carretera; así como, la construcción de obra de estabilización, encausamiento de aguas pluviales y la reconstrucción de la superficie de ruedo </t>
  </si>
  <si>
    <t>UPALA -13</t>
  </si>
  <si>
    <t>LOS CHILES -14</t>
  </si>
  <si>
    <t>SECTOR ANGELES</t>
  </si>
  <si>
    <t>2-02-013</t>
  </si>
  <si>
    <t>RIO BURRO</t>
  </si>
  <si>
    <t xml:space="preserve">PUENTE CON SUPERESTRUCTURA METALICA LOZA CONSTITUIDA DE LAMINAS DE PUNTA DE DIAMANTE, VIGAS METALICAS.  APOYADO SOBRE  BASTIONES Y 2 PILAS . </t>
  </si>
  <si>
    <t xml:space="preserve">COLAPSO DE LA PILA CENTRAL, FALLA DE UNO DE LOS BASTIONES LATERALES JUNTO AL RELLENO DE APROXIMACIÒN,FRACTURA DE LA LOZA  METALICA BARANDA PEATONAL. </t>
  </si>
  <si>
    <t xml:space="preserve">RECONSTRUCCIÒN DE PUENTE </t>
  </si>
  <si>
    <t xml:space="preserve">PUENTE PIEDRA </t>
  </si>
  <si>
    <t>1. Calle la Romana</t>
  </si>
  <si>
    <t>2-03-143</t>
  </si>
  <si>
    <t>Río Agualote</t>
  </si>
  <si>
    <t>Puente en una vía de 7,5m de largo, con vigas de concreto, sin pasos peatonales y daños importantes en estructura.</t>
  </si>
  <si>
    <t xml:space="preserve">Aletón colapsado
Bastiones erosionados </t>
  </si>
  <si>
    <t>Medio-Alto</t>
  </si>
  <si>
    <t>Puente nuevo con dos vías y  paso peatonal, el monto incluye estudios preeliminares</t>
  </si>
  <si>
    <t xml:space="preserve">2. Calle Rosales: La Cedeña </t>
  </si>
  <si>
    <t>02-03-002</t>
  </si>
  <si>
    <t xml:space="preserve">Río Rosales </t>
  </si>
  <si>
    <t>Puente en una vía de 9m de largo, sin pasos peatonales y daños importantes en estructura.</t>
  </si>
  <si>
    <t xml:space="preserve"> Socavación de fundaciones
 Daño estructural en bastiones</t>
  </si>
  <si>
    <t>Puente nuevo con dos vías y paso peatonal en doble sentido, el monto incluye estudios preeliminares</t>
  </si>
  <si>
    <t xml:space="preserve">SAN JOSE </t>
  </si>
  <si>
    <t>3. Calle Celina</t>
  </si>
  <si>
    <t>02-03-074</t>
  </si>
  <si>
    <t>Río Achiote</t>
  </si>
  <si>
    <t>Puente en una vía de 8m de largo, sin pasos peatonales y daños importantes en estructura.</t>
  </si>
  <si>
    <t xml:space="preserve">Socavación de bastiones </t>
  </si>
  <si>
    <t>SAN ROQUE</t>
  </si>
  <si>
    <t xml:space="preserve">4. Bajo Reinier </t>
  </si>
  <si>
    <t>02-03-090</t>
  </si>
  <si>
    <t xml:space="preserve">Río Vigía </t>
  </si>
  <si>
    <t>Puente nuevo con dos vías y paso peatonal, el monto incluye estudios preeliminares</t>
  </si>
  <si>
    <t>BOLIVAR</t>
  </si>
  <si>
    <t xml:space="preserve">5. Calle Trapiche </t>
  </si>
  <si>
    <t>02-03-023</t>
  </si>
  <si>
    <t>Río Sarchí</t>
  </si>
  <si>
    <t>Puente en una vía de 12m de largo, con vigas de madera sin pasos peatonales y estructura completamente dañada.</t>
  </si>
  <si>
    <t xml:space="preserve">Socavación de bastiones 
Daño en la superficie de ruedo </t>
  </si>
  <si>
    <t>Puente nuevo con una vía y un paso peatonal en un sentido.</t>
  </si>
  <si>
    <t>Quebrada Cocora</t>
  </si>
  <si>
    <t>Puente de Losa de 12 metros</t>
  </si>
  <si>
    <t>Socavación en los bastiones del Puente</t>
  </si>
  <si>
    <t>Estudios Preliminares, Diseño y Construcción de Puente</t>
  </si>
  <si>
    <t>Palmitos</t>
  </si>
  <si>
    <t>Calle a San Isidro</t>
  </si>
  <si>
    <t>2-06-146</t>
  </si>
  <si>
    <t>Puente de Losa de 25 metros</t>
  </si>
  <si>
    <t>Cuadrantes Urbanos La Puebla</t>
  </si>
  <si>
    <t>2-06-119</t>
  </si>
  <si>
    <t>Rio Molino</t>
  </si>
  <si>
    <t>Puente de Losa de 10 metros</t>
  </si>
  <si>
    <t>Sección Hidráulica del Puente no dio abasto, afecto losa y bastiones</t>
  </si>
  <si>
    <t>Rio El Espino</t>
  </si>
  <si>
    <t>Puente de Losa de 18 metros</t>
  </si>
  <si>
    <t xml:space="preserve">Santiago, Quebradas y Zaragoza </t>
  </si>
  <si>
    <t xml:space="preserve">Quebrada el Aguacate </t>
  </si>
  <si>
    <t>Puente Bailey</t>
  </si>
  <si>
    <t xml:space="preserve">Socavación del puente Temporal </t>
  </si>
  <si>
    <t>Puente nuevo</t>
  </si>
  <si>
    <t xml:space="preserve">Esuipulas </t>
  </si>
  <si>
    <t>La Perica</t>
  </si>
  <si>
    <t>Quebrada Mora</t>
  </si>
  <si>
    <t xml:space="preserve">Socavación del puente </t>
  </si>
  <si>
    <t>Alcantarilla de cuadro nueva</t>
  </si>
  <si>
    <t>Santigo</t>
  </si>
  <si>
    <t>Quebrada Santiago</t>
  </si>
  <si>
    <t>Carrillos</t>
  </si>
  <si>
    <t>La Represa</t>
  </si>
  <si>
    <t>2-08-009</t>
  </si>
  <si>
    <t>Río Poás</t>
  </si>
  <si>
    <t>Puente antiguo del cual no se tiene registro sobre su construcción, planos o diseño. Bastiones construidos con concreto ciclópeo fundado sobre roca de origen de río, la superestructura consiste en dos vigas de acero tipo Y con una superficie de rodamiento en tablones de madera dura y semidura, además contiene dos barandas metálicas tipo flexbeam que confinan el puente en un solo carril. Debido a la antigüedad del puente se encontraba únicamente habilitado para vehículos livianos, esto colocado con un arco metálico en una de las entradas del puente, el cual sufrió severos daños debido a la tormenta.</t>
  </si>
  <si>
    <t>La crecida del rio afectó toda la infraestructura del puente, bastiones, barandas, tablones y aproximaciones al puente. La ubicación del puente respecto al cauce genera un estrangulamiento en el cauce y restringe la capacidad de flujo del rio Poas. Esta vía intercantonal es alterna a la ruta nacional 118 Carrillos- Cacao. Es necesario la reconstrucción y ampliación del puente.</t>
  </si>
  <si>
    <t>Construcción total del puente, construcción de los bastiones, construcción de los rellenos de aproximación, construcción Sub-estructura y Superestructura con un diseño que permita el tránsito pesado a dos carriles.</t>
  </si>
  <si>
    <t>2-09-010</t>
  </si>
  <si>
    <t>Quebrada Piedras del Fuego</t>
  </si>
  <si>
    <t>Puente Vehicular de longitud de 10.40m, con un ancho total de 3.72m, Altura 3,60m.</t>
  </si>
  <si>
    <t>Daños en los accesos de aproximación y aletones.</t>
  </si>
  <si>
    <t xml:space="preserve">Se requiere sustituir por un puente de 22,5 metros de longitud. </t>
  </si>
  <si>
    <t xml:space="preserve">Mastate </t>
  </si>
  <si>
    <t xml:space="preserve">Guayabal </t>
  </si>
  <si>
    <t xml:space="preserve">2-09-019 </t>
  </si>
  <si>
    <t>Puente Vehicular de longitud de 7,40 m, con un ancho total de 5,34m, Altura 1,5 m.</t>
  </si>
  <si>
    <t>Daño estructural de los bastiones del puente por socavación y ruptura de la estructura, así como perdidada de los rellenos de aproximación.</t>
  </si>
  <si>
    <t xml:space="preserve">Se requiere sustituir por un puente de 15 metros de longitud. </t>
  </si>
  <si>
    <t>2-09-009</t>
  </si>
  <si>
    <t>Puente Vehicular de longitud de 6 m, con un ancho total de 4m, Altura 2 m.</t>
  </si>
  <si>
    <t>Problemas de canalización de las aguas, daños en la losa y superestructura del puente.</t>
  </si>
  <si>
    <t xml:space="preserve">Cascajal </t>
  </si>
  <si>
    <t>2-09-019</t>
  </si>
  <si>
    <t>Diámetro con alcantarilla 3m x 1,50m, ancho de calzada 4,40m</t>
  </si>
  <si>
    <t>Daño estructural del puente, y socavacion de los bastiones.</t>
  </si>
  <si>
    <t>Rio Espino</t>
  </si>
  <si>
    <t>15 mts largo, 6 mtrs ancho a un 1 carril - Concreto</t>
  </si>
  <si>
    <t>Deterioro grave perdidas</t>
  </si>
  <si>
    <t>Construccion del puente</t>
  </si>
  <si>
    <t>Calle Pilones</t>
  </si>
  <si>
    <t>2-06-165</t>
  </si>
  <si>
    <t>218 metros</t>
  </si>
  <si>
    <t>Alcantarillado Longitudinal al Camino</t>
  </si>
  <si>
    <t>Colapso Total del Alcantarillado</t>
  </si>
  <si>
    <t>Reconstrucción de Alcantarillado y Cajas de Registro</t>
  </si>
  <si>
    <t>Cuadrantes Urbanos El Progreso</t>
  </si>
  <si>
    <t>2-06-225</t>
  </si>
  <si>
    <t>185 metros</t>
  </si>
  <si>
    <t>Reconstrucción de Alcantarillado, Cajas de Registro y Muro de Gaviones</t>
  </si>
  <si>
    <t>Calle Siete Casas</t>
  </si>
  <si>
    <t>50 metros</t>
  </si>
  <si>
    <t>Reconstrucción de Alcantarillado, Cajas de Registro</t>
  </si>
  <si>
    <t>Quebrada La Virgen</t>
  </si>
  <si>
    <t>10 metros</t>
  </si>
  <si>
    <t>Alcantarillado Transversal con aletones</t>
  </si>
  <si>
    <t>Socavación de los Aletones y perdida de Alcantarillas</t>
  </si>
  <si>
    <t>Urbanización RINALOSA</t>
  </si>
  <si>
    <t>110 metros</t>
  </si>
  <si>
    <t>Alcantarillado Transversal a los Cuadrantes</t>
  </si>
  <si>
    <t>Quebrada Cañuela</t>
  </si>
  <si>
    <t>Trinidad</t>
  </si>
  <si>
    <t>2-09-013</t>
  </si>
  <si>
    <t xml:space="preserve">Las Tablas </t>
  </si>
  <si>
    <t>Alcantarillas de 60 cm de diametro, ancho de 4 metros y largo de 6 metros</t>
  </si>
  <si>
    <t>Daño de losa del vado existente, pérdida de material en los accesos de aproximación.</t>
  </si>
  <si>
    <t xml:space="preserve">Sustitución de vado existente por uno constituido por uno de tres pasos de alcantarillas de 90, que por la ubicación exixtente entre la quebrada y la carretera el mismo tiene que ser truncado con un largo de 8 metros y de ancho de 5 metros. </t>
  </si>
  <si>
    <t xml:space="preserve">2-09-077 </t>
  </si>
  <si>
    <t xml:space="preserve">Sin Nombre  </t>
  </si>
  <si>
    <t xml:space="preserve">Vado constituido por tres alcantarillas de 60 cm de diámetro con una longitud de 6,5 metros, con una ancho de 4 metros  </t>
  </si>
  <si>
    <t xml:space="preserve">Daños en los rellenos de aproximación, y daños en los cimientos de cabezal de entrada. </t>
  </si>
  <si>
    <t xml:space="preserve">Construcción de un puente de 15 metros de longitud. </t>
  </si>
  <si>
    <t>Alcantarilla de cuadro de longitud de 4.15m, ancho de calzada 3.43m</t>
  </si>
  <si>
    <t>Daño estructural en los bastiones y perdida de material en la superficie de ruedo.</t>
  </si>
  <si>
    <t xml:space="preserve">Construcción de Puente de 15 metros de longitud </t>
  </si>
  <si>
    <t>2-09-017</t>
  </si>
  <si>
    <t xml:space="preserve">Quebra Aguacate </t>
  </si>
  <si>
    <t>Alcantarillas de 60 cm de diámetro, y largo de 130 metros.</t>
  </si>
  <si>
    <t>Por esa Quebrada desemboca el  70% de las aguas del casco urbano de Orotina, debido a la tormenta  hubo un aumento en la cantidad de agua ampliando el cauce y provocando la socavación de varias tapias de las casas parelelas  a la quebrada,</t>
  </si>
  <si>
    <t xml:space="preserve">Es necesario canalizar las aguas para que soporte una capacidad como minimo de 2 m2 de sección trasvesal  y proteger las propiedades continuas . </t>
  </si>
  <si>
    <t>2-11-035</t>
  </si>
  <si>
    <t>Desague pluvial</t>
  </si>
  <si>
    <t>Alcantarilla 24"</t>
  </si>
  <si>
    <t>Alcantarillas obstruidas sin pendiente para el desfogue</t>
  </si>
  <si>
    <t>Colocacion de alcantarillas</t>
  </si>
  <si>
    <t>DESLIZAMIENTO</t>
  </si>
  <si>
    <t>1KM</t>
  </si>
  <si>
    <t>Material como escombros</t>
  </si>
  <si>
    <t>Limpieza</t>
  </si>
  <si>
    <t xml:space="preserve">Rio Turrubares </t>
  </si>
  <si>
    <t xml:space="preserve">Tuberia de 8 pulgadas y 6 pulgadas de 170 metros lineales. </t>
  </si>
  <si>
    <t>Debido al fenómeno de la tormenta Nate, se produjo una avenía máxima del rio Turrubares, en el cual existe un puente colgante que cruza la tubería principal de agua potable que abastece al 50% del cantón de Orotina,aproximadamente 12 000 personas. Dicha avenía socavo una de las pilas del puente por lo que se ve amenazado toda la estructura que soporta la tubería.</t>
  </si>
  <si>
    <t xml:space="preserve">Se requiere realizar la protección de los bastiones de la estructura que soporta la tuberia, mediante: colocación de 350 m3 de Piedra Bruta, 150 M3 de concreto, 160 horas de excavadora. </t>
  </si>
  <si>
    <t>Barrio San Martín</t>
  </si>
  <si>
    <t>Quebrada San Lucas</t>
  </si>
  <si>
    <t>Calle El Bambú (2-06-051)</t>
  </si>
  <si>
    <t>5 metros</t>
  </si>
  <si>
    <t>Socavación a la Orilla de la Quebrada</t>
  </si>
  <si>
    <t>Diseño y Construcción de Muro de Gaviones</t>
  </si>
  <si>
    <t>35 metros</t>
  </si>
  <si>
    <t>Calle Carranza</t>
  </si>
  <si>
    <t>Calle Carranza (2-06-234)</t>
  </si>
  <si>
    <t>Diseño y Construcción de Muro de Gaviones y Alcantarillado</t>
  </si>
  <si>
    <t>Tres Marías (Sector Oeste)</t>
  </si>
  <si>
    <t>Calle a Pilas - Tres Marías (2-06-028)</t>
  </si>
  <si>
    <t>80 metros</t>
  </si>
  <si>
    <t>Derrumbe sobre la Vía Publica, talud inestable</t>
  </si>
  <si>
    <t>Calle Valverde (2-06-008)</t>
  </si>
  <si>
    <t>Socavación del Talud por efecto de la erosión del Agua</t>
  </si>
  <si>
    <t>Calle Los Morados</t>
  </si>
  <si>
    <t>Calle Los Morados (2-06-080</t>
  </si>
  <si>
    <t>70 metros</t>
  </si>
  <si>
    <t>Calle Los Alfaro</t>
  </si>
  <si>
    <t>Calle Los Alfaro (2-06-002)</t>
  </si>
  <si>
    <t>20 metros</t>
  </si>
  <si>
    <t>Calle Interna Cerro Espíritu Santo</t>
  </si>
  <si>
    <t>15 metros</t>
  </si>
  <si>
    <t>Colapso de Talud. Existe una coro de Falla Importante</t>
  </si>
  <si>
    <t>Peñas Blancas (Concejo de Distrito)</t>
  </si>
  <si>
    <t>La Paulina</t>
  </si>
  <si>
    <t>C4-04-016</t>
  </si>
  <si>
    <t>Puente de 6 m colapsado</t>
  </si>
  <si>
    <t>Colapso total de la estrucctura existente</t>
  </si>
  <si>
    <t xml:space="preserve">Construcciòn de puente nuevo luz 18 m </t>
  </si>
  <si>
    <t>SANTA BÁRBARA</t>
  </si>
  <si>
    <t>Lepanto (Concejo de Distrito)</t>
  </si>
  <si>
    <t>Paquera (Concejo de Distrito)</t>
  </si>
  <si>
    <t>Monteverde (Concejo de Distrito)</t>
  </si>
  <si>
    <t>Cóbano (Concejo de Distrito)</t>
  </si>
  <si>
    <t>02-Alajuela</t>
  </si>
  <si>
    <t>PUNTARENAS -01</t>
  </si>
  <si>
    <t>ARANCIBIA</t>
  </si>
  <si>
    <t>Corazón de Jesús (Ojo de Agua)</t>
  </si>
  <si>
    <t>6-01-047</t>
  </si>
  <si>
    <t>Deslizamiento de taludes, deformaciones de la superficie de ruedo, colapso de pasos de alcantarilla, volcamiento de cabezales, obstrucción de paso de agua en cunetas y pérdida de superficie de ruedo de alcantarilla de cuadro (precio de pérdida incluye alcantarilla de cuadro),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</si>
  <si>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horas de retroexcavador cargador para construcción de muro de gaviones (40 canastas aproximadamente),   no incluye puente (sustitución de alcantarilla de cuadro)</t>
  </si>
  <si>
    <t>6-01-070</t>
  </si>
  <si>
    <t>Deslizamiento de taludes, deformaciones de la superficie de ruedo, colapso de pasos de alcantarilla, volcamiento de cabezales, obstrucción de paso de agua en cunetas, estrechamiento de camino, gran cantidad de grietas en taludes que propician vulnerabilidad ante deslizamientos, así como comunidad incomunicada</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</si>
  <si>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t>
  </si>
  <si>
    <t>6-01-025</t>
  </si>
  <si>
    <t>Colapso de los sistemas de evacuación pluvial (cunetas, tubos de alcantarilla y alcantarillas de cuadro),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</si>
  <si>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Reacondicionamiento de calzada, limpieza y conformación de cunetas; extracción, trituración, carga, acarreo, colocación, conformación y compactación de material en superficie de ruedo, suministro y colocación de pasos de alcantarilla, construcción de cabezales, horas máquina de excavadora y vagoneta para estabilización de taludes (corte y acarreo), así como métodos de estabilización más técnicos (muro de gaviones, mantas de control de erosión, plantas con raíces largas, entre otros)</t>
  </si>
  <si>
    <t>ACAPULCO</t>
  </si>
  <si>
    <t>Aranjuecito</t>
  </si>
  <si>
    <t>6-01-040</t>
  </si>
  <si>
    <t>Colapso de los sistemas de evacuación pluvial (cunetas y pasos de alcantarilla), pérdida total de camino (deformaciones y zanjas en la superficie de ruedo), derrumbes y deslizamientos en la totalidad del camino (se cuenta con problemas de inestabilidad de taludes tanto en corte como relleno en ambos margenes del mismo), así como comunidades incomunicadas</t>
  </si>
  <si>
    <t>MANZANILLO</t>
  </si>
  <si>
    <t>Costa de Pájaros</t>
  </si>
  <si>
    <t>6-01-129</t>
  </si>
  <si>
    <t>Colapso de los sistemas de evacuación pluvial (cunetas y pasos de alcantarilla), pérdida parcial de camino (deformaciones y zanjas en la superficie de ruedo)</t>
  </si>
  <si>
    <t>Reacondicionamiento de calzada, limpieza y conformación de cunetas; extracción, trituración, carga, acarreo, colocación, conformación y compactación de material en superficie de ruedo, suministro y colocación de pasos de alcantarilla, así como construcción de cabezales</t>
  </si>
  <si>
    <t>ISLA CHIRA</t>
  </si>
  <si>
    <t>Calles Urbanas de la Isla</t>
  </si>
  <si>
    <t>6-01-062</t>
  </si>
  <si>
    <t>Colapso de los sistemas de evacuación pluvial (cunetas y tubos de alcantarilla), pérdida parcial de camino (deformaciones y zanjas en la superficie de ruedo) y derrumbes en el mismo</t>
  </si>
  <si>
    <t>Reacondicionamiento de calzada, limpieza y conformación de cunetas; extracción, carga, acarreo, colocación, conformación y compactación de material en superficie de ruedo, suministro y colocación de pasos de alcantarilla, construcción de cabezales y estabilización de taludes</t>
  </si>
  <si>
    <t>BARRANCA</t>
  </si>
  <si>
    <t>San Miguelito</t>
  </si>
  <si>
    <t>6-01-050</t>
  </si>
  <si>
    <t>Colapso de los sistemas de evacuación pluvial (cunetas y pasos  de alcantarilla) y pérdida parcial de camino (deformaciones y zanjas en la superficie de ruedo)</t>
  </si>
  <si>
    <t>CHOMES</t>
  </si>
  <si>
    <t>La Pita</t>
  </si>
  <si>
    <t>6-01-174</t>
  </si>
  <si>
    <t>Colapso de los sistemas de evacuación pluvial (cunetas y pasos de alcantarilla), pérdida parcial de camino (deformaciones y zanjas en la superficie de ruedo), así como corte de un tramo del mismo por ampliación en el cauce del río Lagarto</t>
  </si>
  <si>
    <t>Reacondicionamiento de calzada, limpieza y conformación de cunetas; extracción, trituración, carga, acarreo, colocación, conformación y compactación de material en superficie de ruedo, suministro y colocación de pasos de alcantarilla, así como construcción de cabezales, confección de dique en camino afectado por crecida de río (protección de camino)</t>
  </si>
  <si>
    <t>San Joaquín</t>
  </si>
  <si>
    <t>En trámite de inventario</t>
  </si>
  <si>
    <t>Deformaciones en la superficie de ruedo, obstrucción en los sistemas de evacuación pluvial (cunetas), colapso de alcantarillas y cabezales</t>
  </si>
  <si>
    <t>CHACARITA</t>
  </si>
  <si>
    <t>Ciudadela 20 de Noviembre</t>
  </si>
  <si>
    <t>6-01-068</t>
  </si>
  <si>
    <t>Deformaciones en superficie de ruedo y colapso de los sistemas de evacuación pluvial (producto del desbordamiento de canales naturales), así como obstrucción de pasos de alcantarilla y vuelco de cabezales</t>
  </si>
  <si>
    <t>Reacondicionamiento de calzada, limpieza y conformación de canales y cunetas; extracción, trituración, carga, acarreo, colocación, conformación y compactación de material en superficie de ruedo, suministro y colocación de pasos de alcantarilla, así como construcción de cabezales</t>
  </si>
  <si>
    <t>PUNTARENAS</t>
  </si>
  <si>
    <t>El Cocal</t>
  </si>
  <si>
    <t>6-01-076</t>
  </si>
  <si>
    <t xml:space="preserve">6-01-126 </t>
  </si>
  <si>
    <t>GUACIMAL</t>
  </si>
  <si>
    <t xml:space="preserve">6-01-132 </t>
  </si>
  <si>
    <t>Deslizamiento de taludes y graves problemas de erosión, deformaciones de la superficie de ruedo, colapso de pasos de alcantarilla, volcamiento de cabezales y obstrucción de paso de agua en cunetas</t>
  </si>
  <si>
    <t>Reacondicionamiento de calzada, limpieza y conformación de cunetas; extracción, trituración, carga, acarreo, colocación, conformación y compactación de material en superficie de ruedo, suministro y colocación de pasos de alcantarilla, construcción de cabezales, confección de muros de gaviones, corte de taludes y construcción de contracunetas</t>
  </si>
  <si>
    <t xml:space="preserve"> 6-01-134 </t>
  </si>
  <si>
    <t>Reacondicionamiento de calzada, limpieza y conformación de cunetas; extracción, trituración, carga, acarreo, colocación, conformación y compactación de material en superficie de ruedo, suministro y colocación de pasos de alcantarilla y construcción de cabezales, corte de taludes y construcción de contracunetas</t>
  </si>
  <si>
    <t>EL ROBLE</t>
  </si>
  <si>
    <t>6-01-467</t>
  </si>
  <si>
    <t>6-01-026</t>
  </si>
  <si>
    <t>El Huerto</t>
  </si>
  <si>
    <t>6-01-085</t>
  </si>
  <si>
    <t>6-01-010</t>
  </si>
  <si>
    <t>Deformaciones en superficie de ruedo y lavado de material en calzada</t>
  </si>
  <si>
    <t>Extracción, trituración, carga, acarreo, colocación, conformación y compactación</t>
  </si>
  <si>
    <t>Ojo de Agua (Las Lagunas)</t>
  </si>
  <si>
    <t>6-01-022</t>
  </si>
  <si>
    <t>Deformaciones en superficie de ruedo y lavado de material de calzada</t>
  </si>
  <si>
    <t>Ojo de Agua (Río Aranjuez)</t>
  </si>
  <si>
    <t>6-01-028</t>
  </si>
  <si>
    <t>San Miguel (El Llano)</t>
  </si>
  <si>
    <t>6-01-029</t>
  </si>
  <si>
    <t>San Miguel (Pretiles)</t>
  </si>
  <si>
    <t>6-01-030</t>
  </si>
  <si>
    <t>Corazón de Jesús (Rincón)</t>
  </si>
  <si>
    <t>6-01-031</t>
  </si>
  <si>
    <t>6-01-039</t>
  </si>
  <si>
    <t>Corazón de Jesús (San Rafael)</t>
  </si>
  <si>
    <t>6-01-057</t>
  </si>
  <si>
    <t>Fray Casiano</t>
  </si>
  <si>
    <t>6-01-058</t>
  </si>
  <si>
    <t>Juanito Mora</t>
  </si>
  <si>
    <t>6-01-065</t>
  </si>
  <si>
    <t>El Embudo</t>
  </si>
  <si>
    <t>6-01-084</t>
  </si>
  <si>
    <t>Chacarita II</t>
  </si>
  <si>
    <t>6-01-088</t>
  </si>
  <si>
    <t>6-01-098</t>
  </si>
  <si>
    <t>Los Almendros</t>
  </si>
  <si>
    <t>6-01-108</t>
  </si>
  <si>
    <t>Palmas del Río</t>
  </si>
  <si>
    <t>6-01-109</t>
  </si>
  <si>
    <t>Boulevard del Sol</t>
  </si>
  <si>
    <t>6-01-110</t>
  </si>
  <si>
    <t>Manuel Mora</t>
  </si>
  <si>
    <t>6-01-111</t>
  </si>
  <si>
    <t>Libertad 81</t>
  </si>
  <si>
    <t>6-01-116</t>
  </si>
  <si>
    <t>El Roble Centro (CTP y MEP)</t>
  </si>
  <si>
    <t>6-01-119</t>
  </si>
  <si>
    <t>Carmen Lyra</t>
  </si>
  <si>
    <t>6-01-125</t>
  </si>
  <si>
    <t>6-01-127</t>
  </si>
  <si>
    <t>Bello Horizonte</t>
  </si>
  <si>
    <t>6-01-133</t>
  </si>
  <si>
    <t>Bajo Caliente (Claraboyas)</t>
  </si>
  <si>
    <t>6-01-135</t>
  </si>
  <si>
    <t>PITAHAYA</t>
  </si>
  <si>
    <t>Aranjuez</t>
  </si>
  <si>
    <t>6-01-136</t>
  </si>
  <si>
    <t>Muelle Manzanillo</t>
  </si>
  <si>
    <t>6-01-137</t>
  </si>
  <si>
    <t>Abangaritos</t>
  </si>
  <si>
    <t>6-01-138</t>
  </si>
  <si>
    <t>IDA Queroga</t>
  </si>
  <si>
    <t>6-01-144</t>
  </si>
  <si>
    <t>Cocorocas</t>
  </si>
  <si>
    <t>6-01-145</t>
  </si>
  <si>
    <t>Punta Morales</t>
  </si>
  <si>
    <t>6-01-146</t>
  </si>
  <si>
    <t>JarquÍn</t>
  </si>
  <si>
    <t>6-01-148</t>
  </si>
  <si>
    <t>6-01-149</t>
  </si>
  <si>
    <t>Claraboyas</t>
  </si>
  <si>
    <t>6-01-150</t>
  </si>
  <si>
    <t>Sardinal (Corazón de Jesús)</t>
  </si>
  <si>
    <t>6-01-151</t>
  </si>
  <si>
    <t>Sardinal Centro</t>
  </si>
  <si>
    <t>6-01-152</t>
  </si>
  <si>
    <t>Orocú</t>
  </si>
  <si>
    <t>6-01-153</t>
  </si>
  <si>
    <t>Sardinal (Río Aranjuez)</t>
  </si>
  <si>
    <t>6-01-154</t>
  </si>
  <si>
    <t>Lagarto Sur (Río Lagarto)</t>
  </si>
  <si>
    <t>6-01-155</t>
  </si>
  <si>
    <t>Lagarto Sur Centro</t>
  </si>
  <si>
    <t>6-01-156</t>
  </si>
  <si>
    <t>Gucimal Centro</t>
  </si>
  <si>
    <t>6-01-157</t>
  </si>
  <si>
    <t>6-01-158</t>
  </si>
  <si>
    <t>San Antonio Guacima</t>
  </si>
  <si>
    <t>6-01-159</t>
  </si>
  <si>
    <t>Santa Rosa (La Presa)</t>
  </si>
  <si>
    <t>6-01-160</t>
  </si>
  <si>
    <t>Cerro San Antonio</t>
  </si>
  <si>
    <t>6-01-161</t>
  </si>
  <si>
    <t>6-01-162</t>
  </si>
  <si>
    <t>Formuquisa</t>
  </si>
  <si>
    <t>6-01-163</t>
  </si>
  <si>
    <t>Laberinto</t>
  </si>
  <si>
    <t>6-01-164</t>
  </si>
  <si>
    <t>Pica Pica</t>
  </si>
  <si>
    <t>6-01-165</t>
  </si>
  <si>
    <t>Morales</t>
  </si>
  <si>
    <t>6-01-166</t>
  </si>
  <si>
    <t>Sardinal (Cementerio)</t>
  </si>
  <si>
    <t>6-01-169</t>
  </si>
  <si>
    <t>La Estrella (Río Lagarto)</t>
  </si>
  <si>
    <t>6-01-170</t>
  </si>
  <si>
    <t>La Estrella (Los Ángeles)</t>
  </si>
  <si>
    <t>6-01-171</t>
  </si>
  <si>
    <t>Morales (ENT.N.601)</t>
  </si>
  <si>
    <t>6-01-172</t>
  </si>
  <si>
    <t>Morales (ENT.N.602)</t>
  </si>
  <si>
    <t>6-01-177</t>
  </si>
  <si>
    <t>Sarmientos (ENT.C.174)</t>
  </si>
  <si>
    <t>6-01-178</t>
  </si>
  <si>
    <t>Sarmientos (ENT.C.178)</t>
  </si>
  <si>
    <t>6-01-179</t>
  </si>
  <si>
    <t>Arreo II</t>
  </si>
  <si>
    <t>6-01-182</t>
  </si>
  <si>
    <t>Arreo (Caribe-Chomes)</t>
  </si>
  <si>
    <t>6-01-184</t>
  </si>
  <si>
    <t>Cinco Estrellas</t>
  </si>
  <si>
    <t>6-01-463</t>
  </si>
  <si>
    <t>Barranca Centro</t>
  </si>
  <si>
    <t>6-01-464</t>
  </si>
  <si>
    <t>6-01-465</t>
  </si>
  <si>
    <t>Riojalandia</t>
  </si>
  <si>
    <t>6-01-466</t>
  </si>
  <si>
    <t>Aranjuez Centro</t>
  </si>
  <si>
    <t>6-01-474</t>
  </si>
  <si>
    <t>ESPARZA -02</t>
  </si>
  <si>
    <t>06 Caldera</t>
  </si>
  <si>
    <t>Villa Nueva y Cambalache</t>
  </si>
  <si>
    <t>8 km</t>
  </si>
  <si>
    <t xml:space="preserve">Las quebradas desbordadas arrastraron escombros, se requiere mejorar la evacuación pluvial, así como limpieza de deslizamientos presentes en algunas zonas que imposibilitan el tránsito, limpieza  para evitar que el desbordamiento de las mismas continúe afectando las viviendas cercanas que fueron llenadas de agua y barro. </t>
  </si>
  <si>
    <t>Limpieza cauces y materiales en la vías públicas, limpieza de cunetas sedimentadas y conformación de la superficie de ruedo</t>
  </si>
  <si>
    <t>Roca Carballo y Caldera</t>
  </si>
  <si>
    <t>El agua proveniente de la Roca Carballo sedimento un cauce seco por donde discurrían las guas provocando que las mismas inundaran algunas casas del sector de  Caldera debiendo limpiarse para evitar nuevos problemas,  así como sectores cercanos a la plaza del lugar que contigua con aguas estancadas.</t>
  </si>
  <si>
    <t>Limpieza de deslizamientos sobre vías</t>
  </si>
  <si>
    <t>Camino Tivives</t>
  </si>
  <si>
    <t>6,400 km</t>
  </si>
  <si>
    <t xml:space="preserve">Limpieza de alcantarillas colapsadas por material, así como cunetas y cauces, que deben ser limpiados para evitar que continúen generando inconvenientes </t>
  </si>
  <si>
    <t>Cauces y alcantarillas colapsadas, limpieza de cunetas sedimentadas y conformación de la superficie de ruedo</t>
  </si>
  <si>
    <t>05 San Jerónimo</t>
  </si>
  <si>
    <t>Sabana Bonita</t>
  </si>
  <si>
    <t>Se presentaron deslizamientos que obstaculizaron los encauzamientos, provocando daños en la vía. Se desbordaron causes que provocaron daños en la vía.</t>
  </si>
  <si>
    <t>Limpieza deslizamiento, cauces y materiales en la vía pública, limpieza de cunetas sedimentadas, conformación y relastrado de la superficie de ruedo</t>
  </si>
  <si>
    <t>01 Espíritu Santo</t>
  </si>
  <si>
    <t>Mojoncito</t>
  </si>
  <si>
    <t>Se presentaron desbordamiento de los encauzamientos, ocasionando daños en la superficie de ruedo y se presenta encauzamientos sedimentados.</t>
  </si>
  <si>
    <t>Limpieza de cunetas, conformación y relastrado de los caminos.</t>
  </si>
  <si>
    <t>BUENOS AIRES -03</t>
  </si>
  <si>
    <t>Biolley</t>
  </si>
  <si>
    <t>La Puna</t>
  </si>
  <si>
    <t>6-03-048</t>
  </si>
  <si>
    <t>Deterioro de Calzada, obstrucción de cunetas y pasos de alcantarillas</t>
  </si>
  <si>
    <t>Limpieza y Conformación de Cunetas y espaldón, Conformación de superficie de ruedo. Colocación de material granular. Colocacion de Pasos de Alcantarilla y construccion de cabezales</t>
  </si>
  <si>
    <t>6-03-286</t>
  </si>
  <si>
    <t>6-03-051</t>
  </si>
  <si>
    <t>Altamira</t>
  </si>
  <si>
    <t>6-03-037</t>
  </si>
  <si>
    <t>6-03-027</t>
  </si>
  <si>
    <t>6-03-275</t>
  </si>
  <si>
    <t>Bajo Sabalo</t>
  </si>
  <si>
    <t>6-03-011</t>
  </si>
  <si>
    <t>6-03-257</t>
  </si>
  <si>
    <t>6-03-282</t>
  </si>
  <si>
    <t>Roblito</t>
  </si>
  <si>
    <t>6-03-288</t>
  </si>
  <si>
    <t>Alto Sabalo</t>
  </si>
  <si>
    <t>6-03-256</t>
  </si>
  <si>
    <t>Changuena</t>
  </si>
  <si>
    <t>6-03-029</t>
  </si>
  <si>
    <t>6-03-066</t>
  </si>
  <si>
    <t>6-03-012</t>
  </si>
  <si>
    <t>Hundimientos en vía. Deterioro de Calzada, obstrucción de cunetas y pasos de alcantarillas</t>
  </si>
  <si>
    <t>6-03-022</t>
  </si>
  <si>
    <t>Cacique</t>
  </si>
  <si>
    <t>6-03-047</t>
  </si>
  <si>
    <t>6-03-375</t>
  </si>
  <si>
    <t>Mamey</t>
  </si>
  <si>
    <t>6-03-378</t>
  </si>
  <si>
    <t>6-03-379</t>
  </si>
  <si>
    <t>6-03-068</t>
  </si>
  <si>
    <t>La Bonita</t>
  </si>
  <si>
    <t>6-03-081</t>
  </si>
  <si>
    <t>6-03-050</t>
  </si>
  <si>
    <t>6-03-009</t>
  </si>
  <si>
    <t>Derrumbes en la vía. Deterioro de Calzada, obstrucción de cunetas y pasos de alcantarillas</t>
  </si>
  <si>
    <t>6-03-004</t>
  </si>
  <si>
    <t>Rancho Amu</t>
  </si>
  <si>
    <t>6-03-223</t>
  </si>
  <si>
    <t>6-03-061</t>
  </si>
  <si>
    <t>Bolas</t>
  </si>
  <si>
    <t>6-03-021</t>
  </si>
  <si>
    <t>Cabagra</t>
  </si>
  <si>
    <t>6-03-063</t>
  </si>
  <si>
    <t>6-03-337</t>
  </si>
  <si>
    <t>6-03-342</t>
  </si>
  <si>
    <t>6-03-361</t>
  </si>
  <si>
    <t>6-03-341</t>
  </si>
  <si>
    <t>6-03-332</t>
  </si>
  <si>
    <t>Yuavin</t>
  </si>
  <si>
    <t>6-03-353</t>
  </si>
  <si>
    <t>6-03-359</t>
  </si>
  <si>
    <t>6-03-008</t>
  </si>
  <si>
    <t>Santa Eduvigues</t>
  </si>
  <si>
    <t>6-03-005</t>
  </si>
  <si>
    <t>6-03-343</t>
  </si>
  <si>
    <t>6-03-344</t>
  </si>
  <si>
    <t>Javillos</t>
  </si>
  <si>
    <t>6-03-070</t>
  </si>
  <si>
    <t>Alto Guacimo</t>
  </si>
  <si>
    <t>6-03-043</t>
  </si>
  <si>
    <t>6-03-042</t>
  </si>
  <si>
    <t>Montelimar</t>
  </si>
  <si>
    <t>6-03-234</t>
  </si>
  <si>
    <t>Boca Limon</t>
  </si>
  <si>
    <t>6-03-238</t>
  </si>
  <si>
    <t>Terraba</t>
  </si>
  <si>
    <t>6-03-239</t>
  </si>
  <si>
    <t>6-03-235</t>
  </si>
  <si>
    <t>6-03-038</t>
  </si>
  <si>
    <t>6-03-002</t>
  </si>
  <si>
    <t>6-03-080</t>
  </si>
  <si>
    <t>Santa Maria</t>
  </si>
  <si>
    <t>6-03-362</t>
  </si>
  <si>
    <t>Olan</t>
  </si>
  <si>
    <t>6-03-041</t>
  </si>
  <si>
    <t>Salitre</t>
  </si>
  <si>
    <t>6-03-049</t>
  </si>
  <si>
    <t>Rio Azul</t>
  </si>
  <si>
    <t>6-03-368</t>
  </si>
  <si>
    <t>6-03-369</t>
  </si>
  <si>
    <t>6-03-026</t>
  </si>
  <si>
    <t>Calderon</t>
  </si>
  <si>
    <t>6-03-007</t>
  </si>
  <si>
    <t>Ceibo</t>
  </si>
  <si>
    <t>6-03-173</t>
  </si>
  <si>
    <t>6-03-364</t>
  </si>
  <si>
    <t>Caracol</t>
  </si>
  <si>
    <t>6-03-190</t>
  </si>
  <si>
    <t>6-03-039</t>
  </si>
  <si>
    <t>Parcelas Ceibo</t>
  </si>
  <si>
    <t>6-03-130</t>
  </si>
  <si>
    <t>6-03-195</t>
  </si>
  <si>
    <t>Las Rosas</t>
  </si>
  <si>
    <t>6-03-419</t>
  </si>
  <si>
    <t xml:space="preserve">Villa Hermosa </t>
  </si>
  <si>
    <t>6-03-333</t>
  </si>
  <si>
    <t>Cebror</t>
  </si>
  <si>
    <t>6-03-417</t>
  </si>
  <si>
    <t>6-03-010</t>
  </si>
  <si>
    <t>6-03-033</t>
  </si>
  <si>
    <t>6-03-018</t>
  </si>
  <si>
    <t>6-03-155</t>
  </si>
  <si>
    <t>6-03-035</t>
  </si>
  <si>
    <t>6-03-156</t>
  </si>
  <si>
    <t>Volcán</t>
  </si>
  <si>
    <t>6-03-023</t>
  </si>
  <si>
    <t>Cordoncillo</t>
  </si>
  <si>
    <t>6-03-013</t>
  </si>
  <si>
    <t>Longo Mai</t>
  </si>
  <si>
    <t>6-03-024</t>
  </si>
  <si>
    <t>6-03-118</t>
  </si>
  <si>
    <t>6-03-112</t>
  </si>
  <si>
    <t>Tres Rios</t>
  </si>
  <si>
    <t>6-03-006</t>
  </si>
  <si>
    <t>Convento</t>
  </si>
  <si>
    <t>6-03-059</t>
  </si>
  <si>
    <t>Tarice</t>
  </si>
  <si>
    <t>6-03-094</t>
  </si>
  <si>
    <t>Peje</t>
  </si>
  <si>
    <t>6-03-017</t>
  </si>
  <si>
    <t>6-03-136</t>
  </si>
  <si>
    <t>Volcan</t>
  </si>
  <si>
    <t>6-03-103</t>
  </si>
  <si>
    <t>6-03-137</t>
  </si>
  <si>
    <t>Los Calvo</t>
  </si>
  <si>
    <t>6-03-114</t>
  </si>
  <si>
    <t>6-03-073</t>
  </si>
  <si>
    <t>Pilas</t>
  </si>
  <si>
    <t>6-03-003</t>
  </si>
  <si>
    <t>6-03-034</t>
  </si>
  <si>
    <t>Concepcion</t>
  </si>
  <si>
    <t>6-03-079</t>
  </si>
  <si>
    <t>La Dibujada</t>
  </si>
  <si>
    <t>6-03-001</t>
  </si>
  <si>
    <t>6-03-216</t>
  </si>
  <si>
    <t>La Fortuna</t>
  </si>
  <si>
    <t>6-03-409</t>
  </si>
  <si>
    <t>La Virgen</t>
  </si>
  <si>
    <t>6-03-078</t>
  </si>
  <si>
    <t>6-03-054</t>
  </si>
  <si>
    <t>Bajo Maiz</t>
  </si>
  <si>
    <t>6-03-055</t>
  </si>
  <si>
    <t>El Cedral</t>
  </si>
  <si>
    <t>6-03-053</t>
  </si>
  <si>
    <t>6-03-062</t>
  </si>
  <si>
    <t>6-03-052</t>
  </si>
  <si>
    <t>Mayal</t>
  </si>
  <si>
    <t>6-03-028</t>
  </si>
  <si>
    <t>6-03-015</t>
  </si>
  <si>
    <t>6-03-310</t>
  </si>
  <si>
    <t>Alto Mojon</t>
  </si>
  <si>
    <t>6-03-014</t>
  </si>
  <si>
    <t>6-03-056</t>
  </si>
  <si>
    <t>Shamba</t>
  </si>
  <si>
    <t>6-03-040</t>
  </si>
  <si>
    <t>6-03-076</t>
  </si>
  <si>
    <t>6-03-057</t>
  </si>
  <si>
    <t>6-03-058</t>
  </si>
  <si>
    <t>6-03-044</t>
  </si>
  <si>
    <t>MONTES DE ORO -04</t>
  </si>
  <si>
    <t>Palmital, Laguna, Cabuyal, Zagala Nueva.</t>
  </si>
  <si>
    <t>6-04-002</t>
  </si>
  <si>
    <t>Falla en la comunidad de Laguna, sector que siempre sufre hundimientos, suelo inestable, peligro de derrumbe, deterioro de la superficie de rodamiento (TSB-3).</t>
  </si>
  <si>
    <t>Contratación de una pala retroexcavadora, por 150 hrs, para rellenar, terracear y realizar taludes para estabilizar el paredón y nivelar el hundimiento.</t>
  </si>
  <si>
    <t>Daño en el paso de alcantarilla 1 y 2 del tramo Laguna - Palmital, se descabezaron 3 alcantarillas con su respectivo cabezal a causa de una "avalancha" sobra la vía que dañó la superficie de ruedo y erosiosó el camino, dejandolo angosto y peligra  con cortarse el camino si no se estabiliza adecuadamente con un muro.</t>
  </si>
  <si>
    <t>Construcción de cabezal (2,25m3 concreto), sacos de cemento, Construcción de muro, tipo terramesh, altura 15m, long 75m.</t>
  </si>
  <si>
    <t>Deslizamiento en la carretera, en el tercer paso de alcantarilla entre Laguna y Palmital, producto de una avalancha, dejando inestable el terreno, peligra con cortarse el camino de no estabilizar el suelo con un muro de contensión. La superficie de ruedo fue dañada por completo (TSB-3).</t>
  </si>
  <si>
    <t>Construcción de muro, tipo terramesh o gaviones, altura 8m, long 30m (materiales, mano de obra, maquinaria) aproximadamente.</t>
  </si>
  <si>
    <t>Corte total del camino en el tramo Laguna - Palmital, a causa de un derrumbe, se requiere urgentemente construir un muro para estabilizar el terreno y Caída de cabezal</t>
  </si>
  <si>
    <t>Construcción de muro, tipo terramesh, altura 15m, long 70m aproximadamente.</t>
  </si>
  <si>
    <t>Derrumbe sobre la vía, en la entrada de calle "Los Chacón", material de lastre sobre la vía, peligro de futuros derrumbes, cunetas y zanjas aterradas, cabezales destruidos, superficie de ruedo dañada (TSB-3) y pasos de alcantarillas sin capacidad hidráulica.</t>
  </si>
  <si>
    <t>Contratación de una pala retroexcavadora y una vagoneta, por 150 hrs c/u, para limpiar material, escombros sobre la vía, y estabilizar terreno para evitar que se siga derrumbando. Sustitución de paso de alcantarilla, ampliar capacidad hidráulica, tubos de concreto de 1,82m de diámetro, total 8 tubos (₡385.000 /tubo). Construcción de 2 cabezales (16,2m3 concreto), sacos de cemento</t>
  </si>
  <si>
    <t>Deslizamiento de gran magnitud antes del puente de Río seco, ruta Laguna - Palmital, provocando que parte del camino se socavara, peligrando que el daño siga avanzando y se corte el paso vehicular, superficie de ruedo dañada.</t>
  </si>
  <si>
    <t>Construcción de muro, tipo terramesh, altura 15m, long 70m (aproximadamente).</t>
  </si>
  <si>
    <t>Deslizamientos y derrumbes varios en el tramo Zagala Nueva - Cabuyal - Zagala Vieja, escombros y material sobre la vía, deslizamientos.</t>
  </si>
  <si>
    <t>Contratación de una pala retroexcavadora y una vagoneta, por 200 hrs c/u, para limpiar material, escombros sobre la vía, y estabilizar terreno para evitar que se siga derrumbando, relastrear tramo de al menos 1Km que quedó en muy mal estado a causa de la tormenta (material de lastre).</t>
  </si>
  <si>
    <t>Paso de alcantarilla afectado en zagala Nueva, producto de deslizamiento, se descabezaron las alcantarillas y el cabezal, quedando un paso muy angosto de 3m aproximadamente.</t>
  </si>
  <si>
    <t xml:space="preserve"> Construcción de cabezal en concreto y construcción de muro de gaviones (20m de largo x 8m de alto) para evitar que continúe la socavación.</t>
  </si>
  <si>
    <t>Daño considerable en toda la superficie de rodamiento del tramo entre Laguna y Palmital (2,8 Km), ya que por el paso de maquinaria, aunado a los derrumbes, deslizamientos y clima adverso han provocado un gran deterioro en el asfaltado de dicho camino.</t>
  </si>
  <si>
    <t>Colocación de carpeta asfáltica, al menos de 5cm de espesor, para sustituir partes dañadas y agrietadas (2,8 Km).</t>
  </si>
  <si>
    <t>Tajo Alto, Velasquez, La Unión, San Buenaventura</t>
  </si>
  <si>
    <t>6-04-005</t>
  </si>
  <si>
    <t>Deslizamiento contiguo a la propiedad del señor Mario Morales en San Buenaventura, la cual produjo socavación de la superficie de ruedo, se descabezó una alcantarilla con su respectivo canezal. La superficie de ruedo asfaltada se vió afectada, quedando a casi solo un carril de ancho.</t>
  </si>
  <si>
    <t>Construcción de muro, tipo terramesh o gavión, altura 9m, long 30m (materiales, maquinaria, mano de obra).Construcción de cabezal (2,25m3 concreto)</t>
  </si>
  <si>
    <t>Deslizamiento paralelo a la vía, ubicado 500m al sur de la propiedad del señor Mario Morales en San Buenaventura, donde el camino se ha reducido a un carril debido a la socavación del terreno y amenaza con avanzar el daño</t>
  </si>
  <si>
    <t>Construcción de muro, tipo terramesh, altura 15m, long 25m (maquinaria, mano de obra, materiales) aproximadamente.</t>
  </si>
  <si>
    <t>Fisuras y grietas de gran tamaño sobre el tramo asfaltado en San Buenaventura, misma que se fisuró y se agrietó gracias a la suavidad de los suelos producto de las lluvias constantes provocadas por la tormenta Nate.</t>
  </si>
  <si>
    <t>Colocación de carpeta asfáltica, al menos de 5cm de espesor, para sustituir partes dañadas y agrietadas (2 Km).</t>
  </si>
  <si>
    <t>San Francisco, Cedral, Ventanas, Palmital</t>
  </si>
  <si>
    <t>6-04-001</t>
  </si>
  <si>
    <t>Derrumbe o "avalancha" sobre la vía, a la altura de la finca "Los Manantiales", dañando el paso de alcantarilla actual, con poca capacidad hidráulica, los cabezales se destruyeron y la superficie de rodamiento quedó severamente dañada.</t>
  </si>
  <si>
    <t>Construcción de 2 cabezales (16,2m3 concreto) y contratación de una pala retroexcavadora, por 70 hrs, para limpiar material en el cauce quebrada, escombros sobre la vía, y estabilizar terreno para evitar que se siga derrumbando y colocar las alcantarillas.</t>
  </si>
  <si>
    <t>Derrumbe o "avalancha" sobre la vía, a la altura de la propiedad del señor Fabio Herrera, dañando el paso de alcantarilla actual, los cabezales se destruyeron y la superficie de rodamiento quedó severamente dañada.</t>
  </si>
  <si>
    <t>Construcción de cabezal (3,3 m3 concreto) y Contratación de una pala retroexcavadora y una vagoneta, por 70 hrs c/u, para limpiar material en el cauce quebrada, escombros sobre la vía, y estabilizar terreno para evitar que se siga derrumbando, además de colocar las alcantarillas.</t>
  </si>
  <si>
    <t>Paso de alcantarilla en la comunidad de Ventanas, sufrió una avalancha sobre este que lo dejó totalmente obstruído y dejando el paso reducido a unos 3m de ancho, la superficie de ruedo se dañó completamente en este paso y los cabezales se desbarrancaron.</t>
  </si>
  <si>
    <t>Construcción de 2 cabezales (16,2m3 concreto) y Contratación de una pala retroexcavadora y una vagoneta, por 70 hrs c/u, para limpiar material en el cauce quebrada, escombros sobre la vía, y estabilizar terreno para evitar que se siga derrumbando.</t>
  </si>
  <si>
    <t>Deslizamiento o corte en el camino, 100m al norte de la entrada al antiguo camino a San Francisco, el camino se vió reduciedo a prácticamente un carril y el daño sigue avanzando con cada lluvia.</t>
  </si>
  <si>
    <r>
      <t>Estudios geológicos y geofísicos, SPT (</t>
    </r>
    <r>
      <rPr>
        <sz val="8"/>
        <color rgb="FF000000"/>
        <rFont val="Arial"/>
        <family val="2"/>
      </rPr>
      <t>$5050), Construcción de muro, tipo terramesh o de gaviones, altura 9m, long 30m aproximadamente (materiales, mano de obra, maquinaria).</t>
    </r>
  </si>
  <si>
    <t>Deslizamiento o corte en el camino, 200m al norte de la propiedad del señor Marcelo Fonseca en Ventanas, el camino se vió reduciedo a prácticamente un carril y el daño sigue avanzando con cada lluvia.</t>
  </si>
  <si>
    <t>Paso de alcantarilla dañado producto de una avalancha o derrumbe, ubicado 500m al Norte de la propiedad del señor Marcelo Fonseca en Ventanas</t>
  </si>
  <si>
    <t>Construcción de cabezal (2,25m3 concreto)</t>
  </si>
  <si>
    <t>La superficie de ruedo de todo el tramo entre San Francisco y Palmital fue muy dañada por el rodamiento de maquinaria, los derrumbes, deslizamientos y las fuertes lluvias, además que al tratarse de un Tratamiento superficial bituminoso, su resistencia a este tipo de inclemencias es poca y su deterioro aumentó considerablemente, es importante mencionar que esta es la ruta principal de nuestro Cantón, donde los productores agropecuarios transportan sus productos y de ellos dependen para subsistir, en total son 12,1 Km</t>
  </si>
  <si>
    <t>Colocación de carpeta asfáltica, al menos de 5cm de espesor, para sustituir partes dañadas y agrietadas (12,11 Km).</t>
  </si>
  <si>
    <t>Calle Los Fonseca</t>
  </si>
  <si>
    <t>6-04-008</t>
  </si>
  <si>
    <t>Corte total del camino (camino de lastre) a causa de un deslizamiento, aproximadamente 150m de camino se derrumbaron, dejando sin acceso a las familias que viven en el lugar y que se dedican a la agricultura y cría de cerdos, productos que no pueden exportar debido a la falta del camino.</t>
  </si>
  <si>
    <t>Contratación de una pala retroexcavadora, por 150 hrs, para limpiar material, realizar taludes y estabilizar terreno para evitar que se siga derrumbando, trazar camino nuevo.</t>
  </si>
  <si>
    <t>Bajo Caliente</t>
  </si>
  <si>
    <t>6-04-003</t>
  </si>
  <si>
    <t>Deslizamiento y hundimiento del camino, exactamente 500m de la entrada del cruce de Bajo Caliente, donde la calle se ha socavado y el suelo se encuentra inestable, con grietas y hundimientos.</t>
  </si>
  <si>
    <t>OSA -05</t>
  </si>
  <si>
    <t>Drake</t>
  </si>
  <si>
    <t>Rincón - El Campo - Banegas - Rancho Quemado - Los Angeles - Agujitas</t>
  </si>
  <si>
    <t>6-05-031</t>
  </si>
  <si>
    <t>Deslizamientos, Agrietamientos, Hundimientos, Daños en superfice de Ruedo (Cárcavasy Pérdida de material granular)</t>
  </si>
  <si>
    <t>Ampliaciones y estabilización de taludes, Conformación de cunetas y salidas de aguas, Conformación de Superficie de Ruedo, Lastrado, Bases estabilizadas, Bancadas con muro de gaviones, Sustituciones.</t>
  </si>
  <si>
    <t>Riyito - Banegas</t>
  </si>
  <si>
    <t>6-05-120</t>
  </si>
  <si>
    <t>Deslizamientos, Daños en superfice de Ruedo (Cárcavasy Pérdida de material granular)</t>
  </si>
  <si>
    <t>Ampliaciones y estabilización de taludes, Conformación de cunetas y salidas de aguas, Conformación de Superficie de Ruedo, Lastrado.</t>
  </si>
  <si>
    <t>La Bijagua</t>
  </si>
  <si>
    <t>6-05-132</t>
  </si>
  <si>
    <t xml:space="preserve">Progreso </t>
  </si>
  <si>
    <t>6-05-127</t>
  </si>
  <si>
    <t>Ampliaciones y estabilización de taludes, Conformación de cunetas y salidas de aguas, Conformación de Superficie de Ruedo, Lastrado, Bases estabilizadas.</t>
  </si>
  <si>
    <t>Los Planes - San Josecito</t>
  </si>
  <si>
    <t>6-05-131</t>
  </si>
  <si>
    <t>Ampliaciones y estabilización de taludes, Conformación de cunetas y salidas de aguas, Conformación de Superficie de Ruedo, Lastrado,Bases estabilizadas.</t>
  </si>
  <si>
    <t>Los Planes</t>
  </si>
  <si>
    <t>6-05-130</t>
  </si>
  <si>
    <t>Los Planes - Playa Caletas</t>
  </si>
  <si>
    <t>6-05-313</t>
  </si>
  <si>
    <t>Reserva Guaymí</t>
  </si>
  <si>
    <t>6-05-330</t>
  </si>
  <si>
    <t>Riyito - Cruce Guaymí</t>
  </si>
  <si>
    <t>6-05-121</t>
  </si>
  <si>
    <t>Finca 18 - Estero Azul</t>
  </si>
  <si>
    <t>6-05-013</t>
  </si>
  <si>
    <t>Conformación de cunetas y salidas de aguas, Conformación de Superficie de Ruedo, Lastrado</t>
  </si>
  <si>
    <t>Alto San Juan- San Juan,Iglesia</t>
  </si>
  <si>
    <t>6-05-022</t>
  </si>
  <si>
    <t>Conformación de cunetas y salidas de aguas, Conformación de Superficie de Ruedo, Lastrado, Bases estabilizadas.</t>
  </si>
  <si>
    <t>Banegas - Finca Toño Espinoza</t>
  </si>
  <si>
    <t>6-05-122</t>
  </si>
  <si>
    <t>Estero Azul - Finc.Maximiliano (Hacienda)</t>
  </si>
  <si>
    <t>6-05-366</t>
  </si>
  <si>
    <t>Sierpe - Sábalo - Estero Ganado</t>
  </si>
  <si>
    <t>6-05-269</t>
  </si>
  <si>
    <t>San Juan - Faro</t>
  </si>
  <si>
    <t>6-05-341</t>
  </si>
  <si>
    <t>Alto San Juan- Alto San Juan</t>
  </si>
  <si>
    <t>6-05-138</t>
  </si>
  <si>
    <t>Miramar - F.Orlando Beita</t>
  </si>
  <si>
    <t>6-05-312</t>
  </si>
  <si>
    <t xml:space="preserve">Amapola </t>
  </si>
  <si>
    <t>6-05-310</t>
  </si>
  <si>
    <t>Entrada la Olla - Fin Lastre</t>
  </si>
  <si>
    <t>6-05-346</t>
  </si>
  <si>
    <t>Calles Urbanas Cuadrantes - Barrio Fidel Martínez</t>
  </si>
  <si>
    <t>6-05-210</t>
  </si>
  <si>
    <t>Calles Urbanas Cuadrantes - Pueblo Nuevo de Sierpe</t>
  </si>
  <si>
    <t>6-05-347</t>
  </si>
  <si>
    <t>Finca Gallera - Arrocera Estero Azul</t>
  </si>
  <si>
    <t>6-05-211</t>
  </si>
  <si>
    <t>Calles Urbanas Cuadrantes - Sierpe</t>
  </si>
  <si>
    <t>6-05-038</t>
  </si>
  <si>
    <t>Puerto Cortés</t>
  </si>
  <si>
    <t>San Buenaventura - Tres Ríos</t>
  </si>
  <si>
    <t>6-05-036</t>
  </si>
  <si>
    <t>Coronado -Tres Ríos</t>
  </si>
  <si>
    <t>6-05-006</t>
  </si>
  <si>
    <t>Basar Abajo - San Rafael</t>
  </si>
  <si>
    <t>6-05-004</t>
  </si>
  <si>
    <t>Balsar Abajo - Muñeco</t>
  </si>
  <si>
    <t>6-05-035</t>
  </si>
  <si>
    <t>Bahía Ballena</t>
  </si>
  <si>
    <t>Uvita - Santo Domingo</t>
  </si>
  <si>
    <t>6-05-016</t>
  </si>
  <si>
    <t>Daños en superfice de Ruedo (Cárcavasy Pérdida de material granular)</t>
  </si>
  <si>
    <t>Uvita - Playa Bahía</t>
  </si>
  <si>
    <t>6-05-027</t>
  </si>
  <si>
    <t>Uvita Cementerio - Agua Buena</t>
  </si>
  <si>
    <t>6-05-028</t>
  </si>
  <si>
    <t>Escaleras - Dominicalito</t>
  </si>
  <si>
    <t>6-05-052</t>
  </si>
  <si>
    <t>Dominical -Dominical Centro</t>
  </si>
  <si>
    <t>6-05-043</t>
  </si>
  <si>
    <t>Dominicalito</t>
  </si>
  <si>
    <t>6-05-034</t>
  </si>
  <si>
    <t>Finca Alajuela - Finca Limón</t>
  </si>
  <si>
    <t>6-05-025</t>
  </si>
  <si>
    <t>Piedras Blancas Calles Urbanas</t>
  </si>
  <si>
    <t>6-05-030</t>
  </si>
  <si>
    <t>Venecia entrada Huacas - Sinai, Iglesia</t>
  </si>
  <si>
    <t>6-05-015</t>
  </si>
  <si>
    <t>Cajón - Progreso</t>
  </si>
  <si>
    <t>6-05-305</t>
  </si>
  <si>
    <t>Deslizamientos, Daños en superfice de Ruedo (Cárcavasy Pérdida de material granular), Socavación en el paso por Quebrada Zapote</t>
  </si>
  <si>
    <t>Puerta del Sol - Paraíso</t>
  </si>
  <si>
    <t>6-05-010</t>
  </si>
  <si>
    <t>Villa Colón - Coquito</t>
  </si>
  <si>
    <t>6-05-177</t>
  </si>
  <si>
    <t>San Francisco ,Tinoco - Paraíso</t>
  </si>
  <si>
    <t>6-05-009</t>
  </si>
  <si>
    <t>Santa Elena - Progreso</t>
  </si>
  <si>
    <t>6-05-303</t>
  </si>
  <si>
    <t>QUEPOS -06</t>
  </si>
  <si>
    <t>Silencio</t>
  </si>
  <si>
    <t>C6-06-025, Desde del entronque de la RN34 hasta la comunidad de Silencio</t>
  </si>
  <si>
    <t>8.5</t>
  </si>
  <si>
    <t>Erosión de la via y perdida de material de la superficie de ruedo</t>
  </si>
  <si>
    <t>Conformación de la via,cuentas y espaldones. Suministro, colocación y compactación de sub base de agregado triturado.Suministro, Colocación y compactación de base de agregado triturado.Colocación pasos de alcantarilla.</t>
  </si>
  <si>
    <t>C6-06-037, Desde la comunidad de Silencio hasta limite cantonal Santo Domingo</t>
  </si>
  <si>
    <t>Deslizamiento, derrumbes, erosión de la via y perdida de material de la superficie de ruedo</t>
  </si>
  <si>
    <t>Portalón</t>
  </si>
  <si>
    <t>C6-06-017, Desde del entronque de la RN34 hasta la comunidad de Portalón</t>
  </si>
  <si>
    <t>2.2</t>
  </si>
  <si>
    <t>Conformación de la via,cuentas y espaldones. Suministro, colocación y compactación de sub base de agregado triturado.Suministro, Colocación y compactación de base de agregado triturado.</t>
  </si>
  <si>
    <t>Dos Bocas</t>
  </si>
  <si>
    <t>C6-06-021, Desde la comunidad de hatillo hasta Dos Bocas</t>
  </si>
  <si>
    <t>Conformación de la via,cuentas y espaldones. Suministro, colocación y compactación de sub base de agregado triturado.Suministro, Colocación y compactación de base de agregado triturado.Colocación pasos de alcantarilla</t>
  </si>
  <si>
    <t>C6-06-131 y C6-06-136, Desde el puente viejo de Hatillo hasta Lagunas</t>
  </si>
  <si>
    <t>La paz</t>
  </si>
  <si>
    <t>C6-06-144, Desde el entronque ruta hacia Santo Domingo hasta La Paz</t>
  </si>
  <si>
    <t>2.7</t>
  </si>
  <si>
    <t>Conformación de la via,cuentas y espaldones. Suministro, colocación y compactación de sub base de agregado triturado.Suministro, Colocación y compactación de base de agregado triturado</t>
  </si>
  <si>
    <t>C6-06-015 y C6-06-159, Desde el entronque camino Silencio hasta San Cristóbal</t>
  </si>
  <si>
    <t>7.3</t>
  </si>
  <si>
    <t>C6-06-023 y C6-06-130, Desde el entronque RN243 hasta las comunidades de Tierras Morenas, Punto Mira y Tres Piedra.</t>
  </si>
  <si>
    <t>Conformación de la via,cuentas y espaldones. Suministro, colocación y compactación de sub base de agregado triturado.Suministro, Colocación y compactación de base de agregado triturado.Colocación pasos de alcantarilla, Reparación de zona con deslizamiento y estabilización de la misma.</t>
  </si>
  <si>
    <t>San Andrés - Las Nubes</t>
  </si>
  <si>
    <t>C6-06-020, Desde el entronque RN34 Matapalo hasta Las Nubes.</t>
  </si>
  <si>
    <t>9.9</t>
  </si>
  <si>
    <t>Sábalo - Marítima</t>
  </si>
  <si>
    <t>C6-06-038, Desde el entronque RN616 Londres hacia la comunidad de Sábalo-Maritima hasta entronque RN34.</t>
  </si>
  <si>
    <t>Deslizamiento, sedimentación en algunos tramos, erosión de la via y perdida de material de la superficie de ruedo</t>
  </si>
  <si>
    <t>Londres - Bijagual</t>
  </si>
  <si>
    <t>C6-06-010, Desde el entronque Londres hasta la comunidad de Bijagual.</t>
  </si>
  <si>
    <t>Asentamiento Savegre</t>
  </si>
  <si>
    <t>C6-06-106 y C6-06-107, Desde la comunidad de Sábalo hasta Asentamiento Savegre.</t>
  </si>
  <si>
    <t>3.6</t>
  </si>
  <si>
    <t>El Negro</t>
  </si>
  <si>
    <t xml:space="preserve">C6-06-011, Desde calle Sábalo-Maritima hasta la comunidad del Negro. </t>
  </si>
  <si>
    <t>Capital</t>
  </si>
  <si>
    <t>C6-06-029, Desde el entronque RN34 hasta Canopy Santuario.</t>
  </si>
  <si>
    <t>4.4</t>
  </si>
  <si>
    <t>C6-06-051, Desde Brisas Nara hasta Buenos Aires.</t>
  </si>
  <si>
    <t>Erosión de la via y perdida de material de la superficie de ruedo.</t>
  </si>
  <si>
    <t>Sábalo - Bijagual</t>
  </si>
  <si>
    <t>C6-06-108, Desde entrada tanque agua de Asentamiento Savegre hasta Bijagual.</t>
  </si>
  <si>
    <t>1.8</t>
  </si>
  <si>
    <t>Deslizamiento, derrumbes, erosión de la via y perdida de material de la superficie de ruedo.</t>
  </si>
  <si>
    <t>Villa Nueva</t>
  </si>
  <si>
    <t>C6-06-009 y C6-06-039, Desde entronque RN616 hasta limite cantonal Esquipulas.</t>
  </si>
  <si>
    <t>6.6</t>
  </si>
  <si>
    <t>Tocorí</t>
  </si>
  <si>
    <t>C6-06-070, Desde cruce Londres hasta Tocori.</t>
  </si>
  <si>
    <t>3.2</t>
  </si>
  <si>
    <t>Asentamiento Naranjito</t>
  </si>
  <si>
    <t>C6-06-045, Desde Entronque RN616 Naranjito hasta Asentamiento Naranjito.</t>
  </si>
  <si>
    <t>Calle Delio Morales</t>
  </si>
  <si>
    <t xml:space="preserve">C6-06-075, Desde Entronque RN616 Naranjito hasta Finca Delio </t>
  </si>
  <si>
    <t>1.2</t>
  </si>
  <si>
    <t>C6-06-057, C6-06-044 y C6-06-005 Desde la Gallega, Santa Juana hasta puente San Isidro</t>
  </si>
  <si>
    <t>3.3</t>
  </si>
  <si>
    <t>Paquita</t>
  </si>
  <si>
    <t>C6-06-145, C6-06-146, C6-06-068, C6-06-147, C6-06-067, C6-06-208 y C6-06-148, todo el sector de Paquita</t>
  </si>
  <si>
    <t>3.5</t>
  </si>
  <si>
    <t>Pueblo Real</t>
  </si>
  <si>
    <t>C6-06-002, Desde el entronque RN34 hasta Hotel Pueblo Real.</t>
  </si>
  <si>
    <t>1.5</t>
  </si>
  <si>
    <t>C6-06-086, Desde entronque RN34 hasta comunidad de San Martin.</t>
  </si>
  <si>
    <t>0.7</t>
  </si>
  <si>
    <t xml:space="preserve">Conformación de la via,cuentas y espaldones. Suministro, colocación y compactación de sub base de agregado triturado.Suministro, Colocación y compactación de base de agregado triturado. Suministro, Colocación y compactación de carpeta asfaltica, Colocación pasos de alcantarilla </t>
  </si>
  <si>
    <t>La Inmaculada-La Pascua</t>
  </si>
  <si>
    <t>C6-06-201, C6-06-084, C6-06-085, C6-06-188, C6-06-200 y C6-06-189, Todo el sector de La Inmaculada-La Pascua.</t>
  </si>
  <si>
    <t>5.6</t>
  </si>
  <si>
    <t>Cerros</t>
  </si>
  <si>
    <t>C6-06-001, Desde el entronque RN34 hasta limite cantonal.</t>
  </si>
  <si>
    <t>12.5</t>
  </si>
  <si>
    <t>Erosión de la vía y perdida de material de la superficie de ruedo.</t>
  </si>
  <si>
    <t>C6-06-064, Desde entronque RN34 hasta puente sobre río Pirris.</t>
  </si>
  <si>
    <t>Las Parcelas de Cerritos</t>
  </si>
  <si>
    <t>C6-06-061 y C6-06-062, Desde La Gallega hasta las parcelas de Cerritos.</t>
  </si>
  <si>
    <t>GOLFITO -07</t>
  </si>
  <si>
    <t>Puerto Jimenez</t>
  </si>
  <si>
    <t>Ñeque</t>
  </si>
  <si>
    <t>Entrada a Ñeque - Playa ñeque</t>
  </si>
  <si>
    <t>Deterioro de Superficie de Ruedo</t>
  </si>
  <si>
    <t>Conformación de cunetas y espaldones, reacondicionamiento de la calzada.</t>
  </si>
  <si>
    <t>La Balsa 3</t>
  </si>
  <si>
    <t>Finca Thelma - Miramar</t>
  </si>
  <si>
    <t>Conformación de cunetas y espaldones, reacondicionamiento de la calzada, colocación de material granular.</t>
  </si>
  <si>
    <t>Sandalo</t>
  </si>
  <si>
    <t>Sandalo - Gallardo</t>
  </si>
  <si>
    <t>Caserio Rio Nuevo - final de calle</t>
  </si>
  <si>
    <t xml:space="preserve">Lavado de superficie de ruedo y arrastre de material con carcavas visibles </t>
  </si>
  <si>
    <t>Colibri</t>
  </si>
  <si>
    <t>La Palma -  Playa Colibri</t>
  </si>
  <si>
    <t>Guaycara</t>
  </si>
  <si>
    <t>Viquillas 1 y 4</t>
  </si>
  <si>
    <t>Vivero - Rio Sorpresa</t>
  </si>
  <si>
    <t>Conformación de cunetas y espaldones, reacondicionamiento de la calzada, colocación de material granular, colocacion de alcant.</t>
  </si>
  <si>
    <t>Bambel 1</t>
  </si>
  <si>
    <t>Ent.Bambel 1 - Puente Rio Coto 63</t>
  </si>
  <si>
    <t>Pavon</t>
  </si>
  <si>
    <t>La Yerba</t>
  </si>
  <si>
    <t>Entrada a la Yerba -Ent.C.209) Alto Conté</t>
  </si>
  <si>
    <t>(Ent.C.060)Entrada a Camote -Fin del camino Poste</t>
  </si>
  <si>
    <t>Vista Hermosa</t>
  </si>
  <si>
    <t xml:space="preserve">Río Claro de Pavones -Vista Hermosa </t>
  </si>
  <si>
    <t>COTO BRUS -08</t>
  </si>
  <si>
    <t>Agua Buena</t>
  </si>
  <si>
    <t>Copa Buena - Pueblo Nuevo - Barranquilla, Codigo: 6-08-059</t>
  </si>
  <si>
    <t xml:space="preserve">Producto de las constantes precipitaciones ocasionadas por la tormenta Nate, se produce gran deterioro de la superficie de ruedo, como perdida de material desnudamiento en algunos tramos, además de hundimientos y deslizamientos  que afectan el transitar de vehículos y peatones. </t>
  </si>
  <si>
    <t>Rehabilitación de la superficie de ruedo, colocación de material de lastre, remoción de derrumbes, ampliación de la superficie de ruedo.</t>
  </si>
  <si>
    <t>Guttierez Braun</t>
  </si>
  <si>
    <t>Brisas - Alpha - Rio Negro</t>
  </si>
  <si>
    <t>Brisas - Alpha - Rio Negro, Código: 6-08-121.</t>
  </si>
  <si>
    <t xml:space="preserve">Se presentan gran  tramos con perdida de  material de lastre, producto de las constantes lluvias producidas por la tormenta Nate, además de deslizamientos y hundimientos  en la vía. </t>
  </si>
  <si>
    <t>Siete Colinas</t>
  </si>
  <si>
    <t>Siete Colinas- Fila Pinar Código: 6-08-195</t>
  </si>
  <si>
    <t xml:space="preserve">Se produce gran afectación en la superficie de ruedo, producto de la gran humedad que presenta el suelo, lo cual ocasiona que le suelo se vuelva inestable y se produzcan deslizamientos en la vía, así como que el material de lastre desaparezca. 
</t>
  </si>
  <si>
    <t>Fila Tigre - Palmira- Parque Nacional la Amistad Codigo: 6-08-415</t>
  </si>
  <si>
    <t xml:space="preserve">Se presenta perdida de material en gran parte de la calle, además hundimientos y deslizamientos   en la vía, producto de la saturación de los suelos. </t>
  </si>
  <si>
    <t>Santa Rosa - San Antonio, Código: 6-08-063</t>
  </si>
  <si>
    <t>Limoncito</t>
  </si>
  <si>
    <t>Unión</t>
  </si>
  <si>
    <t>La Union-  Brumalis</t>
  </si>
  <si>
    <t>PARRITA -09</t>
  </si>
  <si>
    <t>CORREDORES -10</t>
  </si>
  <si>
    <t>Caracol Norte</t>
  </si>
  <si>
    <t>C-610-001</t>
  </si>
  <si>
    <t xml:space="preserve">Deterioro superficie de ruedo y obstrucción de cunetas </t>
  </si>
  <si>
    <t xml:space="preserve">Limpieza y Conformación de Cunetas y espaldón, Reacondicionamiento de calzada. Colocación de material granular. </t>
  </si>
  <si>
    <t>Bajo de Los Indios</t>
  </si>
  <si>
    <t>C-610-002</t>
  </si>
  <si>
    <t>C-610-004</t>
  </si>
  <si>
    <t>Abrojo-Villa Roma</t>
  </si>
  <si>
    <t>C-610-005</t>
  </si>
  <si>
    <t>Corredor- Canoas</t>
  </si>
  <si>
    <t>C-610-006</t>
  </si>
  <si>
    <t>Las Pangas</t>
  </si>
  <si>
    <t>C-610-007</t>
  </si>
  <si>
    <t>Laurel</t>
  </si>
  <si>
    <t>Puesto González</t>
  </si>
  <si>
    <t>C-610-008</t>
  </si>
  <si>
    <t>C-610-009</t>
  </si>
  <si>
    <t>Cariari - Vereh</t>
  </si>
  <si>
    <t>C-610-010</t>
  </si>
  <si>
    <t xml:space="preserve">Cariari   </t>
  </si>
  <si>
    <t>C-610-011</t>
  </si>
  <si>
    <t>C-610-012</t>
  </si>
  <si>
    <t>C-610-013</t>
  </si>
  <si>
    <t>La Cuesta</t>
  </si>
  <si>
    <t>Control</t>
  </si>
  <si>
    <t>C-610-014</t>
  </si>
  <si>
    <t>C-610-015</t>
  </si>
  <si>
    <t>Cuervito</t>
  </si>
  <si>
    <t>C-610-016</t>
  </si>
  <si>
    <t>Canoas</t>
  </si>
  <si>
    <t>Veracruz</t>
  </si>
  <si>
    <t>C-610-017</t>
  </si>
  <si>
    <t>Los Lotes</t>
  </si>
  <si>
    <t>C-610-018</t>
  </si>
  <si>
    <t>La Mariposa</t>
  </si>
  <si>
    <t>C-610-019</t>
  </si>
  <si>
    <t>C-610-020</t>
  </si>
  <si>
    <t>C-610-021</t>
  </si>
  <si>
    <t>Canoas – La Cuesta</t>
  </si>
  <si>
    <t>Tajo Corredor</t>
  </si>
  <si>
    <t>C-610-022</t>
  </si>
  <si>
    <t>Calle Plantel</t>
  </si>
  <si>
    <t>C-610-023</t>
  </si>
  <si>
    <t>C-610-024</t>
  </si>
  <si>
    <t>C-610-025</t>
  </si>
  <si>
    <t>C-610-026</t>
  </si>
  <si>
    <t>Coto 49</t>
  </si>
  <si>
    <t>C-610-028</t>
  </si>
  <si>
    <t>Rio Bonito</t>
  </si>
  <si>
    <t>C-610-029</t>
  </si>
  <si>
    <t>Las Veguitas</t>
  </si>
  <si>
    <t>C-610-030</t>
  </si>
  <si>
    <t>Cementerio</t>
  </si>
  <si>
    <t>C-610-031</t>
  </si>
  <si>
    <t>C-610-032</t>
  </si>
  <si>
    <t>Taller Polaco - Río Bonito</t>
  </si>
  <si>
    <t>C-610-033</t>
  </si>
  <si>
    <t>Hogar de Ancianos</t>
  </si>
  <si>
    <t>C-610-034</t>
  </si>
  <si>
    <t>Cacoragua</t>
  </si>
  <si>
    <t>C-610-035</t>
  </si>
  <si>
    <t>La Papayera</t>
  </si>
  <si>
    <t>C-610-036</t>
  </si>
  <si>
    <t>C-610-037</t>
  </si>
  <si>
    <t>C-610-038</t>
  </si>
  <si>
    <t>C-610-039</t>
  </si>
  <si>
    <t>C-610-040</t>
  </si>
  <si>
    <t>San Gil</t>
  </si>
  <si>
    <t>C-610-041</t>
  </si>
  <si>
    <t>C-610-042</t>
  </si>
  <si>
    <t>La Brigada</t>
  </si>
  <si>
    <t>C-610-043</t>
  </si>
  <si>
    <t>Gusano Barrenador</t>
  </si>
  <si>
    <t>C-610-044</t>
  </si>
  <si>
    <t>Picamila</t>
  </si>
  <si>
    <t>C-610-045</t>
  </si>
  <si>
    <t>Campo Bello</t>
  </si>
  <si>
    <t>C-610-048</t>
  </si>
  <si>
    <t>La Gloria</t>
  </si>
  <si>
    <t>C-610-049</t>
  </si>
  <si>
    <t>C-610-050</t>
  </si>
  <si>
    <t>C-610-051</t>
  </si>
  <si>
    <t>C-610-053</t>
  </si>
  <si>
    <t>La Cañaza</t>
  </si>
  <si>
    <t>C-610-055</t>
  </si>
  <si>
    <t>C-610-056</t>
  </si>
  <si>
    <t>Cañaza - El Chorro</t>
  </si>
  <si>
    <t>C-610-057</t>
  </si>
  <si>
    <t>El Chorro</t>
  </si>
  <si>
    <t>C-610-058</t>
  </si>
  <si>
    <t>La Bota - La Chanchera</t>
  </si>
  <si>
    <t>C-610-059</t>
  </si>
  <si>
    <t xml:space="preserve">La Bota </t>
  </si>
  <si>
    <t>C-610-060</t>
  </si>
  <si>
    <t>La Campesina</t>
  </si>
  <si>
    <t>C-610-061</t>
  </si>
  <si>
    <t>Jobo- Peral</t>
  </si>
  <si>
    <t>C-610-062</t>
  </si>
  <si>
    <t>Peral</t>
  </si>
  <si>
    <t>C-610-063</t>
  </si>
  <si>
    <t>Laurel - Puesto González</t>
  </si>
  <si>
    <t>C-610-064</t>
  </si>
  <si>
    <t>Caucho-Mango</t>
  </si>
  <si>
    <t>C-610-065</t>
  </si>
  <si>
    <t>Caucho - Cenizo</t>
  </si>
  <si>
    <t>C-610-066</t>
  </si>
  <si>
    <t>Roblito 01</t>
  </si>
  <si>
    <t>C-610-068</t>
  </si>
  <si>
    <t>Roblito 02</t>
  </si>
  <si>
    <t>C-610-069</t>
  </si>
  <si>
    <t>Naranjo - Tamarindo</t>
  </si>
  <si>
    <t>C-610-070</t>
  </si>
  <si>
    <t>Incendio - Bella Luz</t>
  </si>
  <si>
    <t>C-610-071</t>
  </si>
  <si>
    <t>C-610-072</t>
  </si>
  <si>
    <t xml:space="preserve">Pueblo de Dios </t>
  </si>
  <si>
    <t>C-610-074</t>
  </si>
  <si>
    <t>Los Tanques de Agua</t>
  </si>
  <si>
    <t>C-610-075</t>
  </si>
  <si>
    <t>Guido</t>
  </si>
  <si>
    <t>C-610-076</t>
  </si>
  <si>
    <t>Monte Verde</t>
  </si>
  <si>
    <t>C-610-077</t>
  </si>
  <si>
    <t>Santa Lucia - Monte Verde</t>
  </si>
  <si>
    <t>C-610-078</t>
  </si>
  <si>
    <t xml:space="preserve">Cangrejo Verde </t>
  </si>
  <si>
    <t>C-610-079</t>
  </si>
  <si>
    <t>Caracol - Incendio</t>
  </si>
  <si>
    <t>C-610-080</t>
  </si>
  <si>
    <t>Cuatro Bocas</t>
  </si>
  <si>
    <t>C-610-081</t>
  </si>
  <si>
    <t>C-610-082</t>
  </si>
  <si>
    <t>Salida Cuatro Bocas</t>
  </si>
  <si>
    <t>C-610-083</t>
  </si>
  <si>
    <t>Los Castaños</t>
  </si>
  <si>
    <t>C-610-084</t>
  </si>
  <si>
    <t>La Central Campesina</t>
  </si>
  <si>
    <t>C-610-085</t>
  </si>
  <si>
    <t>C-610-086</t>
  </si>
  <si>
    <t>C-610-087</t>
  </si>
  <si>
    <t>C-610-088</t>
  </si>
  <si>
    <t>El Roble 01</t>
  </si>
  <si>
    <t>C-610-089</t>
  </si>
  <si>
    <t>Coyoche</t>
  </si>
  <si>
    <t>C-610-090</t>
  </si>
  <si>
    <t>C-610-091</t>
  </si>
  <si>
    <t>Bambú Sur</t>
  </si>
  <si>
    <t>C-610-092</t>
  </si>
  <si>
    <t>Cuatro Bocas Centro</t>
  </si>
  <si>
    <t>C-610-093</t>
  </si>
  <si>
    <t>Caucho - Tamarindo</t>
  </si>
  <si>
    <t>C-610-094</t>
  </si>
  <si>
    <t>El Guay</t>
  </si>
  <si>
    <t>C-610-096</t>
  </si>
  <si>
    <t>C-610-097</t>
  </si>
  <si>
    <t>Cuadrante Río Nuevo</t>
  </si>
  <si>
    <t>C-610-098</t>
  </si>
  <si>
    <t>Calles Urbanas de Ciudad Neilly</t>
  </si>
  <si>
    <t>C-610-099</t>
  </si>
  <si>
    <t>Cuadrante 22 Octubre</t>
  </si>
  <si>
    <t>C-610-100</t>
  </si>
  <si>
    <t>Cuadrante Salas Vindas</t>
  </si>
  <si>
    <t>C-610-101</t>
  </si>
  <si>
    <t>Cuadrante Barrio El Carmen</t>
  </si>
  <si>
    <t>C-610-102</t>
  </si>
  <si>
    <t>Cuadrante  Villas de Darizara</t>
  </si>
  <si>
    <t>C-610-103</t>
  </si>
  <si>
    <t>Cuadrante El Triunfo</t>
  </si>
  <si>
    <t>C-610-104</t>
  </si>
  <si>
    <t>Cuadrante San Jorge</t>
  </si>
  <si>
    <t>C-610-105</t>
  </si>
  <si>
    <t>Calles Urbanas Paso Canoas SN</t>
  </si>
  <si>
    <t>C-610-106</t>
  </si>
  <si>
    <t>Calles Urbanas Paso Canoas SS</t>
  </si>
  <si>
    <t>C-610-107</t>
  </si>
  <si>
    <t>Calles Urbanas La Cuesta SS</t>
  </si>
  <si>
    <t>C-610-108</t>
  </si>
  <si>
    <t>Calles Urbanas Laurel</t>
  </si>
  <si>
    <t>C-610-109</t>
  </si>
  <si>
    <t>C-610-110</t>
  </si>
  <si>
    <t>Relleno Sanitario</t>
  </si>
  <si>
    <t>C-610-111</t>
  </si>
  <si>
    <t>El Ceibo</t>
  </si>
  <si>
    <t>C-610-112</t>
  </si>
  <si>
    <t>Cuadrante La Fortuna</t>
  </si>
  <si>
    <t>C-610-114</t>
  </si>
  <si>
    <t>Coto 52</t>
  </si>
  <si>
    <t>C-610-115</t>
  </si>
  <si>
    <t>Coto 42</t>
  </si>
  <si>
    <t>C-610-116</t>
  </si>
  <si>
    <t>Coto 45</t>
  </si>
  <si>
    <t>C-610-117</t>
  </si>
  <si>
    <t>Coto 43</t>
  </si>
  <si>
    <t>C-610-118</t>
  </si>
  <si>
    <t>El Clavo</t>
  </si>
  <si>
    <t>C-610-119</t>
  </si>
  <si>
    <t>Estrella del Sur</t>
  </si>
  <si>
    <t>C-610-120</t>
  </si>
  <si>
    <t>C-610-121</t>
  </si>
  <si>
    <t>La Granja</t>
  </si>
  <si>
    <t>C-610-125</t>
  </si>
  <si>
    <t>Coyoche 01</t>
  </si>
  <si>
    <t>C-610-126</t>
  </si>
  <si>
    <t>Coyoche 02</t>
  </si>
  <si>
    <t>C-610-127</t>
  </si>
  <si>
    <t>Quebarada Negra</t>
  </si>
  <si>
    <t>C-610-129</t>
  </si>
  <si>
    <t>Incendio 01</t>
  </si>
  <si>
    <t>C-610-133</t>
  </si>
  <si>
    <t>C-610-134</t>
  </si>
  <si>
    <t>La Escuela</t>
  </si>
  <si>
    <t>C-610-135</t>
  </si>
  <si>
    <t>La Reserva</t>
  </si>
  <si>
    <t>C-610-136</t>
  </si>
  <si>
    <t>La Reserva 01</t>
  </si>
  <si>
    <t>C-610-137</t>
  </si>
  <si>
    <t>Jobo</t>
  </si>
  <si>
    <t>C-610-138</t>
  </si>
  <si>
    <t>Jobo 02</t>
  </si>
  <si>
    <t>C-610-139</t>
  </si>
  <si>
    <t>Jobo 03</t>
  </si>
  <si>
    <t>C-610-140</t>
  </si>
  <si>
    <t>Laurel 01</t>
  </si>
  <si>
    <t>C-610-141</t>
  </si>
  <si>
    <t>Caucho 01</t>
  </si>
  <si>
    <t>C-610-142</t>
  </si>
  <si>
    <t>Cuadrante Bambito</t>
  </si>
  <si>
    <t>C-610-144</t>
  </si>
  <si>
    <t>Bambito 01</t>
  </si>
  <si>
    <t>C-610-145</t>
  </si>
  <si>
    <t>Bambito 02</t>
  </si>
  <si>
    <t>C-610-146</t>
  </si>
  <si>
    <t>Peral 01</t>
  </si>
  <si>
    <t>C-610-148</t>
  </si>
  <si>
    <t>C-610-149</t>
  </si>
  <si>
    <t>El Tajo 01</t>
  </si>
  <si>
    <t>C-610-151</t>
  </si>
  <si>
    <t>La Cañaza 01</t>
  </si>
  <si>
    <t>C-610-152</t>
  </si>
  <si>
    <t>C-610-153</t>
  </si>
  <si>
    <t>La Bonita 01</t>
  </si>
  <si>
    <t>C-610-154</t>
  </si>
  <si>
    <t>Huacal</t>
  </si>
  <si>
    <t>C-610-155</t>
  </si>
  <si>
    <t>Las Tucas</t>
  </si>
  <si>
    <t>C-610-156</t>
  </si>
  <si>
    <t>El Albergue</t>
  </si>
  <si>
    <t>C-610-159</t>
  </si>
  <si>
    <t>Melinal</t>
  </si>
  <si>
    <t>C-610-160</t>
  </si>
  <si>
    <t>San Miguel 01</t>
  </si>
  <si>
    <t>C-610-161</t>
  </si>
  <si>
    <t>San Miguel 02</t>
  </si>
  <si>
    <t>C-610-162</t>
  </si>
  <si>
    <t>C-610-163</t>
  </si>
  <si>
    <t>Bajos de Limoncito</t>
  </si>
  <si>
    <t>C-610-164</t>
  </si>
  <si>
    <t>C-610-165</t>
  </si>
  <si>
    <t>Coyoche 03</t>
  </si>
  <si>
    <t>C-610-166</t>
  </si>
  <si>
    <t>El Manzano 01</t>
  </si>
  <si>
    <t>C-610-168</t>
  </si>
  <si>
    <t>El Manzano 02</t>
  </si>
  <si>
    <t>C-610-169</t>
  </si>
  <si>
    <t>C-610-170</t>
  </si>
  <si>
    <t>La Empacadora</t>
  </si>
  <si>
    <t>C-610-171</t>
  </si>
  <si>
    <t>Bajos de la Palma</t>
  </si>
  <si>
    <t>C-610-172</t>
  </si>
  <si>
    <t>Ciudadela Gonzáles</t>
  </si>
  <si>
    <t>C-610-174</t>
  </si>
  <si>
    <t xml:space="preserve">Cuadrante San Rafael </t>
  </si>
  <si>
    <t>C-610-175</t>
  </si>
  <si>
    <t>Taller Siul</t>
  </si>
  <si>
    <t>C-610-176</t>
  </si>
  <si>
    <t>El Barrido 01</t>
  </si>
  <si>
    <t>C-610-177</t>
  </si>
  <si>
    <t>El Barrido 02</t>
  </si>
  <si>
    <t>C-610-178</t>
  </si>
  <si>
    <t>C-610-179</t>
  </si>
  <si>
    <t>C-610-180</t>
  </si>
  <si>
    <t>GARABITO -11</t>
  </si>
  <si>
    <t>Jaco</t>
  </si>
  <si>
    <t>La Pipasa</t>
  </si>
  <si>
    <t>6-11-093</t>
  </si>
  <si>
    <t>Perdida de superficie de ruedo por escorrentia. La seccion de la calle se ha reducido a un solo carril debido al arrastre y socavacion de las lluvias</t>
  </si>
  <si>
    <t>Se requiere el relleno y estabilizacion de la margen del camino para evitar su socavacion. Se debe rellenar con material competente ademas de la necesidad de habilitar el paso a diferentes vecinos de la zona sobre el canal que quedara definido al final de la intervencion.</t>
  </si>
  <si>
    <t>Cerro Fresco</t>
  </si>
  <si>
    <t>6-11-025</t>
  </si>
  <si>
    <t xml:space="preserve">El camino es angosto y presenta taludes inestables en la mayor parte del tramo. La tormenta Nate genero mayor inestabilidad y afectaciones en la superficie de ruedo. </t>
  </si>
  <si>
    <t>Estabilizacion y ampliacion de las secciones mas inestables del camino.Se hace necesario la intervencion en la estabilizacion de las margenes de manera que se logre ampliar la seccion transversal de la calle.</t>
  </si>
  <si>
    <t>6-11-016</t>
  </si>
  <si>
    <t>El camino se encuentra inhabilitado en la seccion mas alejada por la caida de mateiales al camino y la ausencia de manejos de aguas adecuados</t>
  </si>
  <si>
    <t>Se debe ampliar el camion y construir el sistema de evacuacion de aguas pluviales. Este trabajo implica la reconstruccion de la superficie de ruedo.</t>
  </si>
  <si>
    <t>Piedra Bruja- Bijagual</t>
  </si>
  <si>
    <t>6-11-015</t>
  </si>
  <si>
    <t>El camino en la seccion de mayor pendiente presenta problemas de inestabilidad en las margenes, durante la tormenta nate se intervino para habilitar el paso, sin embargo los taludes permanecen inestables.</t>
  </si>
  <si>
    <t>Las Castañas</t>
  </si>
  <si>
    <t>6-11-091</t>
  </si>
  <si>
    <t xml:space="preserve">El camino debido a las lluvias y a la ausencia de puente se mantiene inhabilitado. </t>
  </si>
  <si>
    <t>Tarcoles</t>
  </si>
  <si>
    <t>Playa Azul</t>
  </si>
  <si>
    <t>6-11088</t>
  </si>
  <si>
    <t>Los caminos de playa azul fueron inundados, afectando la superficie de ruedo y los caños. El sitio no cuenta con una adecuada salida de las aguas, por lo que las afectaciones son severas en este sector.</t>
  </si>
  <si>
    <t xml:space="preserve">Se requiere la reconstruccion de los caminos del centro de playa azul, colocacion de alcantarillados construccion de cabezales, mejoramiento de la superficie de ruedo. </t>
  </si>
  <si>
    <t>6-11-022</t>
  </si>
  <si>
    <t>El camino se afecto en la superfice de ruedo y ademas en la mayoria de los pasos de alcantarilla existentes no fueron capaces de manejar la escorrentia superficial</t>
  </si>
  <si>
    <t>Este camino es fundamental para la evacuacion de las personas de Bajamar, Cuarros y demas poblados del sector. Es un camino prioritario que define como necesidad imperante el mejoramiento del sistema de agua potable, sistema pluvial y la estructura de la calle requiere una base estabilizadapara garantizar su estabilidad.</t>
  </si>
  <si>
    <t>Cuarros</t>
  </si>
  <si>
    <t>6-11-021</t>
  </si>
  <si>
    <t>Afectacion en la superficie de ruedo por el desvordamiento de las quebradas y canales pluviales existentes</t>
  </si>
  <si>
    <t>Se requiere el mejoramiento de la superficie y la colocacion de material estabilizado con cemento y una capa de tratamiento bituminoso para darle durabilidad al proyecto</t>
  </si>
  <si>
    <t>Bajamar</t>
  </si>
  <si>
    <t>6-11-014</t>
  </si>
  <si>
    <t>CÓBANO (Concejo)</t>
  </si>
  <si>
    <t>Cabuya-MalPaís-Santa Teresa-Peñon de Ario</t>
  </si>
  <si>
    <t xml:space="preserve">C 6-01-001 Tramo de Cabuya a Mal País </t>
  </si>
  <si>
    <t>Erocion de la superficie de la vía, por la escorrintia</t>
  </si>
  <si>
    <t>Lastreo mecanisado, conformacion y compactación de la vía.</t>
  </si>
  <si>
    <t>Cóbano-San Jorge-Caño Seco</t>
  </si>
  <si>
    <t xml:space="preserve">C 6-01-002 Tramo de Cobano a San Jorge </t>
  </si>
  <si>
    <t>Rio Frio-Bajos de Ario</t>
  </si>
  <si>
    <t>C 6-01-003</t>
  </si>
  <si>
    <t>Rio Frio</t>
  </si>
  <si>
    <t>C 6-01-004</t>
  </si>
  <si>
    <t>Pavones-La Esperanza-Rio Frio</t>
  </si>
  <si>
    <t>C 6-01-016</t>
  </si>
  <si>
    <t>Rio Negro-Santiago-San Martin-Manzanillo</t>
  </si>
  <si>
    <t>C 6-01-036</t>
  </si>
  <si>
    <t>Cóbano-San Isidro-Playa Carmen</t>
  </si>
  <si>
    <t>C 6-01-037</t>
  </si>
  <si>
    <t>Cóbano-Delicias</t>
  </si>
  <si>
    <t>C 6-01-038</t>
  </si>
  <si>
    <t>Rio Negro-La Palmita-Bello Horizonte</t>
  </si>
  <si>
    <t>C 6-01-109</t>
  </si>
  <si>
    <t>La Pura Vida-Florida</t>
  </si>
  <si>
    <t>C 6-01-112</t>
  </si>
  <si>
    <t>Delicias-Playa Cedros</t>
  </si>
  <si>
    <t>C 6-01-127</t>
  </si>
  <si>
    <t>Delicias-Rio En Medio</t>
  </si>
  <si>
    <t>C 6-01-128</t>
  </si>
  <si>
    <t>Delicias-Horizontes de Montezuma</t>
  </si>
  <si>
    <t>C 6-01-132</t>
  </si>
  <si>
    <t>Delicias-Montezuma</t>
  </si>
  <si>
    <t>C 6-01-133</t>
  </si>
  <si>
    <t>Bettel-La Palmita</t>
  </si>
  <si>
    <t>C 6-01-152</t>
  </si>
  <si>
    <t>Bettel-Santa Clemencia</t>
  </si>
  <si>
    <t>C 6-01-158</t>
  </si>
  <si>
    <t>La Menchita-San Rámon de Ario</t>
  </si>
  <si>
    <t>C 6-01-166</t>
  </si>
  <si>
    <t>Florida-Pánica</t>
  </si>
  <si>
    <t>C 6-01-179</t>
  </si>
  <si>
    <t>Las Parcelas-La Menchita</t>
  </si>
  <si>
    <t>C 6-01-</t>
  </si>
  <si>
    <t>PAQUERA (Concejo)</t>
  </si>
  <si>
    <t>MONTEVERDE (Concejo)</t>
  </si>
  <si>
    <t>MONTEVERDE</t>
  </si>
  <si>
    <t>SAN LUIS</t>
  </si>
  <si>
    <t>6-01-044</t>
  </si>
  <si>
    <t>Pérdida de finos y material granular, deslizamiento de taludes colapso de alcantarillas, socavación de bastiones de puente</t>
  </si>
  <si>
    <t>Incorporación de material, estabilización de taludes, rehabilitación de sistemas de drenaje</t>
  </si>
  <si>
    <t>6-01-331</t>
  </si>
  <si>
    <t>Incorporación de material, rehabilitación de los sistemas de drenaje</t>
  </si>
  <si>
    <t>6-01-332</t>
  </si>
  <si>
    <t xml:space="preserve">Pérdida de finos y material granular, colapso de alcantarillas, </t>
  </si>
  <si>
    <t>6-01-353</t>
  </si>
  <si>
    <t>Deformaciones en la superficie de ruedo. Pérdida de material granular, colapso de alcantarillas</t>
  </si>
  <si>
    <t>Incorporación de material, rehabilitación de los sistemas de drenaje.</t>
  </si>
  <si>
    <t>SANTA ELENA</t>
  </si>
  <si>
    <t>6-01-336</t>
  </si>
  <si>
    <t>6-01-339</t>
  </si>
  <si>
    <t>Pérdida de finos y material granular</t>
  </si>
  <si>
    <t>6-01-360</t>
  </si>
  <si>
    <t xml:space="preserve"> MONTEVERDE</t>
  </si>
  <si>
    <t>6-01-354</t>
  </si>
  <si>
    <t>CERRO PLANO</t>
  </si>
  <si>
    <t>6-01-375</t>
  </si>
  <si>
    <t>LEPANTO (Concejo)</t>
  </si>
  <si>
    <t xml:space="preserve">Río Blanco </t>
  </si>
  <si>
    <t xml:space="preserve">Entrada a Río Blanco hasta San Ramon de Río blanco </t>
  </si>
  <si>
    <t>Deformación de la Superficie de ruedo de lastre</t>
  </si>
  <si>
    <t>Contratación de Maquinaria para realizar conformacion y colocación de lastre</t>
  </si>
  <si>
    <t>El Balso</t>
  </si>
  <si>
    <t>Del Puente de San Ramón de Río Blanco a Río Piedades - Río Arío</t>
  </si>
  <si>
    <t xml:space="preserve">Deformación de la Superficie de ruedo de lastre, derrubes y deslizamientos </t>
  </si>
  <si>
    <t>Vainilla</t>
  </si>
  <si>
    <t xml:space="preserve">De la RN 623 Hasta </t>
  </si>
  <si>
    <t>La fresca</t>
  </si>
  <si>
    <t xml:space="preserve">Ruta 163 - Poblado de la Fresca </t>
  </si>
  <si>
    <t>Socavación de bastiones y aletones</t>
  </si>
  <si>
    <t xml:space="preserve">Reforzamiento de la estructura </t>
  </si>
  <si>
    <t>Limonal de Río Blanco</t>
  </si>
  <si>
    <t>Limonal de Río Blanco a Fincas</t>
  </si>
  <si>
    <t>Deformación de la Superficie de ruedo de lastre, derrubes y deslizamientos</t>
  </si>
  <si>
    <t>La Chiquera de Río Blanco</t>
  </si>
  <si>
    <t>Del Puente de Río Blanco a Fincas</t>
  </si>
  <si>
    <t xml:space="preserve">De San Rafael a Cuajiniquil </t>
  </si>
  <si>
    <t>La tigra</t>
  </si>
  <si>
    <t>De San Pedro a la Iglesia Catolica de la Tigra</t>
  </si>
  <si>
    <t>Montaña Grande</t>
  </si>
  <si>
    <t xml:space="preserve">Del Puente de Lapanto a La Ilusión </t>
  </si>
  <si>
    <t>La esperanza de Cabo Blanco</t>
  </si>
  <si>
    <t>De la Ruta nacional 21 al Puente la Esperanza</t>
  </si>
  <si>
    <t>Corazón de Jesús</t>
  </si>
  <si>
    <t xml:space="preserve">6-01-057 </t>
  </si>
  <si>
    <t>Quebrada Solano</t>
  </si>
  <si>
    <t>Puente vehicular tipo viga simplemente apoyado con bastiones de concreto ciclópeo, superestructura compuesta de dos vigas de acero de 0,93 m de peralte, con losetas prefabricadas como superficie de ruedo y con una longitud de 15 m</t>
  </si>
  <si>
    <t>Colapso de bastión de margen izquierda, socavación de bastión de margen derecha e inestabilidad del suelo de los rellenos de aproximación, así como una comunidad incomunicada y pérdida en la producción agrícola y ganadería de engorde</t>
  </si>
  <si>
    <t xml:space="preserve">Estudios preliminares, diseño y construcción de puente nuevo, así como mejoramiento (suelo reforzado u otra técnica) en rellenos de aproximación </t>
  </si>
  <si>
    <t xml:space="preserve">6-01-047 </t>
  </si>
  <si>
    <t>Quebrada Arias</t>
  </si>
  <si>
    <t>Puente vehicular tipo viga simplemente apoyado con bastiones de concreto ciclópeo, superestructura compuesta de tres vigas de acero de 0,30 m de peralte, con una losa de concreto como superficie de ruedo y con una longitud de 5,6 m</t>
  </si>
  <si>
    <t>Arrastre de anexo de puente (baranda y parte de calzada), rellenos de aproximación y taludes colindantes inestables (se originó una zona de riesgo), baja capacidad hidráulica del puente (debido a la ampliación en el ancho del cauce),      pérdida en la producción agrícola y ganadería de engorde</t>
  </si>
  <si>
    <t>Estudios preliminares, diseño y construcción de puente nuevo, así como mejoramiento de taludes y rellenos de aproximación, o en su defecto un puente con una longitud mucho mayor para evitar la inestabilidad del suelo de los taludes colindantes</t>
  </si>
  <si>
    <t xml:space="preserve">6-01-025 </t>
  </si>
  <si>
    <t>Río Veracruz</t>
  </si>
  <si>
    <t>Puente peatonal colgante soportado por dos cables principales, pasarela metálica, péndolas tipo pletina y malla jourdomex como superficie de ruedo, con una longitud de 125 m, así como muro de gaviones para protección de subestructura</t>
  </si>
  <si>
    <t>Deformación de elementos metálicos en una longitud de 7 m (producto de deslizamiento), vuelco y pérdida parcial de muro de gaviones que sirve de protección a talud donde se apoya subestructura de puente</t>
  </si>
  <si>
    <t xml:space="preserve">Cambio y sustitución de piezas metálicas deformadas, así como estudios preliminares, diseño y construcción de muro de gaviones </t>
  </si>
  <si>
    <t>GUACIMAL-MONTEVERDE</t>
  </si>
  <si>
    <t>San Luis (Barrio Buen Amigo)</t>
  </si>
  <si>
    <t>Sendero que sirve de límite distrital</t>
  </si>
  <si>
    <t>Río San Luis</t>
  </si>
  <si>
    <t>Puente peatonal colgante soportado por cuatro cables principales, pasarela metálica, péndolas tipo pletina y láminas metálicas como superficie de ruedo, con una longitud de 34 m</t>
  </si>
  <si>
    <t>Colapso de estructura debido a la socavación que se presentó en la subestructura, generando el volcamiento de los marcos metálicos, así como cedencia (fluencia) de los cables y desplazamiento de los anclajes, comunidad incomunicada y pérdida en la producción agrícola</t>
  </si>
  <si>
    <t>Estudios preliminares, diseño y construcción de puente nuevo</t>
  </si>
  <si>
    <t>Esparza- San Juan Chiquito</t>
  </si>
  <si>
    <t>Río Esparza</t>
  </si>
  <si>
    <t>puente 3,5 ancho una sola vía, bastiones concreto ciclopeo</t>
  </si>
  <si>
    <t xml:space="preserve">socavación de los bastiones, daños enn vigas por golpe de árboles arastrados por la corriente </t>
  </si>
  <si>
    <t xml:space="preserve">estructura no estimable porque la metodología constructuva ya no es usada. </t>
  </si>
  <si>
    <t>construcción de un puente nuevo</t>
  </si>
  <si>
    <t>Queb. Grande</t>
  </si>
  <si>
    <t>Bastiones Ciclopeos, Superestrutura de cerchas paso superior.</t>
  </si>
  <si>
    <t xml:space="preserve">Socavación de ambos bastiones </t>
  </si>
  <si>
    <t>Puente Nuevo de 30 m.</t>
  </si>
  <si>
    <t>Bajo Coto</t>
  </si>
  <si>
    <t xml:space="preserve">Queb. Esperanza </t>
  </si>
  <si>
    <t>Bastiones Ciclópeos, losa de concreto. 15 m</t>
  </si>
  <si>
    <t xml:space="preserve">Socavación y colapso de ambos bastiones, </t>
  </si>
  <si>
    <t>Puente Nuevo</t>
  </si>
  <si>
    <t>Rio Sabalo</t>
  </si>
  <si>
    <t>Bastiones Ciclópeos, Puente Bailley de 42 m.</t>
  </si>
  <si>
    <t>Daños en la superextructura</t>
  </si>
  <si>
    <t>Superextructura Nueva de 42 m. Puente Bailley</t>
  </si>
  <si>
    <t xml:space="preserve">Alto Sabalo el Campo </t>
  </si>
  <si>
    <t>6-03-265</t>
  </si>
  <si>
    <t>Quebrada Negra</t>
  </si>
  <si>
    <t>Bastiones Ciclópeos, vigas de acero y losa de madera 15m</t>
  </si>
  <si>
    <t xml:space="preserve">Socavación de bastiones y daños en superficie de ruedo. </t>
  </si>
  <si>
    <t>Rio Colorado</t>
  </si>
  <si>
    <t xml:space="preserve">Bastiones Ciclópeos, losa de cemento 22.5m de longitud </t>
  </si>
  <si>
    <t xml:space="preserve">Socavación de bastiones y daños en la superestructura. </t>
  </si>
  <si>
    <t>Los Naranjos</t>
  </si>
  <si>
    <t>6-03-287</t>
  </si>
  <si>
    <t>Platanillal</t>
  </si>
  <si>
    <t xml:space="preserve">Bastiones Ciclópeos, losa de concreto 22.5m de longitud </t>
  </si>
  <si>
    <t>Quebrada Mesas</t>
  </si>
  <si>
    <t>Quebrada Copal</t>
  </si>
  <si>
    <t xml:space="preserve">Queb. Villareal </t>
  </si>
  <si>
    <t>Bastiones Ciclópeos, losa de cemento logitud 12 m</t>
  </si>
  <si>
    <t>6-03-064</t>
  </si>
  <si>
    <t>Rio Canasta</t>
  </si>
  <si>
    <t>Bastiones Ciclópeos, losa de cemento logitud 15 m</t>
  </si>
  <si>
    <t xml:space="preserve">Socavación y colapso de bastiones y daños en la superestructura. </t>
  </si>
  <si>
    <t>Puente Nuevo de 22.5</t>
  </si>
  <si>
    <t>Quebrada Esperanza</t>
  </si>
  <si>
    <t>Bastiones Ciclópeos, losa de cemento logitud 10 m</t>
  </si>
  <si>
    <t>Puente Nuevo de 12 m</t>
  </si>
  <si>
    <t>Río Singri</t>
  </si>
  <si>
    <t>Puente Colgante con bastiones ciclópeos 42 m</t>
  </si>
  <si>
    <t xml:space="preserve">Colapso total de la estructura. </t>
  </si>
  <si>
    <t xml:space="preserve">Puente Nuevo de 42 m Bailey </t>
  </si>
  <si>
    <t>Río Changuena</t>
  </si>
  <si>
    <t>Bastiones ciclópeos y losas prefabricadas, longitud 18m</t>
  </si>
  <si>
    <t>Socavación de Bastiones y colapso de super estructura</t>
  </si>
  <si>
    <t>Puente Nuevo 30 m</t>
  </si>
  <si>
    <t>Quebrada La Bonita</t>
  </si>
  <si>
    <t>Bastiones Ciclópeos y losa de cemento 10 m</t>
  </si>
  <si>
    <t>Socavación de Bastiones, colapso de super estructura</t>
  </si>
  <si>
    <t>Queb. San Luis</t>
  </si>
  <si>
    <t>Río Limón</t>
  </si>
  <si>
    <t>Bastiones Ciclópeos y losa de cemento 30 m</t>
  </si>
  <si>
    <t xml:space="preserve">Construcción de muros de protección a los bastiones </t>
  </si>
  <si>
    <t xml:space="preserve">Puente Nuevo de 42 m tipo Bailey </t>
  </si>
  <si>
    <t>Cola Gallo</t>
  </si>
  <si>
    <t>Puente de Bastiones Ciclópeos, de vigas (chasis) losa de concreto 12 m</t>
  </si>
  <si>
    <t>Socavación de Bastiones y Colapso de Super estructura</t>
  </si>
  <si>
    <t>Construcción de Puente Nuevo de 15 m</t>
  </si>
  <si>
    <t>Quebrada Potrero</t>
  </si>
  <si>
    <t>Puente de Bastiones Ciclópeos, de vigas (chasis) losetas prefabricadas 15 m</t>
  </si>
  <si>
    <t>Construcción de Puente Nuevo de 18 m</t>
  </si>
  <si>
    <t>Rio Cabagra</t>
  </si>
  <si>
    <t>Socavación de bationes y colapso de puente colgante</t>
  </si>
  <si>
    <t>Colocación de un puente Bailey de 42 m</t>
  </si>
  <si>
    <t>Puente Colgante con bastiones ciclópeos 32 m</t>
  </si>
  <si>
    <t>Colocación de un puente Bailey de 33 m</t>
  </si>
  <si>
    <t>6-03-036</t>
  </si>
  <si>
    <t>Río Guineal</t>
  </si>
  <si>
    <t>Capri</t>
  </si>
  <si>
    <t>Río Mosca</t>
  </si>
  <si>
    <t>Bastiones Ciclópeos vigas de acero y láminas de punta de diamante</t>
  </si>
  <si>
    <t>Construcción de un puente nuevo de 22.5 m</t>
  </si>
  <si>
    <t xml:space="preserve">Boca Limón </t>
  </si>
  <si>
    <t>Puente Colgante con bastiones ciclópeos 60 m</t>
  </si>
  <si>
    <t>Socavación de bastiones y colapso del puente colgante</t>
  </si>
  <si>
    <t>Construcción de puente colgante nuevo de 60 m</t>
  </si>
  <si>
    <t>Clavera</t>
  </si>
  <si>
    <t>6-03-060</t>
  </si>
  <si>
    <t>6-03-233</t>
  </si>
  <si>
    <t>Río Platanares</t>
  </si>
  <si>
    <t>Puente Colgante con bastiones ciclópeos y láminas de punta de diamante</t>
  </si>
  <si>
    <t>Socavacación de bastiones y colapso de super estructura</t>
  </si>
  <si>
    <t>Remolino</t>
  </si>
  <si>
    <t>Puente de Bastiones Ciclópeos, losa de concreto 10m</t>
  </si>
  <si>
    <t>Socavación de bastiones y colapso de la losa</t>
  </si>
  <si>
    <t>Quebrada Cebror</t>
  </si>
  <si>
    <t>Construcción de Puente Nuevo de 12 m</t>
  </si>
  <si>
    <t>6-03-363</t>
  </si>
  <si>
    <t>Rio Ceibo</t>
  </si>
  <si>
    <t>Socavación de bastiones.</t>
  </si>
  <si>
    <t>Reparacion de Bastiones, y construccion de diques de proteccion.</t>
  </si>
  <si>
    <t>Río Saray</t>
  </si>
  <si>
    <t>Puente de bastiones ciclópeos y piso de láminas de punta de diamante, vigas de chasis 12 m</t>
  </si>
  <si>
    <t>Socavación de bastiones y colapso de losa</t>
  </si>
  <si>
    <t>Construcción de puente Nuevo de 22.5m</t>
  </si>
  <si>
    <t>Socavación de bastiones y colapso de puente colgante</t>
  </si>
  <si>
    <t>Puente Nuevo de 84 m</t>
  </si>
  <si>
    <t>6-03-323</t>
  </si>
  <si>
    <t>Rio Brujo</t>
  </si>
  <si>
    <t>Puente Colgante con bastiones ciclopeos, piso de madera de 32 m</t>
  </si>
  <si>
    <t>Queb. Cola de Gallo grande</t>
  </si>
  <si>
    <t>Puente de bastiones ciclópeos y un chasis, 10m</t>
  </si>
  <si>
    <t>Puente Nuevo de 12m</t>
  </si>
  <si>
    <t>Quebrada El Pueblo</t>
  </si>
  <si>
    <t>Puente de Bastiones ciclópeos y losa de concreto de 10 m</t>
  </si>
  <si>
    <t xml:space="preserve">Socavación de bastiones, daño en la losa </t>
  </si>
  <si>
    <t>Puente Nuevo 12m</t>
  </si>
  <si>
    <t>6-03-420</t>
  </si>
  <si>
    <t xml:space="preserve">Vado de alcantarillas </t>
  </si>
  <si>
    <t>Destrucción total del vado</t>
  </si>
  <si>
    <t xml:space="preserve">Puente Nuevo de </t>
  </si>
  <si>
    <t>6-03-074</t>
  </si>
  <si>
    <t>Quebrada Peje</t>
  </si>
  <si>
    <t>Puente con bastiones ciclópeos, vigas y losa de concreto 15 m</t>
  </si>
  <si>
    <t>Puente Nuevo de 22.5 m</t>
  </si>
  <si>
    <t>Quebrada Casa</t>
  </si>
  <si>
    <t>Puente de bastiones ciclópeos vigas de acero y piso de madera de 10m</t>
  </si>
  <si>
    <t>Puente Nuevo de 15m</t>
  </si>
  <si>
    <t>Río Volcán</t>
  </si>
  <si>
    <t>Puente de bastiones ciclópeos vigas de acero y losa de concreto de 15m</t>
  </si>
  <si>
    <t>Puente Nuevo de 30 m</t>
  </si>
  <si>
    <t>Ruben Sanchez</t>
  </si>
  <si>
    <t>6-03-115</t>
  </si>
  <si>
    <t>Puente Nuevo Vehicular Colgante de 60 m</t>
  </si>
  <si>
    <t>Puente Colgante con bastiones ciclópeos, piso punta de diamante 32m</t>
  </si>
  <si>
    <t>Socavación de Bastiones y colapso de cables</t>
  </si>
  <si>
    <t>Queb. Cacao</t>
  </si>
  <si>
    <t>Puente de bastiones ciclópeos, vigas de acero y losa de concreto de 12 m</t>
  </si>
  <si>
    <t>Puente Nuevo de 15 m</t>
  </si>
  <si>
    <t>6-03-149</t>
  </si>
  <si>
    <t>Puente de Bastiones ciclópeos con vigas tipo H y piso de madera</t>
  </si>
  <si>
    <t xml:space="preserve">Destrucción de la losa </t>
  </si>
  <si>
    <t>Puente de Bastiones ciclópeos con vigas tipo H y losa de concreto</t>
  </si>
  <si>
    <t>Puente Nuevo de 42 m</t>
  </si>
  <si>
    <t>Mojón</t>
  </si>
  <si>
    <t>Puente de bastiones ciclópeos, vigas de chasis y losa de concreto de 10 m</t>
  </si>
  <si>
    <t>6-03315</t>
  </si>
  <si>
    <t>Quebrada Boruca</t>
  </si>
  <si>
    <t>Destrucción total del puente</t>
  </si>
  <si>
    <t>Puente Nuevo de 15 m.</t>
  </si>
  <si>
    <t>Puente Colgante con bastiones ciclópeos y piso de madera de 20m</t>
  </si>
  <si>
    <t>Puente Colgante nuevo de 30 m</t>
  </si>
  <si>
    <t>Quebrada Moracho</t>
  </si>
  <si>
    <t>Chamba</t>
  </si>
  <si>
    <t>Quebrada Chamba</t>
  </si>
  <si>
    <t>Jalisco</t>
  </si>
  <si>
    <t>Río Reventazón</t>
  </si>
  <si>
    <t>Puente Colgante con bastiones ciclópeos y piso de madera de 15m</t>
  </si>
  <si>
    <t>Socavación de bastiones y colapso de cables</t>
  </si>
  <si>
    <t>Puente de vigas nuevo de 22.5m</t>
  </si>
  <si>
    <t>6-03-083</t>
  </si>
  <si>
    <t>Quebrada Guagaral</t>
  </si>
  <si>
    <t>Puente Colgante con bastiones ciclópeos y piso de punta de diamante de 32m</t>
  </si>
  <si>
    <t>Socavación de bastiones colapso de torres y cables</t>
  </si>
  <si>
    <t>Río Fresco</t>
  </si>
  <si>
    <t>Ceibon</t>
  </si>
  <si>
    <t>Quebrada Ceibón</t>
  </si>
  <si>
    <t>estructura de chasis y losa de cemento</t>
  </si>
  <si>
    <t xml:space="preserve">Destrucción total de la estructura </t>
  </si>
  <si>
    <t>Puente Nuevo de Vigas de 15m</t>
  </si>
  <si>
    <t>Río General</t>
  </si>
  <si>
    <t>Puente Colgante con bastiones ciclópeos y piso de rejillas de metal de 60</t>
  </si>
  <si>
    <t>Puente Colgante nuevo de 120 m</t>
  </si>
  <si>
    <t>Río Seco</t>
  </si>
  <si>
    <t>Longitud: 8,2m  altura libre: 6,2m estructura de acero (corroída) y losa de concreto en muy mal estado.</t>
  </si>
  <si>
    <t>Puente en muy mal estado sobre el río seco, en el tramo Laguna - Palmital , ya cumplió su vida útil y con la tormenta Nate sufrió mucho, peligra que se falsee.</t>
  </si>
  <si>
    <t>Long: 13m , altura libre: 2,5m , ancho: 3,5m</t>
  </si>
  <si>
    <t>No existe puente, fue arrastrado por la crecida del río, pero es necesario, hay varias viviendas incomunicadas</t>
  </si>
  <si>
    <t>X=416416.10m  Y=1108837.95 m</t>
  </si>
  <si>
    <t>Quebrada Los Negros</t>
  </si>
  <si>
    <t>Long: 8m, ancho 3,5m, con losa de concreto.</t>
  </si>
  <si>
    <t>Socabado, poca capacidad hidráulica, losa dañdada (agrietada).</t>
  </si>
  <si>
    <t>Construcción de puente nuevo, para un paso seguro de los vecinos que a dirario transitan por la zona, con una mayor capacidad hidráulica, con sus respectivos estudios (topográfico, hidrológico, suelos, entre otros).</t>
  </si>
  <si>
    <t>Sabana Bonita (Límite Cantonal con Esparza)</t>
  </si>
  <si>
    <t xml:space="preserve">Lat = 1115859m Long = 425391m
</t>
  </si>
  <si>
    <t>Long: 12m , ancho: 3,5m, losa de concreto, vigas de acero.</t>
  </si>
  <si>
    <t>Puente caído, a causa de fuertes lluvias que provocaron una "cabeza de agua".</t>
  </si>
  <si>
    <t>Construcción de Puente nuevo, ya que el actual se falseó y sufrió el desplome total de la losa, dificultando el paso vehicular entre ambos Cantones,  con sus respectivos estudios (topográfico, hidrológico, suelos, entre otros)..</t>
  </si>
  <si>
    <t>San Francisco (Límite Cantonal con Puntarenas)</t>
  </si>
  <si>
    <t>Río Aranjuez</t>
  </si>
  <si>
    <t>Long: 10m , ancho: 3,5m, losa con láminas de metal.</t>
  </si>
  <si>
    <t>Bastión agrietado a causa de un deslizamiento que cayó sobre el puente y socavación del mismo.</t>
  </si>
  <si>
    <t>Reparación del bastión afectado, protección del bastión para evitar avance de la socavación.</t>
  </si>
  <si>
    <t>Tajo Alto, Velasquez, La Unión</t>
  </si>
  <si>
    <t>Quebrada Zamora</t>
  </si>
  <si>
    <t>Long: 11m , altura libre: 4,2m , ancho: 4,3m</t>
  </si>
  <si>
    <t>Grietas en bastión de apoyo y socavación del mismo.</t>
  </si>
  <si>
    <t>La Isla</t>
  </si>
  <si>
    <t>6-04-011</t>
  </si>
  <si>
    <t>Río Naranjo</t>
  </si>
  <si>
    <t>Long: 13,5m , altura libre: 4,6m , ancho: 3,5m</t>
  </si>
  <si>
    <t>Reparar bastiones afectados, reforzar y proteger las bases para evitar el avance de la socavación</t>
  </si>
  <si>
    <t>Jabonal (Límite Cantonal con San Ramón)</t>
  </si>
  <si>
    <t>6-04-021</t>
  </si>
  <si>
    <t>Río Jabonal</t>
  </si>
  <si>
    <t>Puente de hamaca, tablones de madera, de long: 30m.</t>
  </si>
  <si>
    <t>Puente en muy mal estado, socavado e inestable.</t>
  </si>
  <si>
    <t>Construcción de puente nuevo ya que el actual cumplió su vida últil y a causa de la tormenta Nate el puente perdió tablones, y su estructura fue afectada considerablemente.</t>
  </si>
  <si>
    <t>Riyito</t>
  </si>
  <si>
    <t xml:space="preserve">Río Riyito </t>
  </si>
  <si>
    <t>Actualmente no existe una vía de comunicación sobre el cauce.</t>
  </si>
  <si>
    <t>Se requiere la construcción de un puente con el fin de crear un medio de comunicación para las comunidades.</t>
  </si>
  <si>
    <t>Estudios, Diseños y Construcción de un puente vehicular con una luz de 80 metros de largo y 2.5 de alta. Con rellenos de aproximación de 5 metros de largo en cada lado. Con paso peatonal. Con paso peatonal. Con paso peatonal. Dos carriles de 3.65 metros c/u y espaldones a ambos lados de 1.8 metros.</t>
  </si>
  <si>
    <t>Vanegas</t>
  </si>
  <si>
    <t>Quebrada Banegas</t>
  </si>
  <si>
    <t>Estudios, Diseños y Construcción de un puente vehicular con una luz de 60 metros de largo y 2.5 de alta. Con rellenos de aproximación de 5 metros de largo en cada lado. Con paso peatonal. Con paso peatonal. Con paso peatonal. Dos carriles de 3.65 metros c/u y espaldones a ambos lados de 1.8 metros.</t>
  </si>
  <si>
    <t>Puerto Cortes</t>
  </si>
  <si>
    <t>Puente Colgante l (Balsar abajo)</t>
  </si>
  <si>
    <t xml:space="preserve">Río Balsar </t>
  </si>
  <si>
    <t>Puente peatonal colgante de 71,6 metros de largo y una luz de 4.5 metros de alto.</t>
  </si>
  <si>
    <t>La estructura presenta un alto grado de degradación, tanto por oxidación como por separación de elementos, principalmente las mallas laterales. La estructura ya cumplio su vida útil y representa un riesgo para sus usuarios.</t>
  </si>
  <si>
    <t>Puente peatonal colgante de 72 metros de largo, en estructura metalica y apoyado en columnas de concreto. Debe presentar una luz de 4 metros de alto. Con paso peatonal. Con paso peatonal. Dos carriles de 3.65 metros c/u y espaldones a ambos lados de 1.8 metros.</t>
  </si>
  <si>
    <t>Tinoco (Quebrada los Nuñes)</t>
  </si>
  <si>
    <t>Quebrada los Nuñes</t>
  </si>
  <si>
    <t>Puente vehicular de 9.2 metros de longitud, estrutura compuesta de bastiones de concreto, vigas de acero tipo "H" y losa compuesta de elementos metálicos y concreto. Aletones de concreto.</t>
  </si>
  <si>
    <t xml:space="preserve">Se lavo el relleno de lastre ubicado sobre el alcantarillado, además de los rellenos de aproximación en los ingesos. Existe socavación en la estructura de aletones. Las alcantarillas no dan a basto al paso del agua en periodos criticos. </t>
  </si>
  <si>
    <t>Estudios, Diseños y Construcción de un puente vehicular con una luz de 12 metros de largo y 3 metros de alto (luz). Los rellenos de aproximación serán de 3m de longitud. Con paso peatonal. Con paso peatonal. Dos carriles de 3.65 metros c/u y espaldones a ambos lados de 1.8 metros.</t>
  </si>
  <si>
    <t>Finca 12</t>
  </si>
  <si>
    <t>6-05-326</t>
  </si>
  <si>
    <t>Canal de la antigua compañía bananera</t>
  </si>
  <si>
    <t xml:space="preserve">Puente vehicular de 40 metros de longitud, estrutura compuesta de una losa en concreto prefabricado (losetas) con vigas de acero tipo "H", bastiones de concreto con aletones. </t>
  </si>
  <si>
    <t>El puente colapso en su totalidad.</t>
  </si>
  <si>
    <t>Estudios, Diseños y Construcción de un puente vehicular de 45 metros de largo  y una luz de 2.8 metros. Con paso peatonal. Con paso peatonal. Dos carriles de 3.65 metros c/u y espaldones a ambos lados de 1.8 metros.</t>
  </si>
  <si>
    <t>Tinoco</t>
  </si>
  <si>
    <t>Río Tinoco</t>
  </si>
  <si>
    <t>Puente vehicular de 16 metros de longitud, estrutura compuesta de alcantarillas unidas por un cabezal y rellenas de lastre. Aletones y bastiones de concreto.</t>
  </si>
  <si>
    <t>Estudios, Diseños y Construcción de un puente vehicular con una luz de 16 metros de largo y de 2 metros de alto (luz). Con un relleno de aproximación de 3 metros de largo. Con paso peatonal. Dos carriles de 3.65 metros c/u y espaldones a ambos lados de 1.8 metros.</t>
  </si>
  <si>
    <t>Finca 14 principal</t>
  </si>
  <si>
    <t>6-05-208</t>
  </si>
  <si>
    <t>Puente vehicular de 7.5 metros de longitud, estrutura compuesta de una losa en malla de acero con vigas de acero tipo "H", bastiones de concreto que no cuenta con aletones. El puente no cuenta barandas.</t>
  </si>
  <si>
    <t>El relleno de aproximación en el costado noroeste se lavo en su totalidad lo cual impide el acceso a la estructura. Existe una alto grado de  socavación en el muro del otro acceso. Hay un alto grado de degradación en la malla empleada como losa.</t>
  </si>
  <si>
    <t>Estudios, Diseños y Construcción de un puente vehicular con una luz de 10 metros de largo y 2.5 de alta. Con rellenos de aproximación de 5 metros de largo en cada lado. Con paso peatonal. Con paso peatonal. Con paso peatonal. Dos carriles de 3.65 metros c/u y espaldones a ambos lados de 1.8 metros.</t>
  </si>
  <si>
    <t>Finca 6-Finca 11</t>
  </si>
  <si>
    <t>6-05-319</t>
  </si>
  <si>
    <t>Puente vehicular de 17.5 metros de longitud, estrutura compuesta de una losa en malla de acero con vigas de acero tipo "H", bastiones de concreto que no cuenta con aletones. El puente no cuenta barandas.</t>
  </si>
  <si>
    <t>Existe una alto grado de  socavación en los muros y cimentaciones de ambos lados. Hay un alto grado de degradación en la malla empleada como losa.</t>
  </si>
  <si>
    <t>Estudios, Diseños y Construcción de un puente vehicular con una luz de 22 metros de largo  y  2.2 metros de alto (luz). Los rellenos de aproximación serán de 4 metros en cada lado. Con paso peatonal. Con paso peatonal. Con paso peatonal. Dos carriles de 3.65 metros c/u y espaldones a ambos lados de 1.8 metros.</t>
  </si>
  <si>
    <t>Finca 14 secundario</t>
  </si>
  <si>
    <t>Finca 10-Finca 5</t>
  </si>
  <si>
    <t>6-05-320</t>
  </si>
  <si>
    <t>Puente vehicular de 11.3 metros de longitud, estrutura compuesta de una losa en malla de acero con vigas de acero tipo "H", bastiones de concreto que no cuenta con aletones. El puente no cuenta barandas.</t>
  </si>
  <si>
    <t>Estudios, Diseños y Construcción de un puente vehicular con una luz de 15 metros de largo  y  2.5 metros de alto (luz). Los rellenos de aproximación serán de 4 metros en cada lado. Con paso peatonal. Con paso peatonal. Con paso peatonal. Dos carriles de 3.65 metros c/u y espaldones a ambos lados de 1.8 metros.</t>
  </si>
  <si>
    <t>Cerritos</t>
  </si>
  <si>
    <t>Código 6-06-005-03 CRTM 05 N 481140 CRTM 05 E 1048717</t>
  </si>
  <si>
    <t>33.00m Largo, 3.5 m Ancho, 3.20 m Altura</t>
  </si>
  <si>
    <t>Puente colapsado totalmente</t>
  </si>
  <si>
    <t>Construcción de Puente Nuevo, (Cerritos - Finca Anita)</t>
  </si>
  <si>
    <t>Código 6-06-005-02 CRTM 05 N 480272 CRTM 05 E 1049443</t>
  </si>
  <si>
    <t>Canal cañitas</t>
  </si>
  <si>
    <t>9.00m Largo, 3.80m Ancho, 4.20 m Altura</t>
  </si>
  <si>
    <t>Daños en Bastiones y rellenos de aproximación</t>
  </si>
  <si>
    <t>Reparaciones de estructuras dañadas</t>
  </si>
  <si>
    <t>Código 6-06-193-01 CRTM 05 N 481952 CRTM 05 E 1043281</t>
  </si>
  <si>
    <t>Estero Boca Vieja</t>
  </si>
  <si>
    <t>9.00m Largo, 4.5m Ancho, 4.10m Altura</t>
  </si>
  <si>
    <t>Bomba de agua</t>
  </si>
  <si>
    <t>Código 6-06-024-02 CRTM 05 N 488808 CRTM 05 E 1038448</t>
  </si>
  <si>
    <t>9.00m Largo, 3.80m Ancho, 4.10m Altura</t>
  </si>
  <si>
    <t>Puente afectado estructuralmente</t>
  </si>
  <si>
    <t>Construción de Puente</t>
  </si>
  <si>
    <t xml:space="preserve">Quepos </t>
  </si>
  <si>
    <t>Quebrada Pejecito</t>
  </si>
  <si>
    <t>Código 6-06-159-01 CRTM 05 N 500456 CRTM 05 E 1040657</t>
  </si>
  <si>
    <t>Rio Guabas</t>
  </si>
  <si>
    <t>17.00m Largo, 3.20m Ancho, 4.1 m Altura</t>
  </si>
  <si>
    <t>Código 6-06-021-01 CRTM 05 N 510058 CRTM 05 E 1033090</t>
  </si>
  <si>
    <t>7.00m Largo, 4.20m Ancho, 4.50 m Altura</t>
  </si>
  <si>
    <t>Código 6-06-021-02 CRTM 05 N 510166 CRTM 05 E 1032762</t>
  </si>
  <si>
    <t>Quebrada Cisneros</t>
  </si>
  <si>
    <t>7.00m Largo, 3.35m Ancho, 3.50 m Altur</t>
  </si>
  <si>
    <t>Portasol</t>
  </si>
  <si>
    <t>Código 6-06-017-02 CRTM 05 N 502910 CRTM 05 E 1035452</t>
  </si>
  <si>
    <t>Quebrada Gallinas</t>
  </si>
  <si>
    <t>9.50m Largo, 3.20m Ancho, 4.30m Altura</t>
  </si>
  <si>
    <t>Código 6-06-157-01 CRTM 05 N 514504 CRTM 05 E 1033283</t>
  </si>
  <si>
    <t>8.50m Largo, 3.40m Ancho, 4.10m Altura</t>
  </si>
  <si>
    <t>Código 6-06-023-01 CRTM 05 N 513907 CRTM 05 E 1034083</t>
  </si>
  <si>
    <t>Quebrada Pizote</t>
  </si>
  <si>
    <t>8.00m Largo, 3.60m Ancho, 5.00m Altura</t>
  </si>
  <si>
    <t>Código 6-06-015-01 CRTM 05 N 497192 CRTM 05 E 1040419</t>
  </si>
  <si>
    <t>9.00m Largo, 3.00m Ancho, 4.10m Altura</t>
  </si>
  <si>
    <t>Puente con socavamiento y daños estructurales</t>
  </si>
  <si>
    <t>Pasito</t>
  </si>
  <si>
    <t>Código 6-06-132-01 CRTM 05 N 499738 CRTM 05 E 1035916</t>
  </si>
  <si>
    <t>11.00m Largo, 3.60m Ancho, 4.50m Altura</t>
  </si>
  <si>
    <t>Galera</t>
  </si>
  <si>
    <t>Código 6-06-006-02 CRTM 05 N 487006 CRTM 05 E 1049399</t>
  </si>
  <si>
    <t>Quebrada Galera</t>
  </si>
  <si>
    <t>11.00m Largo, 4.50m Ancho, 5.30 m Altura</t>
  </si>
  <si>
    <t>Los Piñeros</t>
  </si>
  <si>
    <t>Código 6-06-045-01 CRTM 05 N 489382 CRTM 05 E 1048085</t>
  </si>
  <si>
    <t>Quebrada Danta</t>
  </si>
  <si>
    <t>7.50m Largo, 4.00m Ancho, 5.10 m Altura</t>
  </si>
  <si>
    <t>Código 6-06-038-01 CRTM 05 N 495715 CRTM 05 E 1038034</t>
  </si>
  <si>
    <t>Quebrada Chorrillo</t>
  </si>
  <si>
    <t>9.00m Largo, 3.00m Ancho, 4.00m Altura</t>
  </si>
  <si>
    <t>Código 6-06-038-02 CRTM 05 N 494771 CRTM 05 E 1040281</t>
  </si>
  <si>
    <t>Quebrada Sabalo</t>
  </si>
  <si>
    <t>13.20m Largo, 3.00m Ancho, 4.20m Altura</t>
  </si>
  <si>
    <t>Finca Morales</t>
  </si>
  <si>
    <t>Código 6-06-075-01 CRTM 05 N 488642 CRTM 05 E 1047941</t>
  </si>
  <si>
    <t>9.00m Largo, 2.50m Ancho, 4.20 m Altura</t>
  </si>
  <si>
    <t xml:space="preserve">Puente socavado, afectado estructuralmente y colapso de bastión </t>
  </si>
  <si>
    <t>Sábalo</t>
  </si>
  <si>
    <t>Código 6-06-107-01 CRTM 05 N 499284 CRTM 05 E 1044605</t>
  </si>
  <si>
    <t>10.00m Largo, 4.50m Ancho, 4.50m Altura</t>
  </si>
  <si>
    <t>Código 6-06-070-01 CRTM 05 N 491007 CRTM 05 E 1048338</t>
  </si>
  <si>
    <t>Quebrada Ortiz</t>
  </si>
  <si>
    <t>15.00m Largo, 3.50m Ancho, 5.50m Altura</t>
  </si>
  <si>
    <t>Nazareth</t>
  </si>
  <si>
    <t>6-07-003</t>
  </si>
  <si>
    <t>Quebrada Trencitas</t>
  </si>
  <si>
    <t>Puente con sub estructura y super estructura de concreto.</t>
  </si>
  <si>
    <t>Socavación de los bastiones hasta el colapso de la superestructura.</t>
  </si>
  <si>
    <t>Reconstruccion del puente</t>
  </si>
  <si>
    <t>Quebrada Florida</t>
  </si>
  <si>
    <t>Puente artezanal, estructura madera.</t>
  </si>
  <si>
    <t>Desprendimiento de la estructura como de la superficie de ruedo.</t>
  </si>
  <si>
    <t>Pilon</t>
  </si>
  <si>
    <t>6-07-026</t>
  </si>
  <si>
    <t>Quebrada Salea</t>
  </si>
  <si>
    <t>Puente con sub estructura y super estructura de metal.</t>
  </si>
  <si>
    <t>6-07-025</t>
  </si>
  <si>
    <t>Quebrada Sin nombre</t>
  </si>
  <si>
    <t>Km 30</t>
  </si>
  <si>
    <t>6-07-162</t>
  </si>
  <si>
    <t>Quebrada la Negra</t>
  </si>
  <si>
    <t>Playa Cacao</t>
  </si>
  <si>
    <t>6-07-050</t>
  </si>
  <si>
    <t>Quebrada Corozal</t>
  </si>
  <si>
    <t>Punta Banco</t>
  </si>
  <si>
    <t>6-07-030</t>
  </si>
  <si>
    <t>Quebrada Banco</t>
  </si>
  <si>
    <t>Nicaraguita</t>
  </si>
  <si>
    <t>6-07-215</t>
  </si>
  <si>
    <t>Quebrada Nicaragua</t>
  </si>
  <si>
    <t>Palo Seco</t>
  </si>
  <si>
    <t>6-07-014</t>
  </si>
  <si>
    <t>Rio Conte</t>
  </si>
  <si>
    <t>Puente con sub estructura y super estructura de acero.</t>
  </si>
  <si>
    <t>Colapso de toda la estructura.</t>
  </si>
  <si>
    <t>6-07-146</t>
  </si>
  <si>
    <t>Aguas Calinetes - La Escuadra - parque Internacional la Amistad, Código. 6-08-028.</t>
  </si>
  <si>
    <t>Rio Hamacas</t>
  </si>
  <si>
    <t>Puente de tablero de madera, vigas de madera.</t>
  </si>
  <si>
    <t xml:space="preserve"> daños estructurales en todo el puente</t>
  </si>
  <si>
    <t>construcción de puente modular de 12m de largo.</t>
  </si>
  <si>
    <t>Las Tablas</t>
  </si>
  <si>
    <t>Progreso - las Tablas, Código: 6-08-184.</t>
  </si>
  <si>
    <t>Rio Coton</t>
  </si>
  <si>
    <t>construcción de puente modular de 24m de largo.</t>
  </si>
  <si>
    <t>El Valle</t>
  </si>
  <si>
    <t>El Valle - Bonanza, Código: 6-08-286.</t>
  </si>
  <si>
    <t>Rio Coto Brus</t>
  </si>
  <si>
    <t xml:space="preserve">Puente colgante  de acero, con bastiones de concreto. </t>
  </si>
  <si>
    <t>daños estructurales en estructura de acero del puente y marco de concreto (puente colgante).</t>
  </si>
  <si>
    <t>construcción de puente modular de 50m de largo, se pueden aprovechar los bastiones existentes de concreto para apoyar el puente.</t>
  </si>
  <si>
    <t>La Nubia</t>
  </si>
  <si>
    <t>Canal Sin nombre</t>
  </si>
  <si>
    <t>Bastiones de concreto masivo y losa en tablones de madera</t>
  </si>
  <si>
    <t>Construcción de bastiones, Chorrea de Losa de Concreto y Vigas de Apoyo. Puente 15 m</t>
  </si>
  <si>
    <t>Bastiones de concreto masivo y losa de concreto</t>
  </si>
  <si>
    <t>Construcción de bastiones, Chorrea de Losa de Concreto y Vigas de Apoyo. Puente 12 m</t>
  </si>
  <si>
    <t>Quebrada Bonita</t>
  </si>
  <si>
    <t>Socavación de bastiones debido al arrastre de material, el puente se encuentra con asentamiento</t>
  </si>
  <si>
    <t>Naranjo-Tamarindo</t>
  </si>
  <si>
    <t>Incendio</t>
  </si>
  <si>
    <t>Socavación de bastiones / Colapso parcial</t>
  </si>
  <si>
    <t>Construcción de bastiones, Chorrea de Losa de Concreto y Vigas de Apoyo. Puente 18 m</t>
  </si>
  <si>
    <t>Río Caracol</t>
  </si>
  <si>
    <t>Bastiones de concreto masivo y losa metálica</t>
  </si>
  <si>
    <t>Construcción de bastiones, Chorrea de Losa de Concreto y Vigas de Apoyo. Puente 22.5 m</t>
  </si>
  <si>
    <t>Progreso</t>
  </si>
  <si>
    <t>Bastiones de concreto masivo y losa de concreto, con refuerzo en rieles de Hierro colado</t>
  </si>
  <si>
    <t>Bastiones, vigas y baranda de Hierro Colado con losa de tablones de madera</t>
  </si>
  <si>
    <t>6-11-011</t>
  </si>
  <si>
    <t>Quebrada Piedras de Fuego</t>
  </si>
  <si>
    <t>Puente de 15 m de longitud de una sola vía. Constituido por bastiones prefabricados y tres vigas de concreto pretensado.</t>
  </si>
  <si>
    <t>Afectación provocada por las avenidas máximas de la Tormenta Nate. Provoca un ensanchamiento del cauce y arrastre de arboles y otros que golpearon la estructura del puente. La avenida máxima lavó los rellenos de aproximación. El puente presenta daños importantes en sus bastiones, rellenos de aproximación y superestructura. Según valoración con ingenieros de Mopt-BID, el puente presenta daños estructurales severos. Las vigas de la superestructura se muestran inestables y  los bastiones prefabricados presentan elementos quebrados, dejando el puente inhabilitado para el intercambio cantonal.</t>
  </si>
  <si>
    <t>Se requiere una estructura de 20 m de largo, de doble vía, ancho mínimo 6 m, la altura del puente al lecho del rio es de 6m aproximadamente. Debe incluir los bastiones y anclajes necesarios para un adecuado soporte de la superestructura. Es necesario contar con maquinaria tipo excavadora hidráulica de 20 ton, retroexcavador para manejo de cargas en el sitio, grúa hidráulica para el desmantelamiento del puente y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desarmado en piezas y trasladado a un predio municipal para su custodia. Se requiere que el puente tenga la capacidad para soportar vehículos articulados cargados, para el intercambio de productos del sector. Además se solicita que el puente cuente con una sección de transito peatonal o en su defecto que sea mas ancho de lo indicado arriba. Se requiere que tenga señalización vertical a ambos lados del puente.Debido a la posición del puente con respecto al cauce, deberá contemplarse un enrocado de protección en ambos bastiones siendo prioritario el bastión izquierdo del puente. Se debe tener en cuenta la necesidad de canalizar la media sección del río de manera que se garantice que no haya obstrucción o sedimentación en las zonas aledañas a la nueva estructura.</t>
  </si>
  <si>
    <t>Quebrada Ganado</t>
  </si>
  <si>
    <t>Rio Agujas, sector las Castañas</t>
  </si>
  <si>
    <t>Puente peatonal sobre rio las castañas. Puente de 30 m de longitud y 2 m de ancho. No existe puente para vehiculos, debido a avenidas maximas de eventos anteriores.</t>
  </si>
  <si>
    <t>Debido a las ultimas crecidas de la tormenta el puente existente fue arrastrado completamente por el rio Agujas. El río arrasó con las margenes del rio y genero un ensanchamiento de la seccion media del cauce. El paso quedó inhabilitado para el paso de peatones o vehiculos por el sector.</t>
  </si>
  <si>
    <t xml:space="preserve">Se requiere una estructura de 30 m de longitud de doble via, puede ser beily o similar, con bastiones y enrocado que permita la proteccion de la fundacion. Las caracteristicas del cauce son de suelos sedimentarios de facil erosion, por lo que la proteccion de las bases es fundamental. </t>
  </si>
  <si>
    <t>Calle boulevard, Jaco Centro</t>
  </si>
  <si>
    <t>6-11-097</t>
  </si>
  <si>
    <t>Quebrada Doña Maria</t>
  </si>
  <si>
    <t>Alcantarilla de cuadro doble en dos secciones paralelas. El area de seccion transversal muestra un area efectiva de 6 m2 aproximadamente, sin embargo se reduce a la mitad por la sedimentacion en el cauce.</t>
  </si>
  <si>
    <t>Afectación provocada por las avenidas máximas de la Tormenta Nate. La sedimentación y arrastre de la quebrada generó una obstrucción en una de las bocas de las alcantarillas de cuadro existentes. A su vez, la alcantarilla derecha presenta socavación detrás del aletón, el puente actualmente trabaja como un tapón y su sección transversal es totalmente ineficiente.</t>
  </si>
  <si>
    <t>Se requiere una estructura de 15 m de largo, de cuatro vías, ancho mínimo 16 m, la altura del puente al lecho del rio es de 3m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El puente actual deberá ser demolido y dispuesto en escombrera municipal. Se requiere que el puente tenga la capacidad para soportar vehículos articulados cargados, además de soportar un tránsito continuo pues es una de las vías principales de Jaco. Además, se solicita que el puente cuente con una sección de transito peatonal o en su defecto que sea más ancho de lo indicado arriba. Se requiere que tenga señalización vertical y horizontal a ambos lados del Debe contemplarse como parte del trabajo, la canalización y limpieza de la media sección del río, debido al problema de sedimentación que presenta la quebrada.</t>
  </si>
  <si>
    <t>Calle Hermosa</t>
  </si>
  <si>
    <t>6-11-001</t>
  </si>
  <si>
    <t>Rio La Gloria</t>
  </si>
  <si>
    <t xml:space="preserve">Actualmente no existe puente, sin embargo la calle fue afectada completamente. Existe un vado que quedo inhabilitado durante la emergencia. </t>
  </si>
  <si>
    <t>El sector de calle Hermosa fue afectado directamente por la Tormenta Nate, el cauce del rio la Gloria presenta una sedimentacion importante en toda su logitud y el sector del puente en la ruta 6-11-001 no cuenta con  un puente para la evacuacion o como ruta alterna a una avenida o evento hidrometeorologico similar.</t>
  </si>
  <si>
    <t>Se requiere una estructura de 30 m de largo, de doble vía, ancho mínimo 8 m, la altura del puente al lecho del rio es de 5m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</si>
  <si>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Clinica Jaco</t>
  </si>
  <si>
    <t>6-11-026</t>
  </si>
  <si>
    <t>Rio Naranjal</t>
  </si>
  <si>
    <t>Puente de 7 m de longitud y 4 m de ancho  el mismo es insuficiente por las dimensiones que tiene. Area de seccion libre 3 m2. con la sedimentacion se ha reducido considerablemente.</t>
  </si>
  <si>
    <t>Debido a la sedimentacion de la quebrada y a las dimensiones limitadas del puente existente toda la zona cercana a la clinica de jaco se inundó con las crecidas y lluvias de la tormenta Nate.</t>
  </si>
  <si>
    <t>Se requiere la construccion de un puente de 10 m de largo y de 8m de ancho. Que permita el transito en doble via ademas de que aumente la seccion transversal para que no se convierta en un punto de embudo para el cauce. Debe contemplarse el dragado de al menos 1000 m de cauce para eliminar la sedimentacion y los excesos de materiales en el rio.</t>
  </si>
  <si>
    <t>6-11-198</t>
  </si>
  <si>
    <t xml:space="preserve">Actualmente no existe puente, sin embargo la calle es un camino muy importante y una via de evacuacion para las afectaciones del centro de Jaco. Existe un vado que quedo inhabilitado durante la emergencia. </t>
  </si>
  <si>
    <t xml:space="preserve">El sector de la Quebrada Bonita fue afectado directamente por la Tormenta Nate, el cauce  presenta una sedimentacion importante en toda su logitud y el sector del puente en la ruta 6-11-001 no cuenta con  un puente para la evacuacion o como ruta alterna a una avenida o evento hidrometeorologico similar. </t>
  </si>
  <si>
    <t>Se requiere una estructura de 20 m de largo, de cuatro vias, ancho mínimo 12 m, la altura del puente al lecho del rio es de 4m aproximadamente. Debe incluir los bastiones y anclajes necesarios para un adecuado soporte de la superestructura. Es necesario contar con maquinaria tipo excavadora hidráulica de 20 ton, retroexcavador para manejo de cargas en el sitio, grúa hidráulica para la colocación de la nueva estructura. Se estima la necesidad de personal calificado para la correcta disposición de las obras, así también se requiere servicio de topografía en el sitio para garantizar la estabilidad y correcta posición del nuevo puente. Debido al arrastre del rio debe contemplarse enrocados de proteccion a los rellenos de aproximacion y bastiones.</t>
  </si>
  <si>
    <t>Quebrada El Tigre, calle Madrigales</t>
  </si>
  <si>
    <t>6-11-105</t>
  </si>
  <si>
    <t>Quebrada El Tigre</t>
  </si>
  <si>
    <t>Puente de 7 m de longitud y 6 m de ancho  el mismo es insuficiente por las dimensiones que tiene. Area de seccion libre 6 m2. con la sedimentacion se ha reducido considerablemente.</t>
  </si>
  <si>
    <t>Debido a la sedimentacion de la quebrada y a las dimensiones limitadas del puente existente toda la zona cercana a la municipalidad sobre avenida madrigales se inundó con las crecidas y lluvias de la tormenta Nate.</t>
  </si>
  <si>
    <t>Se requiere la construccion de un puente de 10 m de largo y de 14m de ancho. Que permita el transito en cuatro vias ademas de que aumente la seccion transversal para que no se convierta en un punto de embudo para el cauce. Debe contemplarse el dragado de al menos 500 m de cauce para eliminar la sedimentacion y los excesos de materiales en el rio.</t>
  </si>
  <si>
    <t>Calle La Veranera</t>
  </si>
  <si>
    <t>Afluente Quebrada Bonita</t>
  </si>
  <si>
    <t>Existe un alcantarilla de 900mm tipo C14 de 10 m de ancho</t>
  </si>
  <si>
    <t>Debido a las afectaciones de Nate y la calidad de los suelos sedimentarios del sector, la seccion media del cauce de este afluente a la quebrada bonita se amplio. Esto dejo el alcantarillado existente insuficiente.</t>
  </si>
  <si>
    <t>Se requiere la construccion de un puente de cuatro carriles de 10 m de ancho y bastiones de concreto con sus respectivas fundaciones y proteccion hacia los rellenos de aproximacion.</t>
  </si>
  <si>
    <t>6-11-004</t>
  </si>
  <si>
    <t>Camino Playa Herradura</t>
  </si>
  <si>
    <t>Puente de 7 m de longitud y 6 m de ancho  el mismo es insuficiente por las dimensiones que tiene. Area de seccion libre 8 m2. con la sedimentacion se ha reducido considerablemente.</t>
  </si>
  <si>
    <t>Debido a la sedimentacion de la quebrada y a las dimensiones limitadas del puente existente el desfogue de las aguas se dificulta y termina inundando los sectores aledaños a la quebrada</t>
  </si>
  <si>
    <t>Pavón</t>
  </si>
  <si>
    <t>Quebrada Mermaña</t>
  </si>
  <si>
    <t xml:space="preserve">Puente 2 vigas y una losa de concreto de 5 mtrs de luz sobre bastiones </t>
  </si>
  <si>
    <t>La quebrada socavo los bastiones causando el fallo de la estructura</t>
  </si>
  <si>
    <t>Estudios, Diseños y Costruccion de una nueva Estructura</t>
  </si>
  <si>
    <t>La Esperanza Sur</t>
  </si>
  <si>
    <t>RÍO DESBORDADO INUNDACIÓN DE VIVIENDAS</t>
  </si>
  <si>
    <t>Puente con bastiones, vigas de acero y loza de concreto</t>
  </si>
  <si>
    <t xml:space="preserve">El Puente está falseado </t>
  </si>
  <si>
    <t>Reforzar el Puente</t>
  </si>
  <si>
    <t>Barrio Organos</t>
  </si>
  <si>
    <t>PUENTE CONCRETO ARMADO</t>
  </si>
  <si>
    <t>Hay que reponer las barandas</t>
  </si>
  <si>
    <t>Construcción de Puente</t>
  </si>
  <si>
    <t>Punta del Río</t>
  </si>
  <si>
    <t>INCOMUNICADOS POR FALTA DE PUENTE</t>
  </si>
  <si>
    <t>no hay puente</t>
  </si>
  <si>
    <t>no hay paso</t>
  </si>
  <si>
    <t>Rio San Luis</t>
  </si>
  <si>
    <t>PUENTE DE UN CARRIL DE 15 METROS DE LUZ CON SISTEMA DE VIGAS METALICAS Y BASTIONES DE CONCRETO</t>
  </si>
  <si>
    <t>SOCAVACIÓN DE LOS BASTIONES</t>
  </si>
  <si>
    <t>CONSTRUCCIÓN DE ESCOLLERAS PARA PROTECCIÓN DE LOS BASTIONES Y MUROS DE GAVIONES  A LOS LADOS DE CADA BASTION</t>
  </si>
  <si>
    <t>PUENTE COLGANTE CON SUPERESTRUCTURA METÁLCA DE UN CARRIL Y 30 METROS DE LONGITUD.</t>
  </si>
  <si>
    <t>VOLCAMIENTO DE LAS COLUMNAS DE SOPORTE POR SOCAVACION EN LA BASE DE LOS CIMIENTOS.</t>
  </si>
  <si>
    <t>RECONSTRUCCIÓN DE FUNDACIONES Y ESTRUCTURA DEL PUENTE</t>
  </si>
  <si>
    <t>Bajillo - Oscuro de Lepanto</t>
  </si>
  <si>
    <t>Río Lepanto</t>
  </si>
  <si>
    <t>Puente Peatonal - estructura de acero</t>
  </si>
  <si>
    <t xml:space="preserve"> colapsarón los bastiones y la estructura en general</t>
  </si>
  <si>
    <t>Diseño de una nueva estructura peatonal- y construcción.</t>
  </si>
  <si>
    <t>Los Almendros-- Montaña Grande</t>
  </si>
  <si>
    <t>Puente Peatonal- tipo colgante cables de acero y superficie metálica.</t>
  </si>
  <si>
    <t>colapsarón los bastiones y la estructura en general</t>
  </si>
  <si>
    <t>La Fresca de Lepanto</t>
  </si>
  <si>
    <t>Rlio Blanco</t>
  </si>
  <si>
    <t>Puente Vehicular estructura  acero y concreto</t>
  </si>
  <si>
    <t>Daños en Pilotes y bastiones</t>
  </si>
  <si>
    <t>Reforzamiento de la estructura con concreto y enrocados</t>
  </si>
  <si>
    <t>San Miguel de Río Blanco- Las Chiqueras</t>
  </si>
  <si>
    <t>San Miguel de Río Blanco</t>
  </si>
  <si>
    <t>Daños en estructura de contención - reforzamiento con gaviones</t>
  </si>
  <si>
    <t>San Blas de Lepanto</t>
  </si>
  <si>
    <t>Río Bongo</t>
  </si>
  <si>
    <t>El Coto</t>
  </si>
  <si>
    <t>Río Dominicas</t>
  </si>
  <si>
    <r>
      <t>Construir puente nuevo,</t>
    </r>
    <r>
      <rPr>
        <b/>
        <u/>
        <sz val="11"/>
        <color rgb="FFFF0000"/>
        <rFont val="Calibri"/>
        <family val="2"/>
      </rPr>
      <t xml:space="preserve"> </t>
    </r>
    <r>
      <rPr>
        <sz val="11"/>
        <rFont val="Arial"/>
        <family val="2"/>
      </rPr>
      <t>sobre río seco en Palmital, long 8,2m, con sus respectivos estudios (topográfico, hidrológico, suelos, entre otros).</t>
    </r>
  </si>
  <si>
    <r>
      <t>Construir puente nuevo,</t>
    </r>
    <r>
      <rPr>
        <b/>
        <u/>
        <sz val="11"/>
        <color rgb="FFFF0000"/>
        <rFont val="Calibri"/>
        <family val="2"/>
      </rPr>
      <t xml:space="preserve"> </t>
    </r>
    <r>
      <rPr>
        <sz val="11"/>
        <rFont val="Arial"/>
        <family val="2"/>
      </rPr>
      <t>sobre río seco en Palmital, long 13m, con sus respectivos estudios (topográfico, hidrológico, suelos, entre otros).</t>
    </r>
  </si>
  <si>
    <t>Alcantarillas de cuadro de concreto  de 3 a 9 m de largo, con una altura de  3 m, para un ancho de 5 m (de 1 a 3 celdas cada una)</t>
  </si>
  <si>
    <t>Pérdida de camino en esos puntos que imposibilita el paso de vehículos, comunidad incomunicada y pérdida en la producción agrícola de la zona</t>
  </si>
  <si>
    <t>Estudios preliminares, diseño y construcción de estructuras de paso</t>
  </si>
  <si>
    <t>Quebrada la Montaña de Morales de Chomes</t>
  </si>
  <si>
    <t>Alcantararilla de cuadro de concreto de 4 m de largo, con una altura de 3 m, para un ancho de 5 m</t>
  </si>
  <si>
    <t>Pérdida de camino en ese punto que imposibilita el paso de vehículos, comunidad incomunicada y pérdida en la producción agrícola de la zona</t>
  </si>
  <si>
    <t>Estudios preliminares, diseño y construcción de estructura de paso</t>
  </si>
  <si>
    <t>Quebrada y ramales del Río Veracruz</t>
  </si>
  <si>
    <t>Vado mojado de concreto con 2 pasos de alcantarilla de 1,5 m de diámetro en 5 m de largo por 5 m de ancho (dimensiones de estructura de vado)</t>
  </si>
  <si>
    <t>Construcción de estructuras de paso</t>
  </si>
  <si>
    <t>Queb. Pilon y Queb Pataste</t>
  </si>
  <si>
    <t xml:space="preserve">Alcantarilla de Cuadro </t>
  </si>
  <si>
    <t>Socavacion de estrutura y colapso</t>
  </si>
  <si>
    <t>Construcccion de una Alcantarilla de Cuadro Nueva</t>
  </si>
  <si>
    <t>Queb. Gemelas</t>
  </si>
  <si>
    <t>6-03-377</t>
  </si>
  <si>
    <t>Queb. Mamey</t>
  </si>
  <si>
    <t>Queb. Shamba</t>
  </si>
  <si>
    <t>Tres Ríos</t>
  </si>
  <si>
    <t>6-03-317</t>
  </si>
  <si>
    <t>Queb. Bacrác</t>
  </si>
  <si>
    <t>Pastate</t>
  </si>
  <si>
    <t>Queb. Pastate</t>
  </si>
  <si>
    <t>Queb. Ceibo</t>
  </si>
  <si>
    <t>Queb. Fresca, Queb Boruca, Queb El Oso, Queb Gabriel.</t>
  </si>
  <si>
    <t>Brunca</t>
  </si>
  <si>
    <t>Queb. San Rafael</t>
  </si>
  <si>
    <t>Sta María</t>
  </si>
  <si>
    <t>Queb Rosa</t>
  </si>
  <si>
    <t>Queb. Cebror</t>
  </si>
  <si>
    <t>Queb. Palmira.</t>
  </si>
  <si>
    <t>Queb Cacao</t>
  </si>
  <si>
    <t>Queb. Los Perros</t>
  </si>
  <si>
    <t>Pilón</t>
  </si>
  <si>
    <t>Queb. Los Monge</t>
  </si>
  <si>
    <t>Queb. Yhery</t>
  </si>
  <si>
    <t>Arroyo sin nombre</t>
  </si>
  <si>
    <t>Alcantarillas de concreto reforzado de 90cm de diámetro</t>
  </si>
  <si>
    <t>Daño en el paso de alcantarilla 1 y 2 del tramo Laguna - Palmital, se descabezaron 3 alcantarillas con su respectivo cabezal a causa de una "avalancha" sobra la vía.</t>
  </si>
  <si>
    <t xml:space="preserve">Colocación de 3 alcantarillas de 90cm de diámetro. </t>
  </si>
  <si>
    <t>Alcantarillas de concreto reforzado de 1,82m de diámetro</t>
  </si>
  <si>
    <t>Derrumbe sobre la vía, en la entrada de calle "Los Chacón", pasos de alcantarillas sin capacidad hidráulica.</t>
  </si>
  <si>
    <t xml:space="preserve">Sustitución de paso de alcantarilla, ampliar capacidad hidráulica, tubos de concreto de 1,82m de diámetro, total 8 tubos (₡385.000 /tubo). </t>
  </si>
  <si>
    <t>Alcantarillas de concreto reforzado de 30" de diámetro.</t>
  </si>
  <si>
    <t>Colocación de un paso nuevo de alcantarillas, de al menos 30" de diámetro, en total 7 alcantarillas reforzadas,</t>
  </si>
  <si>
    <t>Derrumbe o "avalancha" sobre la vía, a la altura de la finca "Los Manantiales", dañando el paso de alcantarilla actual, con poca capacidad hidráulica,</t>
  </si>
  <si>
    <t xml:space="preserve">Sustitución y  colocación de 2 paso de alcantarillas (guapeados), de 1,82m de diámetro, total 18 tubos (₡385.000 /tubo), </t>
  </si>
  <si>
    <t>Alcantarillas de concreto reforzado de 1,22m de diámetro</t>
  </si>
  <si>
    <t>Derrumbe o "avalancha" sobre la vía, a la altura de la propiedad del señor Fabio Herrera, dañando el paso de alcantarilla actual</t>
  </si>
  <si>
    <r>
      <t>Colocación de 3 alcantarillas de concreto de 122 cm de diámetro (</t>
    </r>
    <r>
      <rPr>
        <sz val="8"/>
        <color rgb="FF000000"/>
        <rFont val="Arial"/>
        <family val="2"/>
      </rPr>
      <t xml:space="preserve">₡201.000 /tubo), </t>
    </r>
  </si>
  <si>
    <t>Paso de alcantarilla en la comunidad de Ventanas, sufrió una avalancha sobre este que lo dejó totalmente obstruído y dejando el paso reducido a unos 3m de ancho</t>
  </si>
  <si>
    <t xml:space="preserve">Sustitución y  colocación de 1 paso de alcantarilla, de 1,82m de diámetro, total 9 tubos (₡385.000 /tubo), </t>
  </si>
  <si>
    <t>Colocación de 7 alcantarillas de 90cm</t>
  </si>
  <si>
    <t>Paso por cause Quebrada Banegas</t>
  </si>
  <si>
    <t xml:space="preserve"> El aumento de caudal y velocidad, provoca el desbordamiento y destrucción del acceso al cause, se crearon gradas de más de 1,50 m de altura imposibilitando el transito.</t>
  </si>
  <si>
    <t>Alcantarilla de Cuadro tres celdas, con dimensiones por celda de 4,88m de luz - 3,05 m de altura - 8 m de ancho. (118 m3 de concreto)</t>
  </si>
  <si>
    <t>Quebrada Baneguitas</t>
  </si>
  <si>
    <t>Paso por cause Quebrada Baneguitas</t>
  </si>
  <si>
    <t xml:space="preserve"> El aumento de caudal y velocidad, provoca el desbordamiento y destrucción del acceso al cause, se crearon gradas de más de 1,0 m de altura imposibilitando el transito.</t>
  </si>
  <si>
    <t>Alcantarilla de Cuadro una celda, con dimensiones por celda de 6,1 m de luz - 3,05 m de altura - 8 m de ancho. (58 m3 de concreto)</t>
  </si>
  <si>
    <t>Quebrada sin nombre (Rancho Quemado)</t>
  </si>
  <si>
    <t>Paso por cause Quebrada sin Nombre (Rancho Quemado)</t>
  </si>
  <si>
    <t>Alcantarilla de Cuadro una celda, con dimensiones por celda de 6,1 m de luz - 3,66 m de altura - 8 m de ancho. (61 m3 de concreto)</t>
  </si>
  <si>
    <t>Quebrada Sin Nombre(Progreso)</t>
  </si>
  <si>
    <t>Quebrada sin nombre (Progreso)</t>
  </si>
  <si>
    <t>Paso por cause Quebrada sin Nombre (Progreso)</t>
  </si>
  <si>
    <t xml:space="preserve"> El aumento de caudal y velocidad, provoca que las alcantarillas se desplacen aguas abajo, en avenidas máximas hay insuficiente capacidad hidráulica</t>
  </si>
  <si>
    <t>Quebrada sin nombre  (sector entrada Los Angeles)</t>
  </si>
  <si>
    <t>Alcantarillas 1,20 dañadas.</t>
  </si>
  <si>
    <t>Alcantarilla de Cuadro  dos celdas, con dimensiones por celda de 3,66 m de luz - 3,05 m de altura - 8 m de ancho. (52 m3 de concreto)</t>
  </si>
  <si>
    <t>Pasos por escorrentías</t>
  </si>
  <si>
    <t>Pasos Alcantarillas dañadas.</t>
  </si>
  <si>
    <t>Debido a la gran cantidad de agua producto de escorrentía de las zonas montañosas y pendientes pronunciadas, provoca que las aguas se desbordes de las cunetas y atraviesen la superfice de rodadura dañanandola por completo.</t>
  </si>
  <si>
    <t>Se requiere colocar pasos de alcantarillas que permitan el desfogue de las aguas de escorretía, Los pasos será tubería de conctreto reforzado C76 Clase II, además de cabezales</t>
  </si>
  <si>
    <t>Riyito - Reserva Indígena Alto Laguna</t>
  </si>
  <si>
    <t>Vanegas-Finca Tono Espinoza</t>
  </si>
  <si>
    <t xml:space="preserve">6-05-122 </t>
  </si>
  <si>
    <t>(Dos Brazos, C. Guamy - Tamandu Fin del camino)</t>
  </si>
  <si>
    <t xml:space="preserve"> (Playa Agujitas - Los Planes, Escuela)</t>
  </si>
  <si>
    <t xml:space="preserve"> (Playa Agujitas - Finca Victor Mosquera; Fin Camino)</t>
  </si>
  <si>
    <t>(Los Planes - Playa Caletas)</t>
  </si>
  <si>
    <t xml:space="preserve"> (Playa Agujitas - Progreso; CruceAngeles)</t>
  </si>
  <si>
    <t xml:space="preserve"> (Los Planes, Escuela - Playa San Josecito; Fin del camino)</t>
  </si>
  <si>
    <t xml:space="preserve"> 6-05-131</t>
  </si>
  <si>
    <t>(Sierpe - Sábalo - Estero Ganado)</t>
  </si>
  <si>
    <t xml:space="preserve">6-05-269 </t>
  </si>
  <si>
    <t>Quebrada Alvaro Quesada</t>
  </si>
  <si>
    <t xml:space="preserve">Alcantarilla de Cuadro dos celdas, con dimensiones por celda de 6,10m de luz - 3,05 m de altura - 8 m de ancho. (58 m3 de concreto) </t>
  </si>
  <si>
    <t>Quebrada Aguas Sucias</t>
  </si>
  <si>
    <t>Paso por cause Quebrada Aguas Sucias</t>
  </si>
  <si>
    <t xml:space="preserve"> El aumento de caudal y velocidad, provoca el daños en un paso vehicular de madera ("Puente menor"), falseando los apoyos del mismo</t>
  </si>
  <si>
    <t xml:space="preserve">Alcantarilla de Cuadro dos celdas, con dimensiones por celda de 5,49m de luz - 3,05 m de altura - 8 m de ancho. </t>
  </si>
  <si>
    <t>(Miramar - Finca Orlando Leiva)</t>
  </si>
  <si>
    <t>(Miramar - Finca Arnoldo Salazar; Fin del camino publico La Amapola)</t>
  </si>
  <si>
    <t>(El Alto de San Juan - San Juan Iglesia)</t>
  </si>
  <si>
    <t>(Calles Urbanas; Cuadrante - Barrio Fidel Martinez; Sierpe)</t>
  </si>
  <si>
    <t>(Finca 18; Entrada a La Olla - Fincas; Fin Lastre; Fin Transitable)</t>
  </si>
  <si>
    <t>(Calles Urbanas; Cuadrante - Sierpe)</t>
  </si>
  <si>
    <t>(Finca Gallera; Sierpe - Arrocera Estero Azul)</t>
  </si>
  <si>
    <t>(Entrada Finca 18 - Estero Azul; Finca; Rio Sierpe)</t>
  </si>
  <si>
    <t>(Calles Urbanas; Cuadrante - Barrio Pueblo Nuevo; Sierpe)</t>
  </si>
  <si>
    <t>(San Juan - Faro)</t>
  </si>
  <si>
    <t>(Estero Azul; Sierpe - Finca Maximiliano Bogantes)</t>
  </si>
  <si>
    <t>Zapote Abajo - Alto Las Cruces; Limite Cantonal</t>
  </si>
  <si>
    <t xml:space="preserve"> 6-05-355</t>
  </si>
  <si>
    <t>Quebrada Zapote</t>
  </si>
  <si>
    <t>Paso por cause QuebradaZapote</t>
  </si>
  <si>
    <t>Alcantarilla de Cuadro tres celdas, con dimensiones por celda de 4,88m de luz - 3,66 m de altura - 8 m de ancho. (118 m3 de concreto)</t>
  </si>
  <si>
    <t>(Cajon; Rio Grande de Terraba - Progreso)</t>
  </si>
  <si>
    <t>(Santa Elena - Progreso)</t>
  </si>
  <si>
    <t>(Villa Colon - Coquito)</t>
  </si>
  <si>
    <t>(San Francisco; Tinoco - Paraiso)</t>
  </si>
  <si>
    <t>(Puerta de Sol - Paraiso; Escuela)</t>
  </si>
  <si>
    <t>Ciudad Cortes</t>
  </si>
  <si>
    <t>QuebradaLa Tigra</t>
  </si>
  <si>
    <t>Paso por cause Quebrada La Tigra</t>
  </si>
  <si>
    <t xml:space="preserve"> El aumento de caudal y velocidad, provoca el desbordamiento y destrucción del acceso al cause.</t>
  </si>
  <si>
    <t>Alcantarilla de Cuadro tres celdas, con dimensiones por celda de 4,88m de luz - 3,55 m de altura - 8 m de ancho. (128 m3 de concreto)</t>
  </si>
  <si>
    <t>(Balsar Abajo - Muneco)</t>
  </si>
  <si>
    <t>(Balsar Abajo; La Fuente - Cementario San Rafael; Limite Cantonal)</t>
  </si>
  <si>
    <t>(San Buenaventura - Tres Rios)</t>
  </si>
  <si>
    <t>(Tres Rios - Coranado)</t>
  </si>
  <si>
    <t>Bahia Ballena</t>
  </si>
  <si>
    <t>(Dominicalito - Puertocito El Diablo)</t>
  </si>
  <si>
    <t>(Dominical; Rio Baru - Dominical Centro)</t>
  </si>
  <si>
    <t>(Escaleras - Dominicalito)</t>
  </si>
  <si>
    <t>(Uvita - Playa Bahia; Caseta MINAET)</t>
  </si>
  <si>
    <t>(Uvita - Santo Domingo; Rio Uvita)</t>
  </si>
  <si>
    <t>(Cementerio Uvita - Camino Agua Buenalte; Provin)</t>
  </si>
  <si>
    <t>PiedrasBlancas</t>
  </si>
  <si>
    <t>(Entrada Finca Alajuela - Finca Limon)</t>
  </si>
  <si>
    <t>(Piedras Blancas - Calles Urbanas Piedras Blancas)</t>
  </si>
  <si>
    <t>(Venecia entrada Huacas - Sinai, Iglesia)</t>
  </si>
  <si>
    <t>Tubo corrugado metalico, con cabezales y losa</t>
  </si>
  <si>
    <t>Daños estructurales en cabezales losa y tubería, erosión en los rellenos de aproximación</t>
  </si>
  <si>
    <t>6-025, Desde del entronque de la RN34 hasta la comunidad de Silencio</t>
  </si>
  <si>
    <t>Canales agricolas</t>
  </si>
  <si>
    <t>Pasos de alcantarillas</t>
  </si>
  <si>
    <t>Erosión en los rellenos de aproximación, superficie de rodamiento, daños en cabezales y alcantarillas</t>
  </si>
  <si>
    <t>Reconstrucción de pasos de alcantarillas</t>
  </si>
  <si>
    <t>C6-06-023 y C6-06-130 Desde el entronque RN243 hasta las comunidades de Tierras Morenas, Punto Mira y Tres Piedra</t>
  </si>
  <si>
    <t>C6-06-057, Desde entonque calle Santa Juana hasta puente San Isidro</t>
  </si>
  <si>
    <t>Cañaza</t>
  </si>
  <si>
    <t>6-07-067</t>
  </si>
  <si>
    <t xml:space="preserve">Pasos sobre calle </t>
  </si>
  <si>
    <t>32,5m</t>
  </si>
  <si>
    <t>Alcantarilla de cuadro y pasos de alcantariila de 60cm de diametro.</t>
  </si>
  <si>
    <t>Colapso de la tuberia, llevandose la estructura existente, reconstruir pasos.</t>
  </si>
  <si>
    <t>Construcción de una alcantarilla de cuadro, y colocacion de 3 pasos de tuberia de concreto reforzado de 60cm de diametro.</t>
  </si>
  <si>
    <t>6-07-073</t>
  </si>
  <si>
    <t>52,5m</t>
  </si>
  <si>
    <t>Alcantarilla de concreto de 60cm de diametro interno</t>
  </si>
  <si>
    <t>Suministro y colocación de tuberia de concreto reforzado de 60cm de diametro y construccion de cabezales de concreto.</t>
  </si>
  <si>
    <t>Alpha</t>
  </si>
  <si>
    <t>Alcantarillas reforzadas C-76, Clase lll, de un diametro  interno  de 0,80m, 1,00 m y 1,20m,  con cabezales CA-1, CA-6</t>
  </si>
  <si>
    <t>Producto de las constantes lluvias producidas por la tormenta NATE, se produce fuertes daños en los pasos de alcantarilla como desprendiendo de tubos, producto de la inestabilidad del suelo, además de colapso de pasos, así como fracturas de cabezales, producto de los deslizamientos que se dan sobre la superficie de ruedo.</t>
  </si>
  <si>
    <t>Colocación de nuevos pasos de alcantarilla, construcción de los cabezales correspondientes.</t>
  </si>
  <si>
    <t>Siete colinas- Fila Pinar Código: 6-08-195</t>
  </si>
  <si>
    <t>Alcantarillas reforzadas C-76, Clase lll, de un diametro  interno  de 0,80m,   con cabezales CA-1, CA-6</t>
  </si>
  <si>
    <t>Alcantarilla circular doble existente</t>
  </si>
  <si>
    <t>Lavado de relleno y ampliación de diámetro / No abastece</t>
  </si>
  <si>
    <t>Suministro y Colocación de alcantarillas nuevas de diámetro a definir (1,2m doble)</t>
  </si>
  <si>
    <t>Alcantarilla circular existente</t>
  </si>
  <si>
    <t>Suministro y Colocación de alcantarillas nuevas de diámetro a definir (1,5m)</t>
  </si>
  <si>
    <t>Suministro y Colocación de alcantarillas nuevas de diámetro a definir (1,2m)</t>
  </si>
  <si>
    <t>Ciudadela González</t>
  </si>
  <si>
    <t>Ampliación de diámetro / No abastece</t>
  </si>
  <si>
    <t>Construcción de alcantarilla de cuadro</t>
  </si>
  <si>
    <t>Alcantarilla de cuadro existente</t>
  </si>
  <si>
    <t>Colapso del paso / No abastece</t>
  </si>
  <si>
    <t>Ver puente en Ficha de Compromiso FNE Puentes</t>
  </si>
  <si>
    <t>Quebrada Amarilla</t>
  </si>
  <si>
    <t>6-11-020</t>
  </si>
  <si>
    <t>Camino Rio Seco-Ruta a Mata de Plátano</t>
  </si>
  <si>
    <t>Alcantarilla doble de Cuadro</t>
  </si>
  <si>
    <t>Quebrada sin nombre con un caudal muy importante genera socavación en la calzada, el tubo de alcantarilla colocado por la municipalidad es insuficiente para la escorrentía en avenidas como la de Nate.</t>
  </si>
  <si>
    <t>Se debe construir una alcantarilla de cuadro doble capaz de mejorar la sección hidráulica del paso por ruta cantonal. Esta alcantarilla deberá tener cabezales de entrada y salida, además debe tener un ancho de al menos 10 m y una sección transversal con dos cajas de al menos 2m de altura y 2,5 m de ancho cada alcantarilla</t>
  </si>
  <si>
    <t>6-11-028</t>
  </si>
  <si>
    <t>Camino a La Hilda</t>
  </si>
  <si>
    <t xml:space="preserve">En el sector existen colectores de pluviales que al momento de pasar por vía publica son insuficientes y generan un problema de atascamiento. </t>
  </si>
  <si>
    <t>Se debe construir una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</si>
  <si>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6-11-029</t>
  </si>
  <si>
    <t>Camino La Purruja</t>
  </si>
  <si>
    <t>Se debe construir alcantarilla de cuadro capaz de mejorar la sección hidráulica del paso por ruta cantonal. Esta alcantarilla deberá tener cabezales de entrada y salida, además debe tener un ancho de al menos 10 m y una sección transversal con caja de al menos 2m de altura y 2,5 m de ancho.</t>
  </si>
  <si>
    <t>6-11-006</t>
  </si>
  <si>
    <t>Calle Villagra</t>
  </si>
  <si>
    <t>Se debe construir dos alcantarillas de cuadro capaz de mejorar la sección hidráulica del paso por ruta cantonal. Esta alcantarilla deberá tener cabezales de entrada y salida, además debe tener un ancho de al menos 10 m y una sección transversal con caja de al menos 3m de altura y 2,5 m de ancho.</t>
  </si>
  <si>
    <t>Calle La Pipasa</t>
  </si>
  <si>
    <t xml:space="preserve">Canal pluvial </t>
  </si>
  <si>
    <t xml:space="preserve">Existe un colector principal en muy malas condiciones. La longitud del canal principal es de 1100m, el mismo con las afectaciones de la tormenta se lleno, llevándose los materiales de las márgenes y ampliando su sección. </t>
  </si>
  <si>
    <t>Se debe revestir el canal con gaviones en toda su extensión, se debe reforzar en las secciones de mayor afectación, además se requiere la construcción de losas para el acceso de los vecinos sobre el canal pluvial. La sección transversal típica del canal será de canal trapezoidal revestido completamente de manera que no se socave.</t>
  </si>
  <si>
    <t>6-11-008</t>
  </si>
  <si>
    <t>Playa Agujas</t>
  </si>
  <si>
    <t xml:space="preserve">Existe una quebrada que genera socavaciones excesivas, en la tormenta se evidenció la afectación principalmente en la convergencia de la quebrada y el rio agujas. </t>
  </si>
  <si>
    <t>Se debe construir alcantarilla de cuadro con cabezales de entrada y salida. El área de sección transversal debe ser de al menos 8 m2 4x2 m de manera que se garantice la evacuación de las aguas.</t>
  </si>
  <si>
    <t>Camino Lagunillas -Cuarros</t>
  </si>
  <si>
    <t>Pánica</t>
  </si>
  <si>
    <t>ALCANTARILLA 36" DOBLES CON CABEZALES</t>
  </si>
  <si>
    <t>Paso de alcantarilla deteriorado</t>
  </si>
  <si>
    <t>Daños en el camino</t>
  </si>
  <si>
    <t>Construcción paso de alcantarilla</t>
  </si>
  <si>
    <t>Barrio Salinas</t>
  </si>
  <si>
    <t>DAÑO EN PASO DE ALCANTARILLAS</t>
  </si>
  <si>
    <t>Playa Organos</t>
  </si>
  <si>
    <t xml:space="preserve">Punta Cuchillo </t>
  </si>
  <si>
    <t>ALCANTARILLA CORRUGADA</t>
  </si>
  <si>
    <t>10m</t>
  </si>
  <si>
    <t>Reparacion de alcantarilla corrugada</t>
  </si>
  <si>
    <t xml:space="preserve">Laberinto </t>
  </si>
  <si>
    <t xml:space="preserve">La Zoila </t>
  </si>
  <si>
    <t>Playa Pájaros</t>
  </si>
  <si>
    <t>Río Grande</t>
  </si>
  <si>
    <t xml:space="preserve">Gigante </t>
  </si>
  <si>
    <t>Playa Blanca</t>
  </si>
  <si>
    <t>INUNDACIÓN DE VIVIENDAS</t>
  </si>
  <si>
    <t>La Esperanza Norte</t>
  </si>
  <si>
    <t>Quebrada Alondra</t>
  </si>
  <si>
    <t>Alcantarilas de 100 cm</t>
  </si>
  <si>
    <t xml:space="preserve">Debido al desbordamiento, se produjo socavación tanto   del relleno  de las alcantarillas  como de la base. El Arrastre de árboles produjo daños en el cabezal de entrada y losa superior.
</t>
  </si>
  <si>
    <t xml:space="preserve">Construción de un paso de alcantarilla de 200 cm de díametro. Con sus respectivos cabezales. </t>
  </si>
  <si>
    <t>QUEBRADA SOCORRO</t>
  </si>
  <si>
    <t>Paso  doble  con tubería plástica de 120 cm de diámetro</t>
  </si>
  <si>
    <t xml:space="preserve">LA OBSTRUCCIÓN CON PIEDRAS PROVOCÓ RUPTURA INTERNA DE LA ALCANTARILLA PLÁSTICA. </t>
  </si>
  <si>
    <t>Se requiere sustitución del alcantarillado por tubos de 200 cm de  diámetro  para  brindar más capacidad hidráulica al cauce.</t>
  </si>
  <si>
    <t>6-01-369</t>
  </si>
  <si>
    <t>Quebrada  sucia</t>
  </si>
  <si>
    <t>Paso  doble  con tubería  de 1100 cm de diámetro</t>
  </si>
  <si>
    <t>Debido al desbordamiento de la quebrada y obstrucción de las alcantarillas se socavó el relleno  colapsando el  paso.</t>
  </si>
  <si>
    <t>Monte verde</t>
  </si>
  <si>
    <t>Quebrada Cambronero (Mary Rocwell)</t>
  </si>
  <si>
    <t>Paso de Alcantarilla de 120 cm de díametro</t>
  </si>
  <si>
    <t>Construcción de Cabezales en entrada y salida</t>
  </si>
  <si>
    <t>Cerro Plano</t>
  </si>
  <si>
    <t>6-01-099</t>
  </si>
  <si>
    <t>Quebrada Máquina</t>
  </si>
  <si>
    <t>Paso de Alcantarilla de 70 cm de díametro</t>
  </si>
  <si>
    <t>El desbordamiento de la quebrada provocó la socavación del relleno colapsando el paso</t>
  </si>
  <si>
    <t>Construción de un paso de alcantarilla de 150 cm de díametro. Con sus respectivos cabezales y Aletones.</t>
  </si>
  <si>
    <t>Bajo Rodríguez</t>
  </si>
  <si>
    <t>Quebrada Torres</t>
  </si>
  <si>
    <t>Paso de Alcantarilla de 150 cm de diámetro</t>
  </si>
  <si>
    <t>El desbordamiento de la quebrada provocó la socavación del  relleno y desprendimiento de alcantarilla en la salida</t>
  </si>
  <si>
    <t>Construcción de un paso de alcantarilla de 200 cm de diámetro con cabezales en entrada y salida.</t>
  </si>
  <si>
    <t>6-01-366</t>
  </si>
  <si>
    <t>Paso doble de alcantarilla de 70 cm de diámetro</t>
  </si>
  <si>
    <t>Socavamiento del relleno bajo la carpeta asfáltica con desprendimiento de alcantarillas en la salida.</t>
  </si>
  <si>
    <t>Construccion de un paso de alcantarilla de 150 cm con cabezales de entrada y salida</t>
  </si>
  <si>
    <t>Cauce del Río Aranjuez, derecho de vía de caminos cantonales (Bajo Caliente a San Martín y Bajo Caliente a Santa Marta), iglesia, escuela, salón comunal y viviendas</t>
  </si>
  <si>
    <t>Pérdida completa de caminos cantonales, salón comunal, iglesia y escuela en el centro de Bajo Caliente, colapso de gran cantidad de viviendas y socavación de subestructuras de puentes</t>
  </si>
  <si>
    <t>Estudios preliminares, diseño y construcción de dique ( o muro de retención)</t>
  </si>
  <si>
    <t>Pitahaya Centro</t>
  </si>
  <si>
    <t>Cauce del Río Aranjuez, manglar y humedal que se encuentra en la desembocadura</t>
  </si>
  <si>
    <t>Desbordamiento de río debido a crecida del mismo y estrechamiento por material de manglar y humedal</t>
  </si>
  <si>
    <t>Dragado de río, humedal y manglar (si fuera posible)</t>
  </si>
  <si>
    <t>El Establo, Villa Vieja, La Torre y Pitahaya Centro</t>
  </si>
  <si>
    <t>Cauce del Río Aranjuez, viviendas, derecho de vía de caminos cantonales (El Establo y Pitahaya Centro)</t>
  </si>
  <si>
    <t>Pérdida completa de caminos cantonales, viviendas, problemas en pozos de agua (para abastecimiento), así como deterioro en la producción agrícola (palma)</t>
  </si>
  <si>
    <t>Estudios preliminares, diseño y construcción de dique ( o muro de retención), así como dragado de río</t>
  </si>
  <si>
    <t>Cauce del Río Veracruz, viviendas, derecho de vía de caminos cantonales (Bajo Caliente a San Martín Sur y Norte)</t>
  </si>
  <si>
    <t>Pérdida completa de caminos cantonales, zona de riesgo en viviendas (producto de socavación de talud), problemas de socavación en puentes y volcamiento de muro de gaviones</t>
  </si>
  <si>
    <t>Estudios preliminares, diseño y construcción de dique (o muro de retención)</t>
  </si>
  <si>
    <t>Barranca centro, Playón, Terrón Colorado</t>
  </si>
  <si>
    <t>Rio Barranca</t>
  </si>
  <si>
    <t xml:space="preserve">Cauce del Río Barranca y dique de protección </t>
  </si>
  <si>
    <t>Pérdida de dique de protección, zona de riesgo para las viviendas aledañas</t>
  </si>
  <si>
    <t xml:space="preserve">Guacimal Centro </t>
  </si>
  <si>
    <t>Río Guacimal</t>
  </si>
  <si>
    <t>Cauce del Río Guacimal, dique de protección y puente sobre ruta nacional</t>
  </si>
  <si>
    <t>Pérdida de dique de protección, zona de riesgo para las viviendas aledañas, colapso de puente sobre ruta nacional</t>
  </si>
  <si>
    <t>Orocú, San Agustín, Lagarto Sur, Cocorocas, Punta Morales</t>
  </si>
  <si>
    <t>Río Lagarto</t>
  </si>
  <si>
    <t>Cauce del río Lagarto, muro de gaviones, dique de protección, ASADAS, caminos cantonales (Pica Pica, Orocú, San Agustín, Cocorocas) y viviendas aledañas</t>
  </si>
  <si>
    <t>Volcamiento de muro de gaviones, pérdida parcial de dique de protección, así como derecho de vía de caminos cantonales, vulnerabilidad (zona de riesgo) de ASADAS y viviendas aledañas</t>
  </si>
  <si>
    <t>Río Abangares</t>
  </si>
  <si>
    <t>Cauce del río Abangares, viviendas y derecho de vía de caminos cantonales</t>
  </si>
  <si>
    <t xml:space="preserve">Sedimentación del río Abangares, vulnerabilidad de las casas aledañas y caminos cantonales </t>
  </si>
  <si>
    <t>Construcción de dique y dragado de río</t>
  </si>
  <si>
    <t>La gran cantidad de sedimentos arrastrados desde  la parte alta de la cuenca a rellenado el cause de la misma, provocando con ello desbordamiento  e inundaciones.</t>
  </si>
  <si>
    <t>Dragado con excavadora,limpieza y Canalización y resconstrucción de Dique</t>
  </si>
  <si>
    <t>1.Dragado con excavadora,limpieza y Canalización.
2.Reconstrucción del dique.</t>
  </si>
  <si>
    <t>Dominical y Sector Los Cherepos</t>
  </si>
  <si>
    <t>Uvita</t>
  </si>
  <si>
    <t>Río Olla 1 Coordenadas Lambert Sur :       Inicio                          N 317316.074             E 531941.247      Final                          N 315847.448            E 531382.094</t>
  </si>
  <si>
    <t>Dragado con excavadora,limpieza y Canalización.</t>
  </si>
  <si>
    <t>Cuidad Cortés</t>
  </si>
  <si>
    <t>Ciudad Cortés</t>
  </si>
  <si>
    <t xml:space="preserve">San Buenas </t>
  </si>
  <si>
    <t>Palmar Sur, Fincas # 1,2, 4,3,10,5,9,8,7</t>
  </si>
  <si>
    <t>Finca 8 y Finca 7</t>
  </si>
  <si>
    <t>Desbordamiento e inundaciones y sedimentación</t>
  </si>
  <si>
    <t>Río Paquita</t>
  </si>
  <si>
    <t>Dique</t>
  </si>
  <si>
    <t>1000 m de largo, 7 m de ancho, 3 m de alto</t>
  </si>
  <si>
    <t xml:space="preserve">Dique con problemas de socavación </t>
  </si>
  <si>
    <t>Protección de la comunidad, mediante la colocación de material de gran magnitud</t>
  </si>
  <si>
    <t>Cerros Filadelfia</t>
  </si>
  <si>
    <t>Dieque colapsado</t>
  </si>
  <si>
    <t>Asentamiento savegre Rancho Toño</t>
  </si>
  <si>
    <t>Río Portalón</t>
  </si>
  <si>
    <t>Río Hatillo Nuevo</t>
  </si>
  <si>
    <t>200 m de largo, 7 m de ancho, 3 m de alto</t>
  </si>
  <si>
    <t>Dique colapsado en varios sectores de la estructura</t>
  </si>
  <si>
    <t>Naranjito, Hospital Max Terán Valls, San Martin</t>
  </si>
  <si>
    <t>Quebrada Salas, Quebrada Guapil y  Río Naranjo</t>
  </si>
  <si>
    <t>2000 m de largo, 7 m de ancho, 3 m de alto</t>
  </si>
  <si>
    <t>Coto 63</t>
  </si>
  <si>
    <t>Rio Claro</t>
  </si>
  <si>
    <t>Puente vehicular y viviendas.</t>
  </si>
  <si>
    <t>1500m</t>
  </si>
  <si>
    <t>Desbordamiento del cauce del rio sobre los cuadrantes de coto 63, y sedimentacion sobre la estructura del puente vehicular en coto 63.</t>
  </si>
  <si>
    <t>Construcción de dique de proteccion sobre la margen izquierda del rio Claro en el sector coto 63.</t>
  </si>
  <si>
    <t>Rio Lagarto</t>
  </si>
  <si>
    <t>Escuela Los Ángeles</t>
  </si>
  <si>
    <t>1000m</t>
  </si>
  <si>
    <t>Socavación de los terrenos aledaños al margen del rio, inclue la escuela Los Ángeles ademas de la calle publica.</t>
  </si>
  <si>
    <t>Construcción de dique de proteccion sobre la margen derecha del rio lagarto en el sector de los Ángeles hasta el puente sobre ruta nacional.</t>
  </si>
  <si>
    <t>Conte</t>
  </si>
  <si>
    <t>Escuela Central de conte.</t>
  </si>
  <si>
    <t>600m</t>
  </si>
  <si>
    <t>Socavación de los terrenos aledaños al margen del rio, inclue la escuela central de comte ademas de la calle publica.</t>
  </si>
  <si>
    <t>Construcción de dique de proteccion sobre la margen derecha del rio Conte en el sector de la escuela de conte.</t>
  </si>
  <si>
    <t>Rio Claro de Pavon</t>
  </si>
  <si>
    <t>250m</t>
  </si>
  <si>
    <t>Socavación de los terrenos aledaños al margen del rio.</t>
  </si>
  <si>
    <t>Canalizacion y rectificacion de cauce del rio barrigones en Cañaza.</t>
  </si>
  <si>
    <t>Rio Barrigones</t>
  </si>
  <si>
    <t>Paso a la escuela San Miguel</t>
  </si>
  <si>
    <t>Socavación de los terrenos aledaños al margen del rio, inclue la escuela de San Miguel de Cañaza ademas la calle publica.</t>
  </si>
  <si>
    <t>Socavación de los bastiones del puente vehicular en Palo Seco, ademas de la socavación de los terrenos aledaños a la calle publica.</t>
  </si>
  <si>
    <t>Limpieza, canalizacion y rectificacion de cauce del rio Conte en Palo Seco.</t>
  </si>
  <si>
    <t>Rio Tigre</t>
  </si>
  <si>
    <t>Calle Publica colindante.</t>
  </si>
  <si>
    <t>Socavación de los terrenos aledaños al margen del rio ademas de la calle publica que va paralela al rio.</t>
  </si>
  <si>
    <t>Rectificacion de cauce del rio Tigre como la construccion de un dique de proteccion en en sector de Gallardo.</t>
  </si>
  <si>
    <t>Rio Rincon</t>
  </si>
  <si>
    <t>Viviendas cercanas y calle publica.</t>
  </si>
  <si>
    <t>Socavación de los terrenos aledaños al margen del rio, desbordamiento del cauce a la plaza y viviendas cercanas  inclue la escuela de Guadalupe ademas de la calle publica.</t>
  </si>
  <si>
    <t>Construcción de dique de proteccion sobre la margen derecha del rio rincon en el sector de Guadalupe ademas de rectificación del cauce.</t>
  </si>
  <si>
    <t>Rio Caracol</t>
  </si>
  <si>
    <t>800m</t>
  </si>
  <si>
    <t>Socavación de los terrenos aledaños al margen del rio, ademas de la calle publica.</t>
  </si>
  <si>
    <t>Construcción de dique de proteccion sobre la margen derecha del rio Caracol en el sector de la caballeriza ademas de rectificación del cauce.</t>
  </si>
  <si>
    <t xml:space="preserve">Sitradique </t>
  </si>
  <si>
    <t>7110 m</t>
  </si>
  <si>
    <t>Fallas en la corona del dique, reportes de fugas de agua en las paredes del dique, posible socavacion del mismo debido al ensanchamiento del cauce</t>
  </si>
  <si>
    <t xml:space="preserve">Evaluación integral de las estructuras de diques que protegen a las comunidades del casco urbano de Parrita. Unidad SENARA </t>
  </si>
  <si>
    <t xml:space="preserve">La Julieta </t>
  </si>
  <si>
    <t xml:space="preserve">El Invu </t>
  </si>
  <si>
    <t xml:space="preserve">La Ligia </t>
  </si>
  <si>
    <t>Isla Palo Seco</t>
  </si>
  <si>
    <t xml:space="preserve">Parrita Centro </t>
  </si>
  <si>
    <t xml:space="preserve">Rio Palo Seco </t>
  </si>
  <si>
    <t>Propiedades privadas, camino C609200 C609103</t>
  </si>
  <si>
    <t>4000 m</t>
  </si>
  <si>
    <t>Afectacion en dos tramos del camino C609200 (km), camino C609103 1 Km. Afectacion de propiedades en las margenes del rio, 3  viviendas afectadas.</t>
  </si>
  <si>
    <t>Recaba del rio Palo Seco para brindar protección a la infraestructura existentes.</t>
  </si>
  <si>
    <t>Asentamiento Pirris</t>
  </si>
  <si>
    <t>Rio Damitas</t>
  </si>
  <si>
    <t>Inundacion de parcelas del Asentamiento Pirris debido al ensanchamiento del cauce del Rio Damitas y Rio Damas</t>
  </si>
  <si>
    <t>Encauzamiento del los Rio Damitas y Rio Damas , reforzamiento de las estructuras de dique existentes.</t>
  </si>
  <si>
    <t xml:space="preserve">Terreno privados </t>
  </si>
  <si>
    <t>Perdida de terreno debido al ensanchamiento del cauce del Rio Seco.</t>
  </si>
  <si>
    <t>Encauzamiento del rio Seco con el fin de brindar porteccion de las propiedades aledañas.</t>
  </si>
  <si>
    <t>Tarcoles Centro</t>
  </si>
  <si>
    <t>Rio Tarcolitos</t>
  </si>
  <si>
    <t>Diques de proteccion lateral</t>
  </si>
  <si>
    <t>1000m (500m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</si>
  <si>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el dique, además del material sedimentado a la desembocadura del río Tarcolitos. No contar con esta inversión pone en riesgo la integridad de las personas de Tarcoles que viven atrás dos del dique. </t>
  </si>
  <si>
    <t>Se requiere la construcción de un dique de 500 m de longitud, sección trapezoidal, de 6 m de altura, base mayor 16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80 000 m3 de material de relleno y 7000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</si>
  <si>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Rio Agujas</t>
  </si>
  <si>
    <t>Recava del Rio Agujas</t>
  </si>
  <si>
    <t>1000 m de recava del cauce del rio Agujas</t>
  </si>
  <si>
    <t xml:space="preserve">Afectación provocada por las avenidas máximas de la Tormenta Nate. Provoca el desprendimiento del materia del dique existente. El volumen de escorrentía bajó por el cauce con tal fuerza y volumen que daño la estructura del dique, desarmando la estructura de enrocado que existe. Este dique fue intervenido en avenidas pasadas por SENARA y la CNE  en 2010, sin embargo estas lluvias lo dañaron desplazando el enrocado y dejando la matriz expuesta.. </t>
  </si>
  <si>
    <t>Se requiere la reconstrucción de la recava de 1000 m de cauce, sección trapezoidal, de 6 m de altura, base mayor 15 m, base menor 6 m aproximadamente del lado derecho del cauce con coraza de enrocado para mayor protección de la matriz del dique. Es necesario contar con maquinaria tipo excavadora hidráulica de 30 ton, camiones tándem y roqueros para la importación de material de relleno y la coraza del dique, aunque el rio presenta una sedimentación importante se estima que el volumen necesario para este proyecto es de al menos 10 000 m3 de material de coraza, el relleno para el dique se estima en 50 000 m3. Cargador o excavadora hidráulica de 20 ton para carga en fuente de extracción. Se estima la necesidad de personal calificado para la correcta disposición de las obras, así también se requiere servicio de topografía en el sitio para garantizar la línealidad y correcta posición del nuevo dique.</t>
  </si>
  <si>
    <t xml:space="preserve">Jaco </t>
  </si>
  <si>
    <t>Jaco Centro</t>
  </si>
  <si>
    <t>Rio Copey</t>
  </si>
  <si>
    <t>800m de dique( 400 m a cada lado del cauce)</t>
  </si>
  <si>
    <t xml:space="preserve">Afectación provocada por las avenidas máximas de la Tormenta Nate. Provoca el desprendimiento del materia del dique existente. El volumen de escorrentía bajo por el cauce con tal fuerza y volumen que daño la estructura del dique, desarmando completamente el dique dejando una pared inestable donde existía la protección, además del material sedimentado a la desembocadura del río Copey. Debido a la sedimentación el rio creo un meandro que afecta negativamente la playa. La desembocadura del rio Copey se ubica en el centro de jaco, es visitado por muchas personas y mantenerlo en una condición de riesgo no es recomendable. </t>
  </si>
  <si>
    <t>Se requiere la construcción de un dique de 400 m de longitud, sección trapezoidal, de 6 m de altura, base mayor 15 m, base menor 6 m aproximadamente a ambos lados del cauce. .Preferiblemente coraza de enrocado para mayor protección de la matriz del dique. Es necesario contar con maquinaria tipo excavadora hidráulica de 45 ton, 30 ton, camiones tándem y roqueros para la importación de material de relleno y la coraza del dique, aunque el rio presenta una sedimentación importante se estima que el volumen necesario para este proyecto es de al menos 56 000 000 de material de relleno y 6500 m3 de material de coraza. Cargador o excavadora hidráulica de 30 ton para carga en fuente de extracción. Se estima la necesidad de personal calificado para la correcta disposición de las obras, así también se requiere servicio de topografía en el sitio para garantizar la línealidad y correcta posición del nuevo dique</t>
  </si>
  <si>
    <t>Río Cañablancal sector Las Parcelas</t>
  </si>
  <si>
    <t>2000 m (1000 m de cada lado del cauce)</t>
  </si>
  <si>
    <t>Afectación provocada por las avenidas máximas de la Tormenta Nate. Provoca el desprendimiento del materia de las paredes del cauce. Sector de al menos 12 m de altura desde el cauce hasta la ubicación de las viviendas a la margen del rio. Los terrenos inestables sedimentarios y arenosos de la zona con las avenidas de las tormentas generan el desprendimiento y sedimentacion del material. El material del rio es de 4" de tamaño maximo por lo que es necesario importa piedra para la recava.</t>
  </si>
  <si>
    <t>Se requiere la recava del cauce del rio Cañablancal en al menos 1000 m de longitud de cauce, con matriz granular con los materiales del rio y un enrocado de proteccion que logre estabilizar las margenes y definir la seccion media del rio de manera definitiva.</t>
  </si>
  <si>
    <t>Río Cañablancal, Calle Villagra</t>
  </si>
  <si>
    <t>Limpieza y proteccion de las margenes</t>
  </si>
  <si>
    <t>2500 m de cauce</t>
  </si>
  <si>
    <t>El material arrastrado por la corriente se ha sedimentado en las zonas bajas de la cuenca, dejando los cauces completamente saturados de sedimentos. Estos sedimentos generan que los rios no sean capaces de manejar avenidas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</si>
  <si>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55000 m3 de material granular sedimentado en los 2500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</si>
  <si>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Río Cañablancal, Desembocadura</t>
  </si>
  <si>
    <t>Diques de proteccion lateral Malecon</t>
  </si>
  <si>
    <t>500 m (250m de cada lado del cauce).</t>
  </si>
  <si>
    <t>Se presenta material sedimentado en la desembocadura del Rio Cañablancal Sector Los Sueños. En el sector no existe aún obras de encauce.</t>
  </si>
  <si>
    <t>Se requiere la construccion de un malecon con las dimensiones adecuadas el recibimiento de mareas y crecidas en la seccion de contacto con el oceano. Se propone seccion trapezoidal de 16 m de base y 7 m de corona con coraza de enrocado o jacks para un adecuado sosten de la estructura.</t>
  </si>
  <si>
    <t>1200m</t>
  </si>
  <si>
    <t>El material arrastrado por la corriente se ha sedimentado en las zonas bajas de la cuenca, dejando los cauces completamente saturados de sedimentos. Estos sedimentos generan que los rios no sean capaces de manejar avenidas,aun con periodos de retorno muy bajos. La tormenta Nate ademas de terminar de sedimentar las zonas bajas tambien genero inundaciones y afectaciones en fincas aledañas al cauce.</t>
  </si>
  <si>
    <t>Se requiere la limpieza mecanizada del cauce del rio. El volumen exedente debera ser sacado del cauce del rio y puesto en escombrera a disposicion de la municipalidad de Garabito.Se estima un volumen de extraccion de excedencias de 35000 m3 de material granular sedimentado en los 1200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</si>
  <si>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Mona</t>
  </si>
  <si>
    <t>Se requiere la limpieza mecanizada del cauce del rio. El volumen exedente debera ser sacado del cauce del rio y puesto en escombrera a disposicion de la municipalidad de Garabito.Se estima un volumen de extraccion de excedencias de 40000 m3 de material granular sedimentado en los 1500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</si>
  <si>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2500m</t>
  </si>
  <si>
    <t>Se requiere la limpieza mecanizada del cauce del rio. El volumen exedente debera ser sacado del cauce del rio y puesto en escombrera a disposicion de la municipalidad de Garabito.Se estima un volumen de extraccion de excedencias de 75000 m3 de material granular sedimentado en los 2500 m de cauce a intervenir. Se le debe dar una geometria adecuada al cauce y reforzar con material competente los recodos y demas zonas propensas a socavacion.Se requiere la importacion de material de coraza para el reforzamiento de las margenes. Se requiere la contratacion de excavadoras hidraulicas, vagonetas tandem y roqueras, ademas del servicio de topografia. para la mejor definicion de la seccion media del cauce que albergara nuevas avenidas.</t>
  </si>
  <si>
    <t>Quebrada Seca, Jaco</t>
  </si>
  <si>
    <t>Se requiere la limpieza mecanizada del cauce del rio. El volumen exedente debera ser sacado del cauce del rio y puesto en escombrera a disposicion de la municipalidad de Garabito.Se estima un volumen de extraccion de excedencias de15000 m3 de material granular sedimentado en los 1000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</si>
  <si>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Rio Naranjal- Quebrada El Tigre</t>
  </si>
  <si>
    <t>2000m</t>
  </si>
  <si>
    <t>Se requiere la limpieza mecanizada del cauce del rio. El volumen exedente debera ser sacado del cauce del rio y puesto en escombrera a disposicion de la municipalidad de Garabito.Se estima un volumen de extraccion de excedencias de 65000 m3 de material granular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</si>
  <si>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1750m</t>
  </si>
  <si>
    <t>Se requiere la limpieza mecanizada del cauce del rio. El volumen exedente debera ser sacado del cauce del rio y puesto en escombrera a disposicion de la municipalidad de Garabito.Se estima un volumen de extraccion de excedencias de 60000 m3 de material granular sedimentado en los 1750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</si>
  <si>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750m</t>
  </si>
  <si>
    <t>Se requiere la limpieza mecanizada del cauce del rio. El volumen exedente debera ser sacado del cauce del rio y puesto en escombrera a disposicion de la municipalidad de Garabito.Se estima un volumen de extraccion de excedencias de 55000 m3 de material granulary material vegetal, como troncos y maleza sedimentado en los 2000 m de cauce a intervenir. Se le debe dar una geometria adecuada al cauce y reforzar con material competente los recodos y demas zonas propensas a socavacion. Se requiere la contratacion de excavadoras hidraulicas, vagonetas tandem y roqueras, ademas del servicio de topografia. para la mejor definicion de la seccion media del cauce que albergara nuevas avenidas.</t>
  </si>
  <si>
    <t>QUEBRADA ALONDRA</t>
  </si>
  <si>
    <t>Daños en la estructura del cause de la quebrada aguas abajo y aguas arriba y desvío del cauce aguas arriba</t>
  </si>
  <si>
    <t>100m aguas arriba y 100m aguas abajo</t>
  </si>
  <si>
    <t xml:space="preserve">Debido al desbordamiento, se vio afectada la superficie de ruedo, y el lavado del relleno de la alcantarilla de paso. Arrastre de árboles.
Se tiene sedimentación en el cauce de la Quebrada aguas arriba y aguas abajo. </t>
  </si>
  <si>
    <t>Urgente</t>
  </si>
  <si>
    <t xml:space="preserve">
Dragado de la quebrada aguas abajo y arriba, para la eliminación de la sedimentación</t>
  </si>
  <si>
    <t>QUEBRADA BRUJA</t>
  </si>
  <si>
    <t>La estructura que soportaba la Quebrada Bruja se vio afectado en su totalidad dado principalmente a la poca capacidad del sistema</t>
  </si>
  <si>
    <t>50 m aguas arriba y 50 m aguas abajo</t>
  </si>
  <si>
    <t xml:space="preserve">Debido al desbordamiento y  Arrastre de árboles, la estructura del cause se vio afectado en su totalidad. Así como la superficie de ruedo                                               </t>
  </si>
  <si>
    <t xml:space="preserve">Dragado de la quebrada aguas abajo y aguas arriba para la reconstrucción del cause. </t>
  </si>
  <si>
    <t xml:space="preserve">Daños en la estructura del cause de la quebrada aguas abajo y aguas arriba </t>
  </si>
  <si>
    <t>Dragado de la quebrada aguas abajo y arriba para la reconstrucción del cause</t>
  </si>
  <si>
    <t>QUEBRADA SUCIA</t>
  </si>
  <si>
    <t>sedimnentación y derrumbes en el cause de la quebrada</t>
  </si>
  <si>
    <t>10 m aguas arriba 50 metros aguas abajo</t>
  </si>
  <si>
    <t>Debido al desbordamiento de la quebrada y obstrucción de las alcantarillas se socavó el camino colapsando en dicho paso.</t>
  </si>
  <si>
    <t>RIO SAN LUIS</t>
  </si>
  <si>
    <t>Daños en la estructura del cause</t>
  </si>
  <si>
    <t>50 m aguas arriba y 100 m aguas abajo</t>
  </si>
  <si>
    <t>Socabamiento de los bastiones y de los rellenos de aproximación del puente</t>
  </si>
  <si>
    <t>San pedro</t>
  </si>
  <si>
    <t xml:space="preserve">San Pedro de Lepanto: Sector el Mango,  </t>
  </si>
  <si>
    <t xml:space="preserve">vulnerabilidad por relleno de quebrada el mango y rio San Pedro con relleno y cambio de cause. </t>
  </si>
  <si>
    <t>Socavacion de las margenes del cauce, deslizamiento laterales.</t>
  </si>
  <si>
    <t xml:space="preserve">Dragado del cauce y construcción de enrocados utilizando matrices de concreto para adeherencia </t>
  </si>
  <si>
    <t>La fresca de Lepanto</t>
  </si>
  <si>
    <t>Quebrada la Fresca - Río Blanco</t>
  </si>
  <si>
    <t xml:space="preserve">ubicado en la desembocadura de la quebrada la fresca 100 metros norte: un sector vulnerable bajo la influencia de la desembocadura de la quebrada La fresca en el rio Blanco cuenta con más de 40 familias afectadas de escasos recursos, con vulnerabilidad por relleno del cauce del rio Rio Blanco provocando desbordamientos donde el puente vehicular ha sido golpeado en los pilotes y los dos bastiones. </t>
  </si>
  <si>
    <t xml:space="preserve"> Barrio el Jardín Jicaral</t>
  </si>
  <si>
    <t>Río San Pedro</t>
  </si>
  <si>
    <t xml:space="preserve">se presenta vulnerabilidad por relleno rio San Pedro por falta de mantenimiento al dique, confeccionar rutas de evacuación de aguas pluviales. </t>
  </si>
  <si>
    <t>Socavacion de las margenes del cauce, deslizamiento laterales</t>
  </si>
  <si>
    <t xml:space="preserve">Barrio el puente, vulnerabilidad por relleno quebrada San Pedro con problemas de desbordamiento y falta de mantenimiento a rutas de evacuación de aguas pluviales. </t>
  </si>
  <si>
    <t>Dragado del cauce y construcción de enrocados utilizando matrices de concreto para adeherencia</t>
  </si>
  <si>
    <t>San Miguel de Rio Blanco</t>
  </si>
  <si>
    <t>En la entrada a la comunidad de las Chiqueras : puente con problemas de lavado de bastiones y derrumbe en la vía, provocando estado de emergencia por incomunicación ya que existe peligrosidad por tránsito en dicho puente vehicular, también suma la falta de gaviones de contención que provoca el lavado del espaldón vial</t>
  </si>
  <si>
    <t>Bajillo oscuro de Lepanto</t>
  </si>
  <si>
    <t>Río Lapanto</t>
  </si>
  <si>
    <t>vulnerabilidad por relleno del rio Lepanto con problemas de desbordamientos, relleno de cause y falta de mantenimiento a rutas de evacuación de aguas pluviales</t>
  </si>
  <si>
    <t>Jicaral</t>
  </si>
  <si>
    <t>Río Chispero</t>
  </si>
  <si>
    <t xml:space="preserve">Rio Chispero a la boca del estero Jicaral y quebrada Villalobos. Vulnerabilidad por relleno rio Jicaral con problemas de desbordamiento, puente en mal estado y falta de mantenimiento a rutas de evacuación de aguas pluviales. </t>
  </si>
  <si>
    <t>en el sector los chanchos hasta la desembocadura del rio Bongo, vulnerabilidad por relleno de los ríos señalados, con problemas de desbordamiento, el puente vehicular ha sido golpeado sus pilotes y bastiones, además faltan gaviones de contención</t>
  </si>
  <si>
    <t xml:space="preserve"> Los Almendros Montaña Grande de Lepanto</t>
  </si>
  <si>
    <t>problemas de desbordamientos, relleno de cause y destrucción del puente peatonal</t>
  </si>
  <si>
    <t>Dragado del cauce y construcción de enrocados utilizando matrices de concreto para adeherencia- reconstrucción del Puente</t>
  </si>
  <si>
    <t>El coto</t>
  </si>
  <si>
    <t xml:space="preserve">Un sector vulnerable bajo la influencia de la desembocadura del rio Dominicas en el rio Blanco, cuenta con más de 30 familias de escasos recursos con vulnerabilidad por relleno  de los ríos señalados, con problemas de desbordamiento, puente en mal estado y falta mantenimiento a rutas de evacuación de aguas pluviales, provocando un estado de emergencia por incomunicación ya que existe peligrosidad por tránsito por el puente peatonal ya que ha sido golpeado sus pilotes, bastiones. Además por falta de gaviones de contención. Es necesario la construcción de un puente vehicular. </t>
  </si>
  <si>
    <t>Lepanto Punatarenas</t>
  </si>
  <si>
    <t xml:space="preserve">vulnerabilidad por relleno del rio señalado por problemas de desbordamiento, falta de mantenimiento a rutas de evacuación de aguas pluviales. </t>
  </si>
  <si>
    <t>Dragado del cauce y construcción de enrocados utilizando matrices de concreto para adeherencia.</t>
  </si>
  <si>
    <t>Barrio Rosa Claus, Lepanto</t>
  </si>
  <si>
    <t>Quebrada Barca</t>
  </si>
  <si>
    <t xml:space="preserve">problemas de desbordamiento, falta de mantenimiento a rutas de evacuación de aguas pluviales. </t>
  </si>
  <si>
    <t>Muro de gaviones necesario como obra complementaria al camino 6-01-025</t>
  </si>
  <si>
    <t>Camino cantonal 6-01-025 y vecinos de la zona (1 talud)</t>
  </si>
  <si>
    <t xml:space="preserve">Derrumbes en el camino que imposibilitan el paso y zona de riesgo para los habitantes de la zona </t>
  </si>
  <si>
    <t>Estudios preliminares, diseño y construcción de muro de gaviones</t>
  </si>
  <si>
    <t>Muros de gaviones necesarios como obra complementaria al camino    6-01-132 (2 muros)</t>
  </si>
  <si>
    <t>Camino cantonal 6-01-132 y vecinos de la zona (2 taludes)</t>
  </si>
  <si>
    <t>Estudio preliminares, diseño y construcción de muro de gaviones</t>
  </si>
  <si>
    <t>Quepos Centro</t>
  </si>
  <si>
    <t>Frente a la costa, Oceano Pacífico</t>
  </si>
  <si>
    <t>"Malecón" muro de retención o enrrocado que protege el casco urbano</t>
  </si>
  <si>
    <t xml:space="preserve"> Pérdida de material del muro de retención que protege el casco urbano</t>
  </si>
  <si>
    <t>Protección del casco urbano, mediante la colocación de material de gran magnitud</t>
  </si>
  <si>
    <t>GAVIONES</t>
  </si>
  <si>
    <t>210m3</t>
  </si>
  <si>
    <t>Socavación del río</t>
  </si>
  <si>
    <t>Construcción de Gaviones</t>
  </si>
  <si>
    <t>Valle Azul</t>
  </si>
  <si>
    <t>168m3</t>
  </si>
  <si>
    <t>El río socavó el talud del río</t>
  </si>
  <si>
    <t xml:space="preserve">Paquera Centro </t>
  </si>
  <si>
    <t>RÍO DESBORDADO</t>
  </si>
  <si>
    <t>REVESTIMIENTO TALUD CON MALLA GAVION</t>
  </si>
  <si>
    <t>180,00m</t>
  </si>
  <si>
    <t>El río socavó el talud del río, destruyendo los gaviones</t>
  </si>
  <si>
    <t>240,00m</t>
  </si>
  <si>
    <t>El río socavó el talud del río, destruyendo el muro de contención</t>
  </si>
  <si>
    <t>Construcción de Muro de Contención</t>
  </si>
  <si>
    <t>Captaciones y Tubería</t>
  </si>
  <si>
    <t>La Captación de la Naciente 2 y la Naciente la Montaña poseen daños estructurales, por lo que se requiere su reconstrucción.
La tubería de conducción que va desde la nacientes 2, 3 y 4 hasta los tanques de almacenamiento, esta dañada por derrumbes
En un paso elevado, la tubería se encuentra colgando en el aire y el terreno, está propenso a verse afectado por una ruptura por deslizamiento. Por lo que es necesario pasar la tubería por el lado opuesto de la calle.</t>
  </si>
  <si>
    <t>• Reconstrucción de la captación de la naciente 2 y de la naciente La Montaña.
• Proveer la tubería de sustitución para el tramo de conducción que se vio afectado por derrumbes, que comprende 400 metros. Se recomienda tubería de PVC de 75 mm SDR 26.
• Brindar 4 válvulas de aire de 12 mm H.F para mejor el funcionamiento del sistema por gravedad, tomando en cuenta que posee un diámetro inadecuado actualmente.
• Proveer la tubería de sustitución del tramo que se encuentra en terreno propenso de deslizamiento, para ubicarla en lado contrario de la calle. Abarca una longitud de 100 metros y se recomienda PVC de 50 mm SDR 26.</t>
  </si>
  <si>
    <t>San Gerardo, Calle Valverde, EL Llanito, Centro y Santa Marta</t>
  </si>
  <si>
    <t xml:space="preserve">En la naciente “El Común” la malla perimetral de protección sufrió daños debido a los  deslizamientos; la tubería de rebose se encuentra con fugas. La tubería de conducción se encuentra en mal estado debido a los deslizamientos del terreno, se requieren cerca de 300 metros de tubería de PVC de 75mm con un SDR 26.
La linea de conducción proveniente de la naciente “Los Monteros” se encuentra dañada, existe la necesidad de contar con alrededor de 500 metros de tubería de 75mm y otros 500 metros de tubería de 50mm toda en PVC en SDR 26.
</t>
  </si>
  <si>
    <t>Proveer tubería de sustitución para el tramo de conducción que viene desde la naciente El Común que se vio afectada por derrumbes, esto comprende 300 metros de tubería de PVC de 75mm con un SDR 26.
Para la naciente Los Monteros se requiere proveer de 500 metros de tubería de PVC de 75mm con un SDR 26, además de otro tramo de sustitución en la conducción que comprende 500 metros de tubería de PVC de 50mm con SDR 26. Añadir al sistema válvulas de aire.</t>
  </si>
  <si>
    <t>La Guaria, una parte de San Antonio, una parte de Rio Conejo</t>
  </si>
  <si>
    <t xml:space="preserve">Destrucción de las tres nacientes con las que contaba el sistema por un terraplén y actualmente se imposibilita la reconstrucción de las mismas, por estar en terreno altamente pronunciado. Se plantea  reconstruir en verano.
Afectaciones en distintas zonas de la línea de conducción por derrumbes.
Uno de los tanques posee fugas, por lo que se requiere reparaciones.
</t>
  </si>
  <si>
    <t>Hacer las sustituciones y reparaciones respectivas de tubería en los tramos de conducción que se requiera debido a fugas y mal estado de tuberías por haber pasado su vida útil. Adicionalmente, cambiar lugar de instalación de tubería para que no corra peligro por deslizamientos de terrenos.
Reconstrucción de captaciones.
Añadir al sistema válvulas de aire para disminuir problemas de presiones por cambios abruptos de pendiente en las líneas de conducción.</t>
  </si>
  <si>
    <t>Llano los Ángeles (Sector Calle Jimenez, Sector Centro, Calle Caragral, Sector Santa Elena y Calle San Cristobal)</t>
  </si>
  <si>
    <t>Tubería</t>
  </si>
  <si>
    <t>Se visitó la captación de la naciente de Llano Los Ángeles, y la misma no presenta ninguna afectación; el fontanero del acueducto el Sr. Oscar Morales Naranjo nos indica que la afectación principal que se presentó en el acueducto fue debido a que por los grandes deslizamientos que se dieron en la zona hubo perdida de alrededor de 14 tubos para ciertos tramos en la tubería de conducción, la misma en tubería de 75mm en PVC con un SDR 26.</t>
  </si>
  <si>
    <t>Proveer a la ASADA tubería para reforzar tramos que ya cumplieron su vida útil, que presentan fugas y que es importante su sustitución en caso de otra emergencia en el sistema por deslizamiento o terraplén. Además de añadir al sistema válvulas de aire para aminorar problemas de presiones en cambios de pendientes pronunciados en tramos de conducción.</t>
  </si>
  <si>
    <t>Barrio los Ureña, Cola Gallo, Iglesia, Los Camacho, La Flor del Café, Los Picado, San Rafael y cementerio</t>
  </si>
  <si>
    <t>Afectaciones en la tubería de conducción Por lo que es necesario instalar tubería nueva en esos trayectos de conducción, donde también se tiene peligro de ruptura por deslizamiento de terrenos. Se presentan averías diariamente en el sistema por altas presiones y deslizamientos.</t>
  </si>
  <si>
    <t>Sustituir tubería que ya cumplió su vida útil y que se ubica en sectores propensos a deslizamientos para un replanteamiento de su ubicación.
Incluir al sistema válvulas de aire para aminorar problemas de presiones en cambios pronunciados de pendiente.</t>
  </si>
  <si>
    <t>Daños en la tubería de conducción que  viene desde la naciente de San Lorenzo por motivo de derrumbes,</t>
  </si>
  <si>
    <t>Instalar tubería nueva en los sectores de conducción que aún presentan discontinuidades por ruptura debido a deslizamiento.
Incluir al sistema válvulas de aire para aminorar problemas de presiones en cambios pronunciados de pendiente.</t>
  </si>
  <si>
    <t>Calle Valverde, Sector Calle Encinos, Calle Limón, Barrio Los Navarros</t>
  </si>
  <si>
    <t>Las nacientes La Piedra y Guido fueron afectadas, en estructura y en la tubería de conducción.
La naciente “Froilán” aún no se ha podido conectar al sistema debido a las afectaciones en la zona para poder llegar. Afectaciones en la linea de conducción</t>
  </si>
  <si>
    <t>Tomando en cuenta que hay algunos sectores sin servicio, urge brindar material para habilitar todas las fuentes de abastecimiento.
Incluir al sistema válvulas de aire para aminorar problemas de presiones en cambios pronunciados de pendiente.</t>
  </si>
  <si>
    <t>Calle Central, Calle Abarca, Calle Araya, Calle Jimenez, Calle Badilla / cementerio, y calle Julián</t>
  </si>
  <si>
    <t>La tubería de conducción hubo afectaciones en alrededor de 25 lugares distintos donde hubo rupturas de tuberías, se requieren cerca de 36 unidades de tubería PVC de 75mm SDR 26.</t>
  </si>
  <si>
    <t>San Joaquín (Sector de los Drenes, Calle Ureña, Sector Central y camino a San Juan)</t>
  </si>
  <si>
    <t>Una de las nacientes aún no se ha podido saber el estado actual de la captación por problemas a al ingresar al sitio por problemas de la estabilidad del terreno.
Otra naciente, la captación cuenta con daños en la estructura por lo que presenta grandes fugas, La tubería de conducción proveniente de las dos nacientes presentan rupturas en varios tramos de la misma.</t>
  </si>
  <si>
    <t>Instalar tubería nueva en los sectores de conducción que aún presentan discontinuidades por ruptura debido a deslizamiento.
Reconstruir las captaciones que fueron afectadas por terraplén, debido a que poseen fallas estructurales y en consecuencia, fugas.
Incluir al sistema válvulas de aire para aminorar problemas de presiones en cambios pronunciados de pendiente.</t>
  </si>
  <si>
    <t>La Angelina</t>
  </si>
  <si>
    <t>Múltiples rupturas de la tubería de conducción debido a deslizamientos y derrumbes del terreno en toda la zona donde se ubica dicha tubería.</t>
  </si>
  <si>
    <t>Rehabilitación de los tramos  Primer tramo a reparar, cambio de 75 m.  de tubería de HG de 150 mm (6”) de diámetro por PVC SDR-26 de 150 mm (6”) C/E.  Segundo tramo a reparar, cambio de 150 m de tubería de PVC de 100 mm (4”) PVC por tubería de Polietileno PEAD de 100 mm (4”).  Incluye accesorios de interconexión con PVC.</t>
  </si>
  <si>
    <t>Coope rosales</t>
  </si>
  <si>
    <t>Rehabilitación de los tramos: Tramo a reparar, cambio de 150 m de tubería de PVC de 50 mm (2”) PVC por tubería de Polietileno PEAD de 75 mm (3”).  Incluye accesorios de interconexión con PVC.</t>
  </si>
  <si>
    <t>Sistema Las Pirámides: derrumbe de gran tamaño que sepultó toda la zona de la captación y destruyó 100 m de la tubería de conducción de 25 mm (1”).  Sistema Los Mora:  derrumbe que sepultó parte la zona de la captación y destruyó 100 m de la tubería de conducción de 25 mm (1”)</t>
  </si>
  <si>
    <t>Instalación de tubería Polietileno PEAD 25 mm (1”) SDR-11 en 200 m Long.  10 uniones de PVC a PEAD en 25 mm.</t>
  </si>
  <si>
    <t>San Jerónimo, Barrio San Cayetano, Barrio Plantel</t>
  </si>
  <si>
    <t>Sistema Socóla: derrumbes sobre la línea de conducción PVC 75 mm (3”) en 150 m Long.  Sistema Limones: derrumbes sobre la línea de conducción PVC 25 mm (1”) en 275 m Long. Sistema La Plaza: derrumbes sobre la línea de conducción PVC 50 mm (2”) en 240 m Long.</t>
  </si>
  <si>
    <t>Sistema Socóla: Instalación de tubería Polietileno PEAD 75 mm (3”) SDR-11 en 150 m Long.  Sistema Limones: Instalación de tubería PEAD 25 mm (1”)  SDR-11 en 275 m Long. Sistema La Plaza: Instalación de tubería PEAD 50 mm (2”) SDR-11 en 240 m Long.  6 uniones de PEAD a PVC en 75 mm,  6 uniones de PEAD a PVC en 50 mm,   6 uniones de PEAD a PVC en 25 mm., 4 válvulas de compuerta  en HF de 75 mm (3”) con accesorios de conexión, 3 válvulas de compuerta  en HF de 50 mm (2”) con accesorios de conexión.</t>
  </si>
  <si>
    <t>San Lorenzo, Santa Marta, La Sabana y San Miguel</t>
  </si>
  <si>
    <t xml:space="preserve">Sistema Los Picados: asentamientos del terreno sobre la línea de conducción PVC 150 mm (6”) en 90 m Long.  Sistema El Tajo: asentamientos del terreno sobre la línea de conducción PVC 50 mm (2”) en 90 m Long.  </t>
  </si>
  <si>
    <t>Instalación de tubería Polietileno PEAD 150 mm (6”) SDR-11 en 90 m Long.  Instalación de tubería Polietileno PEAD 50 mm (2”) SDR-11 en 90 m Long.   6 uniones de PVC a PEAD en 50 mm. 4 uniones de PVC a PEAD en 150 mm.</t>
  </si>
  <si>
    <t xml:space="preserve">San Martin  </t>
  </si>
  <si>
    <t>Sistema La Canfinera: derrumbes sobre la línea de conducción PVC 50 mm (2”) en 60 m Long.  Tramo reparado años atrás se rompió de nuevo (material inadecuado) el cual corresponde a una la línea de conducción  50 mm (2”) en 300 m Long.</t>
  </si>
  <si>
    <t>Instalación de tubería Polietileno PEAD 50 mm (2”) SDR-11 en 360 m Long.   6 uniones para tubo PEAD en 50 mm.</t>
  </si>
  <si>
    <t>Sistema Loro: Toma de agua completamente destruida, tubería de conducción dañada en 300 m de PVC 150 mm (6”) . Sistema Canet: Tubería de conducción obstruida, desarenador obstruido.  Tubería de conducción entre desarenador y tanque colapsada en 75 m de longitud.  El sistema Rafaelón requiere un filtro para sedimentos.</t>
  </si>
  <si>
    <t>Sistema Loro: Construcción de toma de agua nueva, instalación de tubería de conducción en 300 m de longitud en PVC SDR-26 en 150 mm (6”) C/E . Sistema Canet: Limpieza general de tubería de conducción obstruida, limpieza general del desarenador obstruido.  Construcción de un paso elevado de tubería con 150 m de cable acerado inoxidable de 12 mm (1/2”), 10 gasas de 12 mm (1/2”), 50 m cable acerado inoxidable de 3,2 mm (1/8”),  50 gasas de 3,2 mm (1/8”) y 75 m de tubería de PVC SDR-26 en 150 mm (6”) C/E. 1 válvula de compuerta de HF en 150 mm (6”) con accesorios de conexión, 1  filtro para sedimentos a colocar sobre tubería de 50 mm (2”)</t>
  </si>
  <si>
    <t>Caragral</t>
  </si>
  <si>
    <t>1-Ruptura de tubería de conducción que sale de la naciente Los Monges debido a la tormenta
2-Ruptura de tubería de conducción entre las 2 nacientes debido a derrumbes
3-Ruptura de tubería de conducción que sale de la naciente Calderón debido a la tormenta
4-Destrucción de la captación en la naciente Calderón
5-Falseo del terreno en donde existe un tramo de tubería de conducción</t>
  </si>
  <si>
    <t>Reemplazar con tubería PEAD SDR 17, de 50 mm de diámetro un aproximado de 200 m
Reconstruir dos captaciones
Colocar tubería 75 mm en HG 18 m
Colocar tubería PEAD enterrada, 75 mm longitud 132 m SDR 17
Reubicar línea de tubería a terreno más estable, 63 mm diámetro SDR 26, un aproximado de 115 m (60m del punto 5 y 55m del punto 1 mencionado en la descripción de daños que generó la depresión tropical)</t>
  </si>
  <si>
    <t>Casa Mata</t>
  </si>
  <si>
    <t>Daño en tubería por deslizamiento de terreno producto de la tormenta</t>
  </si>
  <si>
    <t>Colocación de tubería nueva con diámetro de 25 mm SDR 32.5, longitud aproximada 30 m</t>
  </si>
  <si>
    <t>Empalme abajo, Barrio Roble, Luchita</t>
  </si>
  <si>
    <t>Daño de tuberías por derrumbe y caída de carretera producto de la tormenta tropical</t>
  </si>
  <si>
    <t>Colocación de tubería adecuada 60 metros, además por el desprendimiento del terreno, es necesario cruzar la tubería sobre ruta nacional, por lo que se debe encamisar una longitud de 30 metros</t>
  </si>
  <si>
    <t>Comunidad general de la Cangreja</t>
  </si>
  <si>
    <t>Afectación en la naciente principal con daños estructurales, tapa golpeada, fisuramientos en los costados que generan fugas.
Daños en tubería de conducción por caída de árboles
Daños en la tubería de distribución sobre ruta nacional (ruta 2) Interamericana Sur, por deslizamiento de laderas</t>
  </si>
  <si>
    <t>Cambiar 50 m de tubería desde la naciente hacia el tanque de almacenamiento con tubo PVC SDR 26 100mm
Cambiar 300 m de tubería de distribución desde el tanque de almacenamiento hasta ruta 2 con tubo PVC SDR26 100mm   Cambiar 250 m de tubería utilizando tubo PVC SDR 26 50mm del sistema de cloración, línea de conducción directa desde la naciente secundaria hasta el sistema principal y clorador                                                                                            Realizar reconstrucción de la captación de la naciente principal</t>
  </si>
  <si>
    <t>Guacimal</t>
  </si>
  <si>
    <t>Guacimal centro, Ángeles, Altos Fernandez</t>
  </si>
  <si>
    <t>Pasos elevados y Tubería</t>
  </si>
  <si>
    <t>El Río Guacimal arrastró el puente donde se encontraba la tubería que  abastece a Guacimal arriba, en 75 mm PVC, con una elevación de 30 metros de diferencia con respecto al tanque de almacenamiento y el punto #20. También se hizo otro daño en el punto 10 donde el ría arrasó parte de la tubería de conducción en PVC en 100 de diámetro en PVC.</t>
  </si>
  <si>
    <t>En el punto #10  colocar tubos de polietileno en 100 mm de diámetro y también en el punto "20 instalar un cable de media pulgada acerado siendo amarrado a dos arboles de manera provisional mientras se construye el puente definitivo para pasar el tubo .</t>
  </si>
  <si>
    <t>San Martin Norte, San Martin Sur, Bajo Caliente</t>
  </si>
  <si>
    <t>El daño lo ocasiona el desbordamiento de dos ríos dañan la tubería de conducción y distribución</t>
  </si>
  <si>
    <t>Esperar que el camino de acceso sea reestablecido para conseguir los materiales y poder reparar las partes dañadas que se localizan en la línea de conducción y distribución en diferentes secciones a lo largo del sistema. Se recomienda actualizar el sistema con un diseño nuevo ya que tiene más de 30 años . Estas reparaciones son para restablecer el sistema. .</t>
  </si>
  <si>
    <t>Guarial</t>
  </si>
  <si>
    <t>Dos captaciones dañadas, la naciente Corobolo fuera de servicio por terraplén y la naciente Tilapias II aterrada por terraplén</t>
  </si>
  <si>
    <t>Realizar mejoras en las 2 captaciones para interconectar al sistema y colocar 120 mts de tuberías de polietileno</t>
  </si>
  <si>
    <t>Zona playa</t>
  </si>
  <si>
    <t>Pozo</t>
  </si>
  <si>
    <t>Tuberías dañada a raíz de la destrucción de la carretera en un tramo de 300 mts.</t>
  </si>
  <si>
    <t>Colocación de 300 mts de tubería polietileno de 150 mm para rehabilitar servicio de agua potable a un sector de la población</t>
  </si>
  <si>
    <t>Villa nueva, Esquipulos y Naranjito</t>
  </si>
  <si>
    <t>Desbordamiento de río Naranjo destruye un sector de tubería de 17 mts de 75 mm y otro tramo de 108 mts de 100  mm ,</t>
  </si>
  <si>
    <t>Colocación de 108 mts de tubería de 10mm para interconectar naciente original del sistema y colocación de 72 mts de tubería en 75 mm en el sector de Esquipulas</t>
  </si>
  <si>
    <t>Destrucción de tubería de conducción por un tramo de 1 km, producto de un derrumbe y daños muy leves a  2 captaciones.</t>
  </si>
  <si>
    <t>Colocación de 1300 mts de tuberías de diferentes diámetros para la rehabilitación del acueducto y rehabilitar 2 captaciones</t>
  </si>
  <si>
    <t xml:space="preserve">Daños en la tubería de conducción por  derrumbes
</t>
  </si>
  <si>
    <t>Colocar 1km de tubería PEAD de 50mm DR13.5 para la zona cercana al tanque en los potreros en donde hay un deslizamiento activo y para zonas vulnerables en la zona montañosa.</t>
  </si>
  <si>
    <t>Sonzapote y Guapinol</t>
  </si>
  <si>
    <t xml:space="preserve">Daños en la tubería que se encuentra apoyada al un puente por la crecida del rio.
</t>
  </si>
  <si>
    <t xml:space="preserve">Se recomienda colocar tubería de PVC de 3” SDR 17 por una de PEAD de 4” SDR11. Para mejorar el paso elevado.
</t>
  </si>
  <si>
    <t>El Carmen y San Martin</t>
  </si>
  <si>
    <t>Por deslizamientos se destruyo dos captaciones además del enterramiento del tanque de almacenamiento.</t>
  </si>
  <si>
    <t>Se propone la construcción de un nuevo sistema de acueducto a partir de dos nacientes en el sector de Santa Marta que requieren la instalación de 100 metros de tubería de 50 mm PEAD de SDR 13.5,así como la colocación de un tanque de 22 m3 de polietileno de forma provisional mientras se gestiona la construcción de un tanque de almacenamiento. A partir de este punto se debe instalar de 570 metros de tubería  de 100mm PVC SDR 26 hasta una válvula reductora de presión para luego colocar 580 metros de tubería de 75 mm PVC SDR 26 hasta el punto de conexión pertinente al sistema del Carmen.</t>
  </si>
  <si>
    <t>Todo el acueducto</t>
  </si>
  <si>
    <t>Destrucción de paso elevado sobre el Río Volcán, incluyendo una de las torres de apoyo. En este paso elevado cruzaban 3 tuberías.</t>
  </si>
  <si>
    <t>Construcción de un paso elevado de 80 m de longitud para soportar el paso de una tubería de 150 mm de diámetro y otra de 100 mm de diámetro.</t>
  </si>
  <si>
    <t>Ruptura de un tramo de tubería de conducción debido al desbordamiento de una quebrada.</t>
  </si>
  <si>
    <t>En el tramo de conducción afectado se debe instalar tubería de polietileno de 50 mm de diámetro y SDR 13,5. Se debe hacer la interconexión respectiva con la tubería de PVC de 38 mm de diámetro existente.</t>
  </si>
  <si>
    <t>Destrucción del sistema de captación y sistema de tratamiento del sistema comunal, así como los pasos de tubería de 150 mm sobre los cauces del Río Zapotal y Río San Rafael.</t>
  </si>
  <si>
    <t>Construcción de la captación que sufrió daño además de colocar tubería que permita conectar una segunda captación que se encuentra fuera de operación en este momento.</t>
  </si>
  <si>
    <t>Por hundimiento en el terreno se afecto 150 metros de tubería de conducción de 100mm en PVC  y 150 m en tubería de distribución en 38 mm.</t>
  </si>
  <si>
    <t>Instalación de 350 metros de tubería de 100 mm en PEAD SDR 13.5, utilizado 175 metros en la línea de conducción y 175 metros en la línea de distribución.</t>
  </si>
  <si>
    <t>Caimital</t>
  </si>
  <si>
    <t>Debido a los fuertes vientos, un árbol cayó sobre un paso elevado sobre el río Salitral. Este paso elevado fue destruido.</t>
  </si>
  <si>
    <t xml:space="preserve"> Reconstruir el paso elevado con tubería de HG de 100mm</t>
  </si>
  <si>
    <t>Colonia Bolaños</t>
  </si>
  <si>
    <t>Debido al aumento de la escorrentía en la Quebrada, el paso de tubería PVC en 100mm enterrado fue arrastrado/destruido.</t>
  </si>
  <si>
    <t xml:space="preserve">En estos momentos se requiere de tres tubos de PVC de 100mm con un SDR 26 para de esta forma restablecer el servicio de forma provisional y colar bloque de anclaje al tubo, con armadura en varilla #4 (tipo viga).                                                                                                                                                    </t>
  </si>
  <si>
    <t>Sierra</t>
  </si>
  <si>
    <t>El problema surge por deslizamiento en las montañas provocando el arrastre de las tuberías entre los tramos 106-87 .</t>
  </si>
  <si>
    <t xml:space="preserve">* Colocación de un sistema de desinfección de forma inmediata o análisis de calidad del agua en la fuente del hotel
* Como intervención inmediata serian 200m de tubería PEAD de 75mm de 9-13,5 o en tubo PVC SDR 17 por la misma longitud, por un nuevo trayecto inmerso del deslizamiento.         </t>
  </si>
  <si>
    <t xml:space="preserve">Debido al aumento de la escorrentía en la Quebrada, el paso de tubería PVC en 100mm enterrado fue arrastrado/destruido.  </t>
  </si>
  <si>
    <t>Se requiere de tres tubos PVC 100mm SDR 26 para de esta forma restablecer el servicio provisionalmente y colar bloque de anclaje al tubo, con armadura en varilla # 4(tipo viga).</t>
  </si>
  <si>
    <t>Marsellesa</t>
  </si>
  <si>
    <t>Daños en dos pasos elevados, los cuales fueron arrastrados.</t>
  </si>
  <si>
    <t>Colocación de un sistema de desinfección de forma inmediata
Construcción de dos pasos elevados</t>
  </si>
  <si>
    <t>Rio Chiquito</t>
  </si>
  <si>
    <t>Debido a los deslizamientos tuvieron problemas con la tubería de conducción.</t>
  </si>
  <si>
    <t xml:space="preserve">* Colocación de un sistema de desinfección de forma inmediata.   
* Rehabilitación de la linea de conducción                                                                           </t>
  </si>
  <si>
    <t>Rio Piedras</t>
  </si>
  <si>
    <t>Por motivo de un terraplén una linea de tubería de distribución fue parcialmente dañada.</t>
  </si>
  <si>
    <t xml:space="preserve">Se requiere de tubería de PVC 100mm SDR 32.5, además de válvulas de aire y válvula de compuerta para reparar los daños parciales.
</t>
  </si>
  <si>
    <t>San Bosco y los Olivos</t>
  </si>
  <si>
    <t>Captaciones y Tubería y Tanques</t>
  </si>
  <si>
    <t>Daños en la captación y tanque de almacenamiento de 13m³.</t>
  </si>
  <si>
    <t>Colocación de un sistema de desinfección de forma inmediata.  
Una vez que sea valorada la zona de influencia de la fuente, iniciar con la reconstrucción captación. Y mejoramiento de la estructura del tanque.</t>
  </si>
  <si>
    <t xml:space="preserve">La naciente (captación) y linea de tubería de conducción en PVC de 50mm se vieron parcialmente dañados.  </t>
  </si>
  <si>
    <t>Es recomendable instalar tubería de mayor diámetro; tubería 75mm sdr 32.5.</t>
  </si>
  <si>
    <t>Ojo de Agua de León Cortes</t>
  </si>
  <si>
    <t>Socavamiento de la estructura en la base del puente colgado para tubería y destrucción de  línea de conducción producto de movimientos de tierra a raíz de las lluvias</t>
  </si>
  <si>
    <t>Construir estructuras del puente colgante de tubería en los márgenes del cauce del río con Cable de 1/2” en HG alma de acero.
Colocación de 150 mts de tubería de 75mm sdr 26, 102 mts tubería 50 mm sdr 26 y 150 mts tubería polietileno de 13.5</t>
  </si>
  <si>
    <t>Socavamiento de la estructura por deslizamiento de tierras en la base del puente colgado para tubería de 200 mts,   destrucción de un tramo de línea de conducción de la naciente al tanque de almacenamiento y daños en la naciente la captación se encuentra aterrada y esta  fuera de servicio.</t>
  </si>
  <si>
    <t>Construir puente elevado de paso tuberías de 200 mts , colocación de 200 mts de tubería de 50 mm sdr 26, instalación de 120 mts tubería de 100 mm sdr 26,  instalación de 150 mts tubería polietileno 13.5 y construcción de captación</t>
  </si>
  <si>
    <t>San Andrés de León Cortés</t>
  </si>
  <si>
    <t>Socavamiento de la estructura en la base del puente colgado para tubería por deslizamiento de tierra,   destrucción de  línea de conducción de la naciente al tanque de almacenamiento y daños en la naciente que la tienen fuera de servicio.</t>
  </si>
  <si>
    <t>Construir  estructuras de soporte en los márgenes del cauce para la tubería en el paso colgado de 200 mts con Cable de 1/2” en HG alma de acero, colocación de 450 mts de tubería de 75 mm sdr 26, instalación de 1000 mts tubería de 50 mm sdr 26,  instalación de 1000 mts tubería polietileno 50mm SDR 13.5 y construcción de captación</t>
  </si>
  <si>
    <t>Daños en 7 pasos colgados de tubería sobre quebradas, por caídas de árboles y crecida del caudal , daños en la línea de impulsión del sistema de bombeo y daños en la captación de la naciente principal por deslizamientos de tierra</t>
  </si>
  <si>
    <t>Construir 7 puentes colgantes , colocación de 150 mts de tubería de 100 mm sdr 17, instalación de 550 mts tubería de 50 mm sdr 26,  instalación de 40 mts tubería HN 100 mm y construcción de captación.</t>
  </si>
  <si>
    <t>Deslizamientos de tierra provocaron daños en las tuberías de conducción y distribución, destrucción de la malla perimetral de la captación y socavamiento de la estructura del tanque de quiebra gradiente por deslizamiento de tierras en la base de este.</t>
  </si>
  <si>
    <t>Colocación de tuberías de conducción y distribución en diferentes tramos del sistema, construcción de tanque quiebra gradiente y reponer malla perimetral de la captación .</t>
  </si>
  <si>
    <t>Deslizamientos dañan la línea de conducción principal y parte de la red de distribución inicial.</t>
  </si>
  <si>
    <t>Reinstalación de tubería de 150 mm PVC SDR 26 41 tubos, 100 mm PVC SDR 26 10 tubos y 75 mm PVC SDR 26 4 tubos para afectaciones de río Jorco.</t>
  </si>
  <si>
    <t>Captaciones y Tubería y Planta de tratamiento</t>
  </si>
  <si>
    <t>Reconstrucción Captación de Río Tigre                        Reinstalación de tramo de conducción 4 tubos de 250mm PVC SDR 26</t>
  </si>
  <si>
    <t>Deslizamiento en línea de conducción y cajas de reunión de captaciones</t>
  </si>
  <si>
    <t>Reinstalación de 200 m de tubería 75 mm PVC SDR41 y accesorios.
Reinstalación de 100 m de tubería 100mm PVC SDR 41 y accesorios.
Reinstalación de 500 m de tubería 150mm PVC SDR 26 y accesorios.
Inclusión de 3 válvulas de aire para tubería 75 mm y 3 válvulas de aire para 150 , y 3 válvulas de limpieza 150mm y accesorios</t>
  </si>
  <si>
    <t>Tanques y Tuberías</t>
  </si>
  <si>
    <t>Deslizamiento de la tierra que destruyó tanque de almacenamiento.
Secciones de tuberías afectadas por deslizamientos de tierra</t>
  </si>
  <si>
    <t>Construcción tanque de 30 m³                                      Colocación de clorador                                         Instalación de 120 m de tubería 100mm PVC SDR 26 y accesorios</t>
  </si>
  <si>
    <t>Deslizamiento en línea de conducción y tanque de almacenamiento en Chirogues y deslizamientos en red de distribución</t>
  </si>
  <si>
    <t xml:space="preserve">Reinstalación de 30 tubos 38mm PVC SDR 26             Reinstalación de 48 tubos 50mm PVC SDR 26             Instalación de tanque de almacenamiento de 10 m³ en Chirogues                                               </t>
  </si>
  <si>
    <t>Rosario, Calle Mendez, La Fila, Jacobo</t>
  </si>
  <si>
    <t>Deslizamientos en red de distribución y en línea de conducción</t>
  </si>
  <si>
    <t>Reinstalación de 10 tubos de PVC 25mm SDR 26, 10 tubos PVC 50mm SDR 26 y 10 tubos PVC 38mm SDR 26</t>
  </si>
  <si>
    <t>Debido a la crecida del río Jorco, se destruyó la calle de acceso a la comunidad de Bajos de Jorco, junto a la cual estaba instalada un ramal de tubería que abastece un sector en el cual habitan 16 familias. Además fueron falseadas 5 cajas de protección de válvulas</t>
  </si>
  <si>
    <t>Reconstrucción de 5 cajas de válvulas, reinstalación de 12 metros de tubería 100mm SDR 26, 30 metros de tubería 75mm SDR 26 y 120 metros de tubería 50 mm SDR 26, con sus respectivos accesorios</t>
  </si>
  <si>
    <t>Agua Blanca de Acosta</t>
  </si>
  <si>
    <t>Sustituir tubería que se perdió por completo debido a los grandes deslizamientos. Actualmente se abastecen por una naciente de muy baja producción, urge brindar el material, para reconectar las dos captaciones que se perdieron e inspeccionar el estado de la naciente principal.</t>
  </si>
  <si>
    <t>Sustituir tubería  que se perdió debido a los deslizamientos. Urge diseñar y realizar los estudios pertinentes para la construcción de un paso elevado  en la conducción de 120 metros de longitud.</t>
  </si>
  <si>
    <t>Jesús</t>
  </si>
  <si>
    <t>Alto de Monte de Atenas</t>
  </si>
  <si>
    <t xml:space="preserve">1. Destrucción de 20 metros de tubería de conducción, 63 mm, SDR 17.
2. Destrucción de un paso elevado en la línea de conducción de 50 metros de longitud,  50 mm.
</t>
  </si>
  <si>
    <t>Sustituir tubería de conducción y paso elevado que se perdió debido a los deslizamientos, urge brindar el material, para reconectar la tubería.</t>
  </si>
  <si>
    <t>Ceiba Este</t>
  </si>
  <si>
    <t>Colapso de la línea de conducción.
La captación quedó enterrada bajo piedras debido a un deslizamiento.
Destrucción de 300 metros de la tubería de conducción, el camino por donde se encontraba instalada la tubería sufrió un deslizamiento y se hizo un barranco de 300 metros de longitud, éste camino es inestable y riesgoso.
Destrucción de 432 metros de la línea de conducción.
Destrucción de 510 metros de la línea de distribución.
Destrucción de tres pasos elevados de 20 metros de longitud.</t>
  </si>
  <si>
    <t>Sustituir tubería que se perdió por completo debido a los grandes deslizamientos. Solo se cuenta con una naciente para abastecer tres comunidades, se debe realizar los estudios pertinentes para el diseño y construcción de un paso elevado de 330 metros de longitud, ya que no existe otra vía para instalar ese sector que se perdió por los deslizamientos, ya que en el lugar por donde iba la tubería se hizo un abismo de 280 metros de longitud, urge brindar el material. Se debe incluir la compra de tres tanques de polietileno de 10 m³.</t>
  </si>
  <si>
    <t>Poás</t>
  </si>
  <si>
    <t>Calle Liles de Poas</t>
  </si>
  <si>
    <t xml:space="preserve">Colapso de un sector de la línea de conducción.
Destrucción de 650 metros de la tubería de conducción, el camino por donde se encontraba instalada la tubería sufrió un deslizamiento.
</t>
  </si>
  <si>
    <t>Sustituir tubería de conducción que se perdió debido a los deslizamientos. Actualmente se abastecen por me dio de la captación de la ASADA Calle Rodríguez, que les dio permiso, urge brindar el material, para reconectar la tubería.</t>
  </si>
  <si>
    <t>Marbella</t>
  </si>
  <si>
    <t>Por la antigüedad del pozo y por varios acontecimientos naturales el pozo se ha visto afectado y  según análisis recientes el pozo se ha salinizado y debido a la tormenta Nate el pozo se contaminó debido a las inundaciones que hubieron producto del temporal.</t>
  </si>
  <si>
    <t>* Intervenir el pozo inmediatamente, realizar limpieza y pruebas de análisis de calidad del agua (dar seguimiento a las pruebas tanto del pozo como del agua, para determinar las acciones a tomar dependiendo de los resultados arrojados por los estudios).</t>
  </si>
  <si>
    <t>Rio Blacon , San Ramon, La Chiquera</t>
  </si>
  <si>
    <t>Paso de tubería que estaba sobre puente, fue arrasado por crecida del cauce der Rio Blanco</t>
  </si>
  <si>
    <t>Construcción de un paso aéreo de 60 m en tubería de 75mm y buscar nueva ruta de instalación</t>
  </si>
  <si>
    <t>Palmital, San Buenaventura, Zagala nueva</t>
  </si>
  <si>
    <t>Deslizamientos y constantes hundimientos producen daños a las tuberías de distribución del acueducto</t>
  </si>
  <si>
    <t>Reparaciones provisionales por encima de los derrumbes, para la instalación correcta de la tubería es necesario esperar que hagan limpieza de los aterros.</t>
  </si>
  <si>
    <t>Debido a las inundaciones se vieron dañados muchos de los micro-medidores y tuberías de conexiones en los micro-medidores. El daño al momento de la visita, se encuentra en la entrada de dichos medidores.
Problema con la tubería de conducción del tanque de cloro a la bomba dosificadora</t>
  </si>
  <si>
    <t>Debido a un problema con la tubería de conducción del tanque de cloro a la bomba dosificadora, se solicita la colaboración del compañero del AyA Ricardo Espinoza, para la verificación de este sistema, de momento la tubería se encuentra en funcionamiento, pero las tuberías se dañan muy fácilmente.
Es necesario la limpieza del pozo. Es recomendable verificar la capacidad del pozo y realizar un prueba de bombeo, para verificar el caudal y valorar la posible integración de el sector de El Bambú #2 al sistema del acueducto de EL Bambú #1</t>
  </si>
  <si>
    <t>Bomba y tubería</t>
  </si>
  <si>
    <t>Tubería expuesta por socavación; daño en panel de control de bomba, no cuentan con la adecuada cloración.</t>
  </si>
  <si>
    <t>Aplicar desinfección controlada en el sistema y reparar fuga en Te de tubería expuesta.</t>
  </si>
  <si>
    <t>Naciente y Pozos</t>
  </si>
  <si>
    <t>Tuberías de distribución en varios puntos destruida.
Tuberías de conducción dañas, sepultadas o destruidas
Captaciones dañadas
9 pasos de río destruidos
Sector Playa con 5 pasos de tubería de 25 mm (1”) destruida
El sistema está dañado en la mayoría de los pasos por ríos, aéreos o donde la tubería es expuesta o vulnerable.</t>
  </si>
  <si>
    <t>Cañitas</t>
  </si>
  <si>
    <t>Debido a la crecida del Río Cañas se rompe el camino, dañando la tubería de acceso del ramal al caserío de Cañitas (aproximadamente 450 m)</t>
  </si>
  <si>
    <t>Colocación de 450 m de tubería de polietileno lejos del rio</t>
  </si>
  <si>
    <t>La Escuadra, Conte, Asentamiento Alberto Villobos, Esperanza de Golfito</t>
  </si>
  <si>
    <t>Sistema de Conté de Pavón: Afectación de las fuentes de abastecimiento de Conte de Pavón, como también daños en algunos tramos de la línea de conducción donde el terreno presenta fuertes cambios de pendiente.</t>
  </si>
  <si>
    <t>Se recomienda realizar la sustitución de 2200 metros de tubería de conducción de PVC en SDR 41 y SDR 32.5 por tubería de Polietileno DR 11 y 100mm de diámetro y colocar anclajes en zonas de cambios de pendiente muy fuertes.
Reconstrucción de dos pasos de río por medio de un puente para la colocación nuevamente de la tubería de 100mm de polietileno  DR 11, de aproximadamente 15 metros de longitud cada uno.</t>
  </si>
  <si>
    <t>Berlin, Providencia y San Miguel de Páramo</t>
  </si>
  <si>
    <t>Daños es la tubería de conducción de la naciente al tanque y daños menores en l estructura de la captación.</t>
  </si>
  <si>
    <t>Para la reconexión permanente de la naciente 1 se propone la utilización de 100 metros de tubería de PEAD de diámetro SDR 13.5.</t>
  </si>
  <si>
    <t>División y El Jardín de Páramo</t>
  </si>
  <si>
    <t>Deslizamiento sobre una naciente, ruptura de tramos de tubería debido a deslizamientos, ruptura de cruce de tubería bajo una quebrada debido a una crecida.</t>
  </si>
  <si>
    <t>Instalación de tubería en los tramos afectados por los deslizamientos:
- Tramo de 18 m con PVC de 75 mm de diámetro y SDR 26.
-Tramo de 50 m con PEAD de 75 mm de diámetro y SDR 13.5.
-Tramo de 36 m con PVC de 75 mm de diámetro y SDR 26.</t>
  </si>
  <si>
    <t>San Isidro de El General / Rivas</t>
  </si>
  <si>
    <t>Miravalles, Morazán</t>
  </si>
  <si>
    <t>Ruptura de un tramo de la tubería de conducción debido a deslizamientos.</t>
  </si>
  <si>
    <t>Instalación de tubería en el tramo afectado por los deslizamientos, replanteando la línea para buscar una zona más estable:
- Tramo de 51 m con PVC de 100 mm de diámetro y SDR 26.</t>
  </si>
  <si>
    <t>Pejije</t>
  </si>
  <si>
    <t>Daño en tramo de tubería que pasa por puente de Río Urraca, tubería de HG en 100 mm de distribución y HG en 75
mm para impulsión.</t>
  </si>
  <si>
    <t>Construir un paso elevado de aproximadamente 2 metros de altura sobre nivel de terreno natural y con una profundidad de 1 metro con base de losa  de concreto chorreado.</t>
  </si>
  <si>
    <t xml:space="preserve">Colapso de dos pasos de tubería de conducción sobre quebradas y arrastres de tubería provocados por deslizamientos en terrenos montañosos, en los cuales todavía existe riesgo de que se presenten otros deslizamientos.  
Afectación y arrastre de la tubería ubicada sobre el puente del río Savegre y zonas cercanas.
</t>
  </si>
  <si>
    <t>- Camino a Nacientes: Sustitución de 320 metros de tubería en 75mm de diámetro en Polietileno DR 13.5, en el trayecto a las nacientes a partir del tanque de Abastecimiento, incluyendo dos pasos elevados de 24 y 20 metros cada uno.
- Centro de Savegre: Construcción de un paso elevado de 30 metros de longitud y colocación de tubería de 75mm de diámetro en PEAD en DR 13.5.
- Sector Liceo de Savegre: Sustitución de 180 metros de tubería en 75mm de diámetro en Polietileno DR 13.5 y 1000 metros de tubería en 50mm de diámetro en Polietileno DR 13.5. En este sector existen 27 servicios de agua potable e incluye un paso elevado de 50 metros de longitud sobre el río Savegre.</t>
  </si>
  <si>
    <t>Ujarras y Guanacaste de Ujarras</t>
  </si>
  <si>
    <t>Tramos de tubería afectada</t>
  </si>
  <si>
    <t>Villa Mills</t>
  </si>
  <si>
    <t>Ruptura de un tramo de tubería de conducción debido a deslizamientos.</t>
  </si>
  <si>
    <t>Instalación de tubería en el tramo afectado por los deslizamientos, replanteando la línea para buscar una zona más estable:
- Tramo de 60 m con PEAD de 100 mm de diámetro y SDR 13.5.</t>
  </si>
  <si>
    <t>Ruptura de tubería de impulsión y distribución que pasaba por debajo del Río, debido a la crecida producto de la tormenta Nate.</t>
  </si>
  <si>
    <t xml:space="preserve">Construcción de un Paso elevado de 40 m de longitud para dos tuberías de 75 mm de diámetro.
</t>
  </si>
  <si>
    <t>Garita</t>
  </si>
  <si>
    <t>Ruptura de tubería que cruza la calle por dentro de una alcantarilla.</t>
  </si>
  <si>
    <t>Instalación de tubería con perforadora horizontal, mediante un paso encamisado, y reconexión de tuberías y accesorios.</t>
  </si>
  <si>
    <t>Playa Potrero</t>
  </si>
  <si>
    <t>Afectación en un tramo de tubería que quedó expuesta ya que se lavó el terreno que la cubría, además un cabezal en un paso de río quedó en mal estado.</t>
  </si>
  <si>
    <t>Realizar un encamisado de concreto en la tubería expuesta y darle un mejor soporte mediante el uso de uniones dresser. Sumar a esto, un recubrimiento de concreto pobre, tipo sello al lado de un cabezal en un pequeño puente de la comunidad para mejorar el paso del agua y evitar lavados de terreno.</t>
  </si>
  <si>
    <t>Intervenir el pozo número 2, realizar una limpieza para evaluar los daños y si es posible reactivarlo ya que en época de verano es esencial para complementar lo producido por el pozo número 1.</t>
  </si>
  <si>
    <t>Turín</t>
  </si>
  <si>
    <t>A raíz de la fuertes lluvias brotó mas agua al lado superior de la fuente, provocando que alrededor de la fuente se vaya socavando aparte del fuerte rebalse que presenta la fuente. El muro superior se reventó por causa de una piedra en un pequeño sector pero no de alta gravedad. Por la crecida de los ríos se sufrió daños en tres pasos elevados.</t>
  </si>
  <si>
    <t>* Reconstrucción de pasos elevados para la solución definitiva al sistema. *Además de solicitud de tubería para que sirva como plan de contingencia mientras el invierno en la zona pasa.</t>
  </si>
  <si>
    <t>Viejo Arenal</t>
  </si>
  <si>
    <t>Deslizamiento en las montañas provocando que fuera arrastrada la tubería de conducción en varios tramos. Además un paso elevado sufrió daños.</t>
  </si>
  <si>
    <t>*Solicitud de tubería y cable acerado para que sirva como medio para plan de contingencia mientras el invierno en la zona pasa.</t>
  </si>
  <si>
    <t>Chimirol de Rivas</t>
  </si>
  <si>
    <t>Pasos elevados y Tubería y tanques</t>
  </si>
  <si>
    <t>Un deslizamiento ocasionó la ruptura de la tubería que ingresa a tanque quiebragradiente#2 y de otro tramo de tubería de 20 m que conduce el agua al tanque de almacenamiento de 30m³, afectando también el bloque de anclaje.             Destrucción de un paso elevado de 30 metros de longitud aproximadamente.</t>
  </si>
  <si>
    <t xml:space="preserve">Reposición y colocación de  la tubería de conducción PVC 100mm SDR 26 12 m aproximadamente y reconstrucción de bloque de anclaje de tubería.
 Readecuación de 18 metros de tubería PVC para dar conexión a paso elevado con el tanque de 30m³  Construcción de dos pasos elevado de 30 m de longitud  PEAD 100mm SDR 13.5   </t>
  </si>
  <si>
    <t>Guadalupe de Rivas</t>
  </si>
  <si>
    <t>Un deslizamiento de la carretera provocó la ruptura y perdida parcial de la tubería de 12 metros de longitud, además la caída de un árbol y deslizamiento de tierra rompió otro tramo de la tubería de conducción de 24 metros de longitud aproximadamente.</t>
  </si>
  <si>
    <t>Reposición y colocación de 12 metros de tubería, utilizando material PVC SDR 26 con un diámetro de 100mm.
Instalación de tubería PEAD de 75mm de diámetro, con una longitud de 18 m desde la naciente hasta la margen opuesta de la quebrada</t>
  </si>
  <si>
    <t>Pejibaye</t>
  </si>
  <si>
    <t>Las Mesas</t>
  </si>
  <si>
    <t>Arrastre de parte de la tubería de conducción que viene de las nacientes 21 metros aproximadamente, se dañó la captación y en  la toma  al margen derecho del río Platanares la rejilla de la estructura fue arrastra por el agua.</t>
  </si>
  <si>
    <t>Reponer y volver a colocar la tubería de conducción de PVC 150 mm SDR 26 de la toma a la caseta de bombeo cerca de 21 metros, extender la protección de concreto en 15 metros por el daño parcial que sufrió el muro de protección de la captación y reparar captación.</t>
  </si>
  <si>
    <t>Monterrey de Rivas</t>
  </si>
  <si>
    <t>Reposición y colocación de  la tubería de conducción con una longitud de 48 metros PVC 75 mm SDR 41     Diseño y construcción de paso elevado de 60 metros aproximadamente, incluyendo reposición y colocación de tubería en ese tramo (PVC SDR 26 100 mm).</t>
  </si>
  <si>
    <t>Se afectó  todo el acueducto. Provocó daños en la captación y destrucción de un paso elevado sobre una quebrada.</t>
  </si>
  <si>
    <t>Reconstruir la captación existente e instalación de 50 m tubería PEAD 75 mm SDR 13.5 hacia otra captación.
Reconstruir paso elevado con tubería 75 mm PEAD SDR 13.5 de longitud 50 m</t>
  </si>
  <si>
    <t>Arrastre de tubería de conducción que viene de las nacientes y dejó sin abastecimiento a la comunidad</t>
  </si>
  <si>
    <t>Colocar nuevamente la tubería de conducción 155 metros aproximadamente PEAD 150 mm SDR17 y construir los bloques de anclajes para la tubería.</t>
  </si>
  <si>
    <t>El General</t>
  </si>
  <si>
    <t>Un  deslizamiento al margen derecho del río Peñas Blancas provocó la ruptura de la tubería de conducción en un trecho de 32 metros aproximadamente.</t>
  </si>
  <si>
    <t>Reposición y colocación de  la tubería de conducción con una longitud de 32 metros con tubería PVC 75 mm SDR 26.</t>
  </si>
  <si>
    <t>Pasos elevados y Tubería y Captación</t>
  </si>
  <si>
    <t>El río lavó las bases de una de las torres del paso elevado de tubería sobre el río, trayéndose al suelo la torre y aproximadamente 500 m de tubería de 50mm, además de la tubería que baja por la montaña proveniente de la fuente de captación, 600 m de tubería de 75mm y 100mm. También se vio afectada una captación.</t>
  </si>
  <si>
    <t>Colocar tanque de captación, instalar sistema de cloración en este tanque Instalación de 300 m de tubería PVC SDR 26 75 mm, 300 m de tubería PVC SDR 26 100mm y 510 m de tubería PVC SDR17 50 mm Reparación de torre de paso elevado</t>
  </si>
  <si>
    <t>Sector el Pavón y Quebrada seca</t>
  </si>
  <si>
    <t>Producto de derrumbe se daño tubería de conducción que viene de la captación, la cual también se vio afectada.</t>
  </si>
  <si>
    <t>Instalación de tubería en tramo que va desde la naciente hasta el tanque cisterna, a la orilla de la calle. Se requiere instalar 132 m de tubería PEAD 100 mm SDR 13.5 y 60 m de tubería PEAD 50 mm SDR 13.5.</t>
  </si>
  <si>
    <t>Legua</t>
  </si>
  <si>
    <t>Afectaciones en la línea de conducción principal por un deslizamiento en un tramo de la ruta 313, en tubería de 50 mm entre las nacientes y el tanque de almacenamiento. El terreno está en falso pues tiene una grieta en la parte alta. Requiere trasladar la línea de tubería a zona segura</t>
  </si>
  <si>
    <t>El proyecto consiste en la rehabilitación de la línea principal de abastecimiento del acueducto de La Legua de Aserrí, la cual toma las aguas de ocho nacientes, con un trazado por la orilla de la ruta 313, el cual debe ser trasladado a un trazo más seguro</t>
  </si>
  <si>
    <t>Afectaciones en la línea de distribución sobre la ruta a La Uruca de Aserrí, por desbordamiento de Río Caraigres, destrozó paso de río y parte por orilla de río</t>
  </si>
  <si>
    <t>El proyecto consiste en la rehabilitación de la línea de distribución del acueducto de Monterrey de Aserrí, en el paso por el río Caraigres en ruta a La Uruca de Aserrí</t>
  </si>
  <si>
    <t>Vuelta Jorco</t>
  </si>
  <si>
    <t>Afectaciones en la línea de conducción principal en todo el tramo de 150 mm procedente del desarenador.
Como consecuencia el sistema principal de abastecimiento está caído. El río Tarbaca destrozó camino en la margen derecha por donde estaba instalada la tubería en un tramo de unos 1100 metros. Esta línea de conducción transporta el agua captada del río Tarbaca más la de 8 nacientes.</t>
  </si>
  <si>
    <t>El proyecto consiste en la rehabilitación de la línea principal de abastecimiento del acueducto de Vuelta de Jorco de Aserrí, la cual toma las aguas del río Tarbaca, con un trazado por camino público a la orilla del río, el cual debe ser reconstruido por la Municipalidad de Aserrí.</t>
  </si>
  <si>
    <t>Desarenador ,tubería, captación</t>
  </si>
  <si>
    <t>El proyecto consiste en la rehabilitación de la línea principal de abastecimiento del acueducto de Poás de Aserrí, la cual toma las aguas de los ríos Poás y Lajas, con un nuevo trazado por camino público en su mayoría, incorporando la construcción de un Planta Potabilizadora que sustituye al desarenador y al filtro, para lo cual se requiere compra de terreno. La ASADA cuenta con un estudio técnico con una propuesta similar. Se requiere el diseño de todas estas obras</t>
  </si>
  <si>
    <t>Daños en las tuberías de conducción debido a deslizamiento de tierra. Fue reparado de forma provisional con manguera de poliducto no apta para consumo humano.</t>
  </si>
  <si>
    <t>Colocar tubería de 50 mm PEAD SDR 11 alta densidad 300 metros</t>
  </si>
  <si>
    <t>Potrero Cerrado</t>
  </si>
  <si>
    <t>19 Sectores Comunales</t>
  </si>
  <si>
    <t>Naciente Los Quemados (Pozo Amarillo) y Birris</t>
  </si>
  <si>
    <t>En la línea de conducción daños en los pasos colgados, daños en el tubería de conducción y distribución en aproximadamente 400m</t>
  </si>
  <si>
    <t>Reconstruir los pasos colgados de tuberías sobre las quebradas, edificación de soportes de concreto y estructuras metálicas en las márgenes de las quebradas afectadas, instalación de cable de soporte y tubería de Polietileno de Alta Densidad para cada paso colgado. Aproximadamente  pasos colgados sobre la quebrada de 50m cada uno.  Reubicación de la tubería expuesta, en una nueva zanja con una profundidad de 80cm y ancho de 50cm, elaborar bloques de anclaje en los cambios bruscos de dirección para soporte de tubería. Aproximadamente 100m de longitud cada reubicación.
Reubicación de la tubería de distribución del sector del Cristo. 400 m.</t>
  </si>
  <si>
    <t>Los Sitios
La Joya
La Misión
El Rodeo
El Bajo
Tierra Blanca Centro</t>
  </si>
  <si>
    <t>Naciente Miquelo
Los Sitios
Entre otras</t>
  </si>
  <si>
    <t>Daños en la líneas de conducción y distribución y en captación</t>
  </si>
  <si>
    <t>Construir obras hidráulicas para el aseguramiento del manejo de aguas en las zonas de alta pendiente.
Cambiar la tubería de PCV SDR26, por tubería de polietileno DR13,5, en 75mm, para mejorar las condiciones en cuanto a resistencia del material y capacidad hidráulica en zonas de riesgo.
Cambiar la tubería de 100mm PVC SDR32,5 por SDR 26 y 17 en las zonas de alta presión y vulnerables a los golpes.
Reforzar y/o reubicaciones  las zonas expuestas con nuevas conformación de zanjas de tubería. Y bloques de anclaje para soportar los cambios bruscos de dirección de la tubería.</t>
  </si>
  <si>
    <t>Palmital Norte</t>
  </si>
  <si>
    <t>Daño en la linea de conducción</t>
  </si>
  <si>
    <t>Realizar la conformación de la zanja para el resguardo de la tubería que quedo expuesta.  Son Aproximadamente 25m de longitud tubería de 50mm de PVC SDR26</t>
  </si>
  <si>
    <t>Naranjo, Guayacán y Biolley</t>
  </si>
  <si>
    <t>Deslizamiento de material en los sitios en donde pasa la tubería de conducción que viene de las nacientes y que abastece a todo el acueducto</t>
  </si>
  <si>
    <t>Se propone la sustitución de tubería en los sitios afectados, ya que el riesgo existe aún.</t>
  </si>
  <si>
    <t>Naciente y captación de río</t>
  </si>
  <si>
    <t>Captación</t>
  </si>
  <si>
    <t>La destrucción de la captación superficial dentro del cauce del río Convento.</t>
  </si>
  <si>
    <t xml:space="preserve">Se propone la construcción de una nueva captación en otro punto aguas arriba de la toma actual.
</t>
  </si>
  <si>
    <t>Puerto Jiménez</t>
  </si>
  <si>
    <t xml:space="preserve">Se dio la caída de un árbol sobre la tubería. La tubería afectada es de PVC de 200  mm de diámetro con una longitud afectada de 15  m., los deslizamientos de tierras dejaron parte de la tubería expuesta a daños.
Seis nacientes que están fuera de servicio, dos dañadas y las otras cuatro la linea de conducción se encuentra dañada.
En ambos casos la perdida de la tubería se dio por deslizamientos y por la crecida de la quebrada la Palma.
</t>
  </si>
  <si>
    <t>Se propone la sustitución de tubería dañada además la sustitución de la tubería expuesta para evitar mas daños.
Evaluar las reparaciones en las nacientes para su funcionamiento adecuado sustitución de la linea de conducción.</t>
  </si>
  <si>
    <t xml:space="preserve">Afectación por deslizamientos en diferentes tramos de la tubería de conducción desde las nacientes hasta el tanque de almacenamiento de 2000  m3
</t>
  </si>
  <si>
    <t>Se propone la sustitución de tubería en los sitios afectados.</t>
  </si>
  <si>
    <t>La destrucción de tubería de conducción y distribución, en varios puntos de la red por carretera principal. La mayoría de afectaciones se debió a deslizamientos de material y desbordamiento de quebradas.
Por otro lado en el sector de Calle Fallas, el paso de tubería elevado sobre el cauce del río División, fue destruido</t>
  </si>
  <si>
    <t xml:space="preserve">Se propone la sustitución de tubería PVC en 1500 metros que se encuentra en mal estado afectada por deslizamientos de material y escorrentía de las aguas de quebradas  
Construir un paso elevado para la sustitución del destruido. Además dentro de ese trayecto se propone la sustitución de pasos elevados de tubería por la colocación de tubería en zanjeado normal al otro extremo de la calle en donde no existe riesgo.
 </t>
  </si>
  <si>
    <t>Destrucción de tubería de conducción en dos sectores donde se atraviesan potreros y quebradas con mucha pendiente de terreno. La tubería fue arrastrada y se destruyó en varios puntos producto de los deslizamientos de material.</t>
  </si>
  <si>
    <t xml:space="preserve">
Se propone la sustitución de tubería PVC en 350 metros en mal estado y expuesta por tubería de polietileno de 75 mm PEAD DR-11; así como construir un paso elevado de tubería de 40 metros en 75 mm PEAD-DR-11 sobre el cauce  de  quebrada de forma aérea e incluye la elaboración de bloques de anclaje.</t>
  </si>
  <si>
    <t>San Buenas, Coronado, Punta Mala</t>
  </si>
  <si>
    <t>Captaciones y tubería</t>
  </si>
  <si>
    <t>Las tres nacientes principales que están más adentro fueron las que les cayó un terraplén y las taponeo</t>
  </si>
  <si>
    <t>Las aguas, las nacientes necesitan una reconstrucción de la loza que cubría el lecho del río esto para evitar que agua de escorrentía que viene turbia se introduzca en el agua recolectada de las nacientes.
Colocación de 800 m de tubería de PEAD DR 11</t>
  </si>
  <si>
    <t>Caña Blancal</t>
  </si>
  <si>
    <t>Con la llena el rio amplio su cauce arrasando la línea de conducción y por la crecida del Río Terraba arraso con parte de su margen izquierda llevándose la línea de distribución y parte de la calle.</t>
  </si>
  <si>
    <t>La línea de conducción, requiere de 1700 metros de tubería PVC en SDR 26 en 75 mm, recomendación de sustituir la tubería de PVC que es de 32.5 y PVC de 41 por polietileno de calibre 11 diámetro 75 mm y de distribución debe de trasladarse al margen Izquierdo para evitar en el futuro la perdida de línea de distribución 1800 metros en tubería de 51 mm en SDR 26 PVC</t>
  </si>
  <si>
    <t>Ojochal</t>
  </si>
  <si>
    <t>Las dos principales nacientes que están más adentro fueron las que les cayó un terraplén y las taponeo, afecto la linea de conducción.</t>
  </si>
  <si>
    <t>Colocación de 300 m de tubería de PEAD DR 11 de 100 mm de diámetro, reconstrucción de captaciones</t>
  </si>
  <si>
    <t>Afectación en paso elevado de 40  m de longitud por crecida del río Volcán.</t>
  </si>
  <si>
    <t xml:space="preserve">Tubería de distribución afectada por hundimiento y por deslizamientos en vía pública.
</t>
  </si>
  <si>
    <t>Tubería de distribución afectada por hundimiento en vía pública, se recomienda el cambio de y la reubicación de 150  m de tubería que están directamente sobre el hundimiento.
 Tubería de distribución afectada por deslizamiento  en este caso se recomienda la sustitución de 12  m de tubería. La tubería a colocar debe ser de PVC de 75  mm de diámetro SDR 26.
Tubería de distribución afectada por hundimiento se recomienda el cambio de y la reubicación de 48  m de tubería que están directamente sobre el hundimiento</t>
  </si>
  <si>
    <t>Santa Maria, Santa Marta, Cedral , San Pedrito, Pueblo Nuevo , El Quemado, San Francisco , Navajuelar , El Pilar , Brisas Arriba, Brisas abajo, las vegas , Santa Teresa, El Carmen , Mercedes Arriba   Mercedes Abajo</t>
  </si>
  <si>
    <t>Desarenador ,tubería, captación, Paso Elevado</t>
  </si>
  <si>
    <t>Destrucción de una obra de toma de río ya que se sepulto por rocas de gran tamaño.
Destrucción de un paso aéreo de tubería en Hierro Dúctil (H.D) 200 mm
Afectación en el desarenador por una avalancha de piedras y tierra que lo aterró parcialmente y socavó la terraza del mismo dejando expuesto el cimiento, afectando también el muro y malla perimetral destruidos.
Erosión del cimiento del desarenador.</t>
  </si>
  <si>
    <t>La contratación de 1 500 horas de excavadora para el dragado del río Cajón para re-encausar el rio, conformación de terraza y construcción  dique de protección para desarenador.
Contratación de chompipas para el suministro y colocación de 150 m3 de concreto de alta resistencia para ser colocado encima del dique.
El dique tiene tendrá 6 metros de altura 4 de ancho y 150 de largo.
Reubicar el paso de tubería en Hierro Dúctil destruido y sustituir la tubería metálica por 150metros de tubería de PEAD 200 mm DR 13.5, este paso se requiere ser soportado por un cable metálico de 1  ¼” y abrazaderas metálicas y  bloques de anclaje en concreto reforzado.
Se debe de realizar la re-ubicación y construcción de una nueva captación en sustitución de la captación destruida.</t>
  </si>
  <si>
    <t>Hatillo  8</t>
  </si>
  <si>
    <t>Red de recolección</t>
  </si>
  <si>
    <t>Talud</t>
  </si>
  <si>
    <t>Deslizamiento por saturación, de un talud cercano a la cámara de entrada del puente canal, que interconecta con el túnel de trasvase y que transporta las aguas residuales de algunos sectores del sur de San José, hasta la Planta de Aguas Residuales de Los Tajos, para su respectivo tratamiento.</t>
  </si>
  <si>
    <t xml:space="preserve">El proyecto consiste en el diseño y construcción de un obra civil de contención de taludes por medio de la cual se proteja la márgen izquierda del Río María Aguilar a la altura de la cámara de entrada del Tunel Metropolitano y se mitigue el riesgo de deslizamientos de material hacia el paso aéreo de tubería y hacia el  pozo de entrada al Tunel. Para ello se prentede la utilización de sistemas constructivos típicos tales como los gaviones y  enrocados. </t>
  </si>
  <si>
    <t>Nacientes y pozos (Acuífero Colima)</t>
  </si>
  <si>
    <t>Estación de Bombeo Puente Mulas</t>
  </si>
  <si>
    <t>El paso de la tormenta tropical Nate generó la desestabilización en varios sectores de los taludes superior e inferior del camino principal de la Estación de Bombeo Puente Mulas.</t>
  </si>
  <si>
    <t>Es necesario realizar los estudios, diseños y ejecución de obras de estabilización de los taludes superior e inferior en los sectores más vulnerables del acceso principal de la Estación de Bombeo Puente Mulas</t>
  </si>
  <si>
    <t>Torrotillo</t>
  </si>
  <si>
    <t xml:space="preserve">Tubería de aducción Ø 200 mm del sistema San Antonio de Escazú (toma Río Londres) </t>
  </si>
  <si>
    <t>Se propone desviar la tubería de aducción por el margen derecho del cauce del río hasta llegar la desarenador actual. Se trataría de una extensión de tubería 200 mm HD (820 m) que se proyectaría, en su gran mayoría, por camino público tipo sendero. Importante resaltar que hay puntos donde la tubería va a tener que afectar propiedad privada, debido a que la escorrentía del cauce afectó el camino público (sendero). Además, la instalación de la tubería debe realizarse de manera superficial con estructuras soportantes, tipo bloques de anclaje cada 15 m con la finalidad de protegerla ante escorrentías en momentos de altas precipitaciones en la zona. Asimismo, se debe construir 3 pasos elevados, dos propiamente sobre el cauce del río y uno en un punto intermedio debido a un flujo no permanente, donde ocurrió un deslizamiento de grandes dimensiones con la tormenta.</t>
  </si>
  <si>
    <t>Hacienda La Abigail</t>
  </si>
  <si>
    <t>Tubería de conducción Ø 150 mm del sistema Chiverrales (naciente Chiverrales 1)</t>
  </si>
  <si>
    <t>Debido a la afectación de la tormenta tropical Nate, la línea de conducción de la fuente Chiverrales 1 quedó desacoplada y destruida por deslizamientos en varios puntos.</t>
  </si>
  <si>
    <t>Por el momento, el sistema se abastece gracias a la producción de las fuentes Chiverrales 2 y 3, a las cuales se les realizó mejoras para captar mayor caudal. Es necesario rehabilitar la línea de tubería de la naciente Chiverrales (150 mm de diámetro); se requieren estudios previos, diseño, inscripción de servidumbres (dependiendo del alineamiento que se defina), anclajes, instalación de válvulas de compuerta y demás accesorios.</t>
  </si>
  <si>
    <t>Tubería de aducción Ø 150 mm del sistema San Rafale de Coronado (toma Río Virilla)</t>
  </si>
  <si>
    <t>Debido a la afectación de la tormenta tropical Nate, la línea de aducción de la toma sobre el Río Virilla quedó desacoplada y destruida por deslizamientos en varios puntos de la margen derecha del río.</t>
  </si>
  <si>
    <t>Por el momento, el sistema se abastece gracias a una intervención provisional de la tubería, sin embargo, la línea se mantiene en condiciones de muy alta vulnerabilidad. Es necesario rehabilitar la línea de tubería de 150 mm de diámetro y estabilizar la margen derecha del río Virilla para asegurar la integridad de la tubería.</t>
  </si>
  <si>
    <t>Toma Río Negro del sistema Quitirrisí</t>
  </si>
  <si>
    <t>Debido a la afectación de la tormenta tropical Nate, la toma superficial sobre el Río Negro fue devastada por una crecida del río.</t>
  </si>
  <si>
    <t>Por el momento, el sistema se abastece gracias a una intervención provisional de la toma, sin embargo, para comenzar las obras de rehabilitación definitivas es necesario esperar que cesen las lluvias y que mejoren las condiciones climáticas en la zona. Se requiere rediseñar y construir la estructura de toma sobre el Río Negro para rehabilitar el sistema Quitirrisí y el acueducto de Puriscal.</t>
  </si>
  <si>
    <t>Lámparas</t>
  </si>
  <si>
    <t>Tubería de conducción Ø 150 mm del sistema Lámparas de Alajuelita</t>
  </si>
  <si>
    <t>La línea fue impactada por troncos de una crecida del río Lajas que desacopló la tubería en varios puntos, así como también se identificó afectación en la línea por deslizamientos.</t>
  </si>
  <si>
    <t>El sistema se rehabilitó provisionalmente para hacer llegar el agua a la población, no obstante, la línea de conducción se encuentra en gran riesgo dada la inestabilidad y saturación de los terrenos de la zona. Se requiere diseñar y construir un aproximado de 3000 m de tubería de 150 mm desde la toma del río Lajas hasta barrio Lámparas de Alajuelita, para lo cual se necesitan estudios previos, diseño, inscripción de servidumbres (en caso de requerirse), anclajes, instalación de válvulas de compuerta y válvulas reguladoras de presión, accesorios y otros.</t>
  </si>
  <si>
    <t>La Piedad</t>
  </si>
  <si>
    <t>Presa y Embalse</t>
  </si>
  <si>
    <t>Tubería Ø 200 mm del sistema Tres Ríos</t>
  </si>
  <si>
    <t>La línea principal de distribución que sale del Tanque La Pelota hacia San Miguel de Desamparados fue impactada por una creciente del río Cucubres que acarreó troncos y sedimento, desacoplando la tubería y socavando los anclajes que se ubicaban en ambas márgenes del río.</t>
  </si>
  <si>
    <t>Es necesario construir la estructura de soporte para el paso elevado de la tubería de conducción de 200 mm HD de aproximadamente 40 m de longitud sobre el Río Cucubres.</t>
  </si>
  <si>
    <t>Tubería Ø 500 mm del sistema Tres Ríos</t>
  </si>
  <si>
    <t>La línea fue impactada por una crecida del Río Cucubres, el cual arrastró troncos y sedimento y desacopló la tubería, dejándose dentro del cauce segmentos de la tubería.</t>
  </si>
  <si>
    <t>Producto de esta última crecida, la tubería de 500 mm colapsó, por lo que es necesario terminar las interconexiones de la tubería de 500mm a ambos lados del río. Para estos trabajos es necesario la construcción de las piezas, uniones de transición de los diferentes diámetros de la tubería, construcción de un desfogue de 100 mm, instalación de una válvula de aire de 75 mm y obras complementarias como anclajes, soportes aéreos, protección de la tubería de PVC contra la intemperie y cualquier tipo de aseguramiento de la línea.</t>
  </si>
  <si>
    <t>Barrio España</t>
  </si>
  <si>
    <t>Tubería de aducción Ø 75 mm del sistema Barrio España (toma Río Oro)</t>
  </si>
  <si>
    <t>Múltiples segmentos de tubería destruidos por la crecida del Río Oro durante las intensas precipitaciones generadas por la tormenta tropical Nate.</t>
  </si>
  <si>
    <t>Esta línea debió ser intervenida mediante solución provisional (se preserva con gran vulnerabilidad) para habilitar la llegada del agua cruda a la planta, reanudar su producción y abastecer a la población. Se necesita rehabilitar definitivamente la línea de aducción de la toma Río Oro hasta la Planta Potabilizadora Barrio España (400 m de tubería 100 mm PVC) para asegurar el caudal que se capta en la toma.</t>
  </si>
  <si>
    <t>Calle Higuerones</t>
  </si>
  <si>
    <t>Tubería de conducción Ø 25 mm del sistema Sur de Escazú (naciente Higuerones)</t>
  </si>
  <si>
    <t>Múltiples segmentos de tubería fueron destruidos por deslizamientos en zona montañosa del sur de Escazú.</t>
  </si>
  <si>
    <t>Se necesita reconstruir de la línea de conducción (800 m) de las fuentes Higuerones con tubería 100 mm PEAD, para rehabilitar el sistema afectado por la tormenta tropical Nate y abastecer a los habitantes del sector de Calle Higuerones.</t>
  </si>
  <si>
    <t>Calle Lajas</t>
  </si>
  <si>
    <t>Tubería de conducción Ø 100 mm del sistema Lajas (naciente Lajas)</t>
  </si>
  <si>
    <t xml:space="preserve">Múltiples segmentos de tubería fueron destruidos por deslizamientos en zona montañosa del sur de Escazú. </t>
  </si>
  <si>
    <t>Se necesita reconstruir la línea de conducción (100 m) de las fuentes Lajas con tubería 100 mm PEAD, para rehabilitar el sistema afectado por la tormenta tropical Nate y abastecer a los habitantes del sector de Calle Lajas y Calle El Alto.</t>
  </si>
  <si>
    <t>Las Novedades</t>
  </si>
  <si>
    <t>Tubería de conducción Ø 700 mm del sistema Puente de Mulas (Bello Horizonte - Maiquetía)</t>
  </si>
  <si>
    <t>La crecida del Río Cañas provocada por las intensas lluvias durante la tormenta tropical Nate generó socavación del bastión ubicado en la margen derecha de dicho río. Esta afectación significa un gran riesgo para la tubería de 700 mm de diámetro que pasa sobre el cauce del Río Cañas.</t>
  </si>
  <si>
    <t>Es necesario contar con estudios técnicos para definir las obras de protección por construir en las márgenes del río, así como también evaluar si se requiere reconstruir la estructura de paso elevado para la tubería.</t>
  </si>
  <si>
    <t>Orosi, Dulce Nombre, Tres Ríos</t>
  </si>
  <si>
    <t>Puente Negro, Blanquita, La Ilusión, La Carpintera</t>
  </si>
  <si>
    <t>Embalse</t>
  </si>
  <si>
    <t>Tubería de conducción Ø 1100 y 900 mm del Acueducto de Orosi (Embalse El Llano)</t>
  </si>
  <si>
    <t>Los daños identificados son los siguientes: Socavación de dique en margen derecha del Río Aguacaliente en Orosi, erosión de la margen izquierda en paso sobre Río Barquero en Dulce Nombre de Cartago, deslizamiento en varios puntos de la línea de conducción en Orosi y La Carpintera (daños en servidumbre de acceso).</t>
  </si>
  <si>
    <t xml:space="preserve">Se requiere realizar las obras de protección y estabilización de los terrenos que forman parte del recorrido del acueducto Orosi, para mitigar los riesgos y vulnerabilidades que dejó a su paso la tormenta Nate sobre esta línea de conducción. Se requiere realizar las obras de protección y estabilización de los terrenos que forman parte del recorrido del acueducto Orosi, para mitigar los riesgos y vulnerabilidades que dejó a su paso la tormenta Nate sobre esta línea de conducción. </t>
  </si>
  <si>
    <t>Pozos Santa Cruz</t>
  </si>
  <si>
    <t>Red de distribución</t>
  </si>
  <si>
    <t>Desacople y roturas de tuberías  de paso aereo en la línea de abastecimiento principal de agua potable para los sectores mencionados.</t>
  </si>
  <si>
    <t>Los trabajos a ejecutarse que son parte del cambio de tuberías son: Válvulas cajas de registro  y accesorios, construccion de paso aereo sobre En medio</t>
  </si>
  <si>
    <t>Naciente Líbano</t>
  </si>
  <si>
    <t>Desacople y roturas de tuberías en la línea de abastecimiento principal de agua potable para los sectores mencionados, generando desabastecimiento de agua en la población y daños severos de las estructuras viales en los tramos mayormenete afectados.</t>
  </si>
  <si>
    <t>Los trabajos a ejecutarse que son parte del cambio de tuberías son: - -Excavaciones, rellenos y cama de arena. -   Suministro e instalación de tuberías de difrentes diámetros. - Rehabilitación y Reposición de conexiones de previstas domiciliarias, - Reposición de pavimentos rígidos, asfaltico y adoquines, -Válvulas cajas de registro  y accesorios, construccion de paso aereo sobre Rio Cañas.</t>
  </si>
  <si>
    <t>Pozos La Cruz</t>
  </si>
  <si>
    <t>Pozos BH50, Pozo 4 y Pozo 3</t>
  </si>
  <si>
    <t>Recuperación del sistema Bomba - Motor de las bombas a través de la adquisión de nuevos equipos de bombeo, incluyendo tableros de control, arrancadores, sistemas de telemetrica y telemando, reconstruccion de las casetas de cloracion, bombeo y guarda . Se estaria ademas mejorando los accesos y estructuras de procteccion</t>
  </si>
  <si>
    <t>Barrio Jesús</t>
  </si>
  <si>
    <t>se afectó el Sector de La gruta en Sabana Larga</t>
  </si>
  <si>
    <t>Planta de tratamiento de filtros lentos</t>
  </si>
  <si>
    <t>• Desabastecimiento de agua potable a comunidad de Barrio Jesús en el sector de La Gruta de Sabana Larga.
• No existencia de caja de válvulas de control, como consecuencia se dañaron las válvulas por la inundación.
• Inundación de la planta, generando perdida del medio filtrante, esto por falta de cerramiento de muros y levantamiento de paredes del canal.
• La producción en este momento es de 0 l/s.
• Socavación de talud, arriesgando desplazamiento de la planta.
• Daño en compuerta de abducción.
• Daño en compuerta de canal del desarenador.
• Daño en compuerta de entrada al filtro.</t>
  </si>
  <si>
    <t xml:space="preserve">• Realizar una estructura tipo marco de acero, que permita colocar un tecle para poder abrir y cerrar la compuerta de entrada a la planta.
• Reconstruir las compuertas dañadas.
• Colocación de aproximadamente 24 m3 de arena de rio (medio filtrante).
• Sustitución de válvulas de compuerta y su respectiva caja de protección.
• Estabilización de talud en toma de agua.
• Construcción de muro para evitar impacto de agua en crecientes del rio.
• Levantamiento de paredes en canales de la planta.
</t>
  </si>
  <si>
    <t>Jilgueral</t>
  </si>
  <si>
    <t>afectó al poblado de San Pablo y San Pedro de Turrubares</t>
  </si>
  <si>
    <t>4 nacientes</t>
  </si>
  <si>
    <t>4 tomas, accesos, e infraestructura de conducción hacia el tanque de reunión (tanque de reunión afectado)</t>
  </si>
  <si>
    <t xml:space="preserve">• Existe un peligro inminente de deslizamiento, que podría afectar las tuberías que se dirigen hacia el tanque de reunión.
• Daño en algunas de las tuberías de la toma.
• Daño en estructura de las bases del tanque de reunión.
• Fuente 4 se afectó por la crecida de la quebrada, quedando en mal estado la toma.
• El acceso a las fuentes quedó muy mal, debido a los desplazamientos.
• Los desplazamientos se dieron por la gran cantidad de agua pluvial que se dirigió a las tomas de las aguas subterráneas.
• Existe un peligro alto de deslizamiento, que podría afectar las tuberías que se dirigen hacia el tanque de reunión.
• Desabastecimiento de agua potable a la población de San Pedro y San Pablo de Turrubares. 
</t>
  </si>
  <si>
    <t xml:space="preserve">• Se requiere la estabilización de taludes que soportan las fuentes 1 y 2, previo a esto se requiere un estudio de suelos, para determinar el tipo de estabilización funcional en el lugar.
• Se requiere la reconexión de tuberías dañadas por las fuertes lluvias.
• Reconstrucción de Tanque de reunión.
• Rehabilitación de toma de fuente 4.
• Rehabilitación de los accesos hacia las fuentes.
• Cerramiento perimetral de las fuentes.
• Redirección de aguas pluviales, provenientes de la montaña.
</t>
  </si>
  <si>
    <t>desabastecimiento a población de Santiago de Puriscal</t>
  </si>
  <si>
    <t>naciente</t>
  </si>
  <si>
    <t>Estación de bombeo, tuberías, accesos</t>
  </si>
  <si>
    <t xml:space="preserve">• Problemas en el acceso de Cañalitos, es inexistente
• Daños en la tubería de entrada a la cisterna (fuentes-cisterna)
• Daños en la tubería de impulsión (bombeo- Cañales), debido a su cercanía a la Quebrada el terreno donde es soportada la tubería sufrió un deslizamiento, provocando el desacople de una sección en la tubería.
• La cisterna se encuentra socavada en uno de sus costados.
</t>
  </si>
  <si>
    <t xml:space="preserve">• Habilitar un acceso con las condiciones adecuadas para ingresar al sitio.
• Reubicación de tanque cisterna (retirar tanque del cauce de la Quebrada)
• Reubicación y equipamiento de estación de bombeo.
• Reparación de 600 metros de tubería de impulsión.
• Reparación y protección de 20 metros de tubería de entrada al tanque cisterna.
</t>
  </si>
  <si>
    <t>Desabastecimiento a población de Santiago de Puriscal</t>
  </si>
  <si>
    <t>Tanque sisterna, accesos, y tubería de impulsión</t>
  </si>
  <si>
    <t xml:space="preserve">• Debido a la tormenta se da la crecida de la quebrada que colinda con la estación de bombeo de Cañales, provocando desbordamiento hacia el tanque cisterna, dejando fuera de servicio la estación por contaminación.
• Una vez que se limpia el tanque cisterna se restablece la operación normal, dando soporte al suministro de agua del sistema de Puriscal, el cual se encuentra afectado por la falta de ingreso de agua proveniente de la planta potabilizadora de Quitirrisí, de existir mayor capacidad de bombeo en este momento se puede dar un mayor aporte al sistema.
• Caida de árbol inestable con raices expuestas, provocando daños en cerramiento perimetral.
</t>
  </si>
  <si>
    <t xml:space="preserve">• Equipamiento de sistemas de bombeo.
• Sustitución de cachera de descarga
•  Construcción de 40 metros lineales y 1 metro de altura de muro en el lindero colindante con la Quebrada, para evitar el ingreso de agua contaminada al tanque cisterna.
• Corta de árbol.
• Reparación de 1650 metros de tubería de impulsión. • Mejorar el paso pluvial por el puente existente por la vía pública.
</t>
  </si>
  <si>
    <t>Desabastecimiento a población de Piedades de Puriscal</t>
  </si>
  <si>
    <t>Estación de bombeo, accesos, tubería de impulsión</t>
  </si>
  <si>
    <t>• Debido a la tormenta se da la crecida de la quebrada, provocando daños a la tubería de las fuentes, dejando fuera de servicio la estación y contaminando el agua del tanque cisterna.</t>
  </si>
  <si>
    <t xml:space="preserve">• Habilitar un acceso con las condiciones adecuadas para ingresar al sitio.
• Equipamiento de equipos de bombeo.
• Sustitución de cachera de descarga
• Reparación de 350 metros de tubería de impulsión.   • Mejorar paso pluvial por puente extente en vía pública..
</t>
  </si>
  <si>
    <t>Barbacoas de Puriscal</t>
  </si>
  <si>
    <t>Tubería de impulsión</t>
  </si>
  <si>
    <t>• La estación se encuentra fuera de servicio debido a la caída por deslizamiento del terreno en un tramo de la tubería de impulsión hacia el tanque de almacenamiento y distribución de Barbacoas.</t>
  </si>
  <si>
    <t>• Reparación de 1850 metros de tubería de impulsión.</t>
  </si>
  <si>
    <t>Desabastecimiento a población de La Gloria de Puriscal</t>
  </si>
  <si>
    <t xml:space="preserve">Accesos, captaciones, Tuberias, Equipo de bombeo, estructura de la estación de bombeo, Tubería expuesta. </t>
  </si>
  <si>
    <t xml:space="preserve">• El acceso a la estación de bombeo sufrió deslizamientos y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 esto se encontró sobre las estructuras.
• Daños en la tubería de entrada a la cisterna (fuentes-cisterna). La quebrada subió su nivel durante el evento y las tuberías fueron desacopladas.
• La limpieza del tanque de almacenamiento se lo llevó el agua.
• La quebrada cuando subió de nivel, ingreso a la estación de bombeo, el equipo eléctrico: paneles, motores, al estar en contacto con el agua el sistema sufre afectación, como reducción en el aislamiento del bobinado de motor, afectando su vida útil,  
• Se inundó los alrededores de tanque e inclusive se perdió la acera en torno a la caseta y tanque de almacenamiento.
• El tanque de distribución se ubica en un hueco, el mismo se llenó de agua y se mantuvo en esta condición durante varias horas por la saturación del suelo. Se debe realizar estudio de la capacidad de soporte del mismo.
• Se dieron deslizamientos donde se ubica la tubería de distribución, quedando la tubería expuesta.
</t>
  </si>
  <si>
    <t xml:space="preserve">• Habilitar un acceso con las condiciones adecuadas para ingresar a la estación de bombeo, las captaciones y tanque de almacenamiento.
• Mejorar las captaciones, realizar obras para redirigir las aguas pluviales.
• Construir un muro que proteja la caseta de bombeo. Reconstruir las aceras alrededor del tanque y caseta.
•Tubería de impulsión 75 mm HG a la salida
• Mejorar las condiciones del tanque de almacenamiento, lavado, resane, repello, impermeabilización y pintura. Colocación de la tubería de limpieza.
• Sustitución de equipo electromecánico.
• Reparación de 300 metros de tubería de 50 mm PEAD.
• Interconexión de las captaciones 100 mm PEAD
• Construcción de muro de contención en block con placa 20 ml
• Estudio de suelos
• Sustitución con lastre, construcción de loza y placas para la ubicación del tanque de distribución.
• Colocación de dos tanques de distribución Plásticos de 22 m3.
• Sustitución de tuberías de distribución afectadas: 700 m en PEAD 25mm, 850 m en PEAD 50mm, 400m en PEAD 100mm.
</t>
  </si>
  <si>
    <t>san Gabriel de Turrubares</t>
  </si>
  <si>
    <t>accesos, captaciones, tanque almacenamiento, equipo electromecánico, Tubería de impulsión</t>
  </si>
  <si>
    <t xml:space="preserve">• El acceso a la estación de bombeo quedó inhabilitado, la escorrentía lo dejó muy dañado. La propiedad de acceso no se encuentra a nombre del AyA y no cuentan con servidumbre a favor de la Institución.
• Las captaciones sufrieron socavación, fueron completamente lavadas. Durante el evento el agua de lluvia trajo palos, piedras y todo tipo de material, todos estos restos se encontraron sobre las estructuras.
• Daños en la tubería de entrada a la cisterna (fuentes-cisterna). La quebrada subió su nivel durante el evento y las tuberías fueron desacopladas.
• La quebrada cuando subió de nivel, ingreso a la estación de bombeo, el equipo eléctrico: paneles, motores, al estar en contacto con el agua el sistema sufre afectación, como reducción en el aislamiento del bobinado de motor, afectando su vida útil.
• El tanque de distribución sufrió socavación. Se debe realizar estudio de la capacidad de soporte del mismo.
</t>
  </si>
  <si>
    <t xml:space="preserve">• Habilitar un acceso con las condiciones adecuadas para ingresar a la estación de bombeo, las captaciones y tanque de almacenamiento.
• Mejorar las captaciones, realizar obras para redirigir las aguas pluviales.
• Mejorar las condiciones del tanque de almacenamiento, lavado, resane, repello, impermeabilización y pintura.
• Mejorar las condiciones del tanque de distribución, lavado, resane, repello, impermeabilización y pintura o valorar la posibilidad de colocar dos tanques de almacenamiento Plásticos de 22 m3.
• Sustitución de equipo electromecánico.
• Reparación de 200 metros de tubería de 50 mm PEAD (captaciones – tanque de almacenamiento).
• Estudio de suelos.
</t>
  </si>
  <si>
    <t xml:space="preserve">San Ignacio </t>
  </si>
  <si>
    <t>San Ignacio y Guaitil</t>
  </si>
  <si>
    <t xml:space="preserve">accesos (a Planta y a tomas), desarenador, toma, linderos de la Planta potabilizadora, aproximadamente 2km de tubería, estructuras tipo pasos elevados,  </t>
  </si>
  <si>
    <t xml:space="preserve">• Eliminar los posibles deslizamientos y obstrucciones del Río Jorco. Río arriba del sitio de toma que puedan comprometer las estructuras de la toma y el desarenador y que afecten la turbiedad del agua.
• Proteger las márgenes derecha e izquierda del Río Jorco, desde el sitio de toma hasta el desarenador. 
• Proteger y habilitar el camino que pasa contiguo al sitio de toma.
• Proteger el terreno donde se ubica la Planta Potabilizadora. 
• Habilitar el camino de la Planta Potabilizadora al antiguo beneficio. 
• Habilitar la tubería de conducción de la Planta Potabilizadora hasta el paso elevado sobre el Río Jorco. 
• Construir un nuevo paso elevado de la tubería de conducción sobre el río Jorco. 
• Habilitar los tramos de la tubería de conducción que fueron afectados aguas abajo del Río Jorco donde se encuentra el antiguo beneficio.
• Construir sistema de protección y de evacuación de aguas pluviales para la tubería de conducción, en el sector de la “Ortiga”
• Rehabilitación del sistema
• Reparación de 600 metros de tubería de impulsión.
• Reparación y protección de 20 metros de tubería de entrada al tanque cisterna.
</t>
  </si>
  <si>
    <t>Oficina</t>
  </si>
  <si>
    <t>Oficina cantonal</t>
  </si>
  <si>
    <t>El incremento del cauce de los rios y quebradas del sector ocasionaron la indundacion de la oficina dañando equipo e impidiendo el ingreso.</t>
  </si>
  <si>
    <t>Reubicar la oficina cantonal de Parrita en un terreno donde no sea afectada por las indundaciones o construir en un terreno una edificación la cual tome en cuenta los riesgos de inundacion (construcción elevada).</t>
  </si>
  <si>
    <t>Toma quebrada Piedra Bruja</t>
  </si>
  <si>
    <t>Muros en la toma del río</t>
  </si>
  <si>
    <t>El agua del río sobrepasó los niveles de los muros lo que ocasionó la socavación de estos y el ingreso de gran cantidad de sedimentos a la toma.</t>
  </si>
  <si>
    <t>Reconstrucción en concreto e incremento de altura de muros de protección .Reforzamiento del anclaje para la bocatoma.</t>
  </si>
  <si>
    <t xml:space="preserve">Toma quebrada Piedra Bruja, Pozos Jaco 1, 2, 3,4 y 5  </t>
  </si>
  <si>
    <t xml:space="preserve">Tubería, distribución  </t>
  </si>
  <si>
    <t>El incremento de las aguas pluviales ocasionó la socavación de las magenes de la calle lo cual expuso la tuberia y produjo el descople de esta.</t>
  </si>
  <si>
    <t>Realizar un zanja por el nuevo trazado de la tuberia propuesto instalar la nueva tuberia y proceder con el relleno con material nuevo.</t>
  </si>
  <si>
    <t>Fuentes bajo Barrantes</t>
  </si>
  <si>
    <t>Estación de bombeo</t>
  </si>
  <si>
    <t>La estación de Bombeo de Bajo Barrantes conduce el agua captada de las nacientes de Bajo Barrantes a San Ramón.  La producción de estas nacientes abastecen los abonados del sistema administrado por el AyA en San Ramón.  Durante la tormenta Nate, la Estación salió de operación por falta de fluido electrico, esto afecto el suministro de agua para los usuarios.</t>
  </si>
  <si>
    <t>Se suministrará planta, instalación y acondicionamiento del sitio para la  electrica con capacidad suficiente para alimentar equipos de bombeo</t>
  </si>
  <si>
    <t>Fuente La Granja y Pozos la Granja  1 y 2.</t>
  </si>
  <si>
    <t>Tanque de almacenamiento</t>
  </si>
  <si>
    <t>Levantamiento topografico de servidumbre donde se ubicará la nueva tubería.  Excavación de zanja e instación de la nueva tubería.  Instalación de válvula de corte a la salida del tanque e interconexión a la red existente en vía pública</t>
  </si>
  <si>
    <t>San Mateo, Desamparados e Iguito.</t>
  </si>
  <si>
    <t>RIO MACHUCA Y QUEBRADA LOS MORA (PTAP) pozos San Mateo 1 y 2</t>
  </si>
  <si>
    <t>Línea de Distribusión</t>
  </si>
  <si>
    <t>Se presentan tuberías expuestas producto de derrumes y erosión de terrenos, aproximadamente 800 mL de tubería.</t>
  </si>
  <si>
    <t>Realizar el mantenimiento correctivo de los sistemas de abastecimiento de San Mateo mediante la colocación de material de base y la construcción de estructuras de protección.</t>
  </si>
  <si>
    <t>San Jerónimo Y Cerrillos</t>
  </si>
  <si>
    <t>Fuentes la Tiza 1, 2 y 3</t>
  </si>
  <si>
    <t xml:space="preserve">Línea de Conducción  </t>
  </si>
  <si>
    <t>Se presentan una serie de fugas, las cuales son de dificil acceso debido al trazo actual de la tubería, por lo cual se suspende el servicio por cinco días aproximadamente</t>
  </si>
  <si>
    <t>Reubicación de tubería de la línea de conducción del sistema de Abastecimiento Cerrillos - San Jerónimo, de manera que se asegure su adecuado mantenimiento preventivo y correctivo incluye Levantamiento topográfico, suministro e instalación de tubería y sus válvulas.</t>
  </si>
  <si>
    <t>Barranca, El Roble y Chacarita</t>
  </si>
  <si>
    <t>Barranca, el roble, La gran Chacarita, San Juaquín</t>
  </si>
  <si>
    <t>Toma del ,  Río Barranca PTAP</t>
  </si>
  <si>
    <t>Dique Toma, Río barranca Planta de Agua potable</t>
  </si>
  <si>
    <t>Debido a las altas precipitacitaciones y acumulación de sedimentos provocados por los deslaves que cayeron en el cauce del río aguas arriba de la toma de agua de la estación de bombeo del AyA, la crecida del río destruyo el dique que represa el agua para las bombas de impulsión que abastecen la planta potabilizadora, por lo que ahora no existe nada que logre contener el agua hacia la entrada de la toma.</t>
  </si>
  <si>
    <t>Fuente la Gallega, Pozos Cerros 1 y 2,  La managua 1, 2, 3 y 5</t>
  </si>
  <si>
    <t>Se requiere realizar la sustitución de 1500 mL de tubería a diámetros de 100 y 150 mm de manera que se asegure la continuidad del servicio de abastecimiento. Se incluye levantamiento topográfico, suministro e instalación de tubreía, e interconexión al sistema existente.</t>
  </si>
  <si>
    <t>Manuel Antonio</t>
  </si>
  <si>
    <t>Línea de Impulsión</t>
  </si>
  <si>
    <t>Debido a la tormenta se presenta un daño en la tubería de impulsión hacia Manuel Antonio, debido al deslizamiento del terreno en un sector de carretera vieja, se afecta el servicio de abastecimiento de agua potable por varias horas.  Se realiza una reparación provisional.</t>
  </si>
  <si>
    <t>Se requiere el diseño y construcción de un muro de contención así como la reparación de la tubería existente de manera que se asegure la continuidad del servicio.</t>
  </si>
  <si>
    <t>Quepos, Manuel Antonio</t>
  </si>
  <si>
    <t>Debido a la tormenta se presenta un daño estructural en el paso de tuería sobre el Río Paquita que va hacia La Gallega.  Actualmente la tubería continúa en operación , sin embargo el paso tiene daños estructurales que podría generar la pérdida de la tubería</t>
  </si>
  <si>
    <t>Se requiere el diseño y construcción de una nueva estructura sobre el Río Paquita, con una longitud aproximada de 65 metros.</t>
  </si>
  <si>
    <t xml:space="preserve">Pozos La china, La Sisi, La Rioja 1 y 2 y Socorrito 1, 2, 3 y 4.  </t>
  </si>
  <si>
    <t xml:space="preserve">Ruptura en la linea de conducción de100mm/ PAD, con lo cual se suspende el servicio hasta la fecha.  </t>
  </si>
  <si>
    <t>Realizar la reparación de la tubería según su estado ya sea evitar el dosble que tenga o termofusionar la ruptura, se requiere de personal especializado en buceo y de botes para la reparación de la tubería de PDA, además se requiere profundizar dicha tubería en toda su extensión y además de señalizarla por medio de boyas para poder monitorear su ubicación, y que sirva de guía para que las embarcaciones puedan refernaciarla.</t>
  </si>
  <si>
    <t>San Isidro de El General</t>
  </si>
  <si>
    <t>El Hoyón</t>
  </si>
  <si>
    <t>Planta de Tratamiento de Agua Residual San Isidro</t>
  </si>
  <si>
    <t>Muro de protección de la Rivera</t>
  </si>
  <si>
    <t>El torrente del río San Isidro causado por la Tormenta Nate provocó que parte del muro articulado que protege los taludes en la Propiedad PTAR San Isidro cediera arrastrando parte de los bloques y desconformado tanto los bloques como el relleno de piedra, en consecuencia se requiere ejecutar el proyecto correctivo que restablezca la integridad estructural del muro de protección.</t>
  </si>
  <si>
    <t>Restaurar el tramo del muro que fue deteriorado durante la tormenta Nate, retirar los bloque articulados, retirar el material granular que sirve de base a los bloques articulados, colocar material granular compactado, colocar material geotextil, perforar la mole de concreto inferior, anclar los cables de amarre, colocar los bloques de concreto tensar los cables de amarre.</t>
  </si>
  <si>
    <t>Urbanización Las Lomas</t>
  </si>
  <si>
    <t>Planta de Tratamiento de Agua Residual Las Lomas</t>
  </si>
  <si>
    <t>Deslizamiento del terreno</t>
  </si>
  <si>
    <t>La Tormenta Nate provocó un hundimiento de aproximadamente 1000 metros cuadrados en la propiedad de la PTAR Las Lomas. Dicho deslizamiento se ubica en terreno que a futuro puede generar afectación directa al embalse de la laguna facultativa del Tratamiento de Aguas Residuales.</t>
  </si>
  <si>
    <t>Este proyecto requiere diseñar y considerar las siguientes etapas: Retirar la vegetación arrastrada por el deslizamiento, retirar la tierra suelta del deslizamiento, conformar terrazas de estabilización, construcción de contracunetas para encauce de la aguas, construir muro para protección al talud existente.</t>
  </si>
  <si>
    <t>Los Chiles de PZ</t>
  </si>
  <si>
    <t>Edificación de bodega contable regional</t>
  </si>
  <si>
    <t>Producto del desbordamiento del Río el General, a raíz de la tormenta tropical NATE,las aguas encausaron contiguo a la propiedad de la Finca Recreativa de AyA, que se ubica en el Distrito Daniel Flores, socabando gran parte del terreno que existe dentras de la bodega contable,cuyo inventario anda cerca de unos 300 millones.</t>
  </si>
  <si>
    <t>Se requiere la colocación de gaviones, rellenos de piedra para asegurar y estabilizar parte del terreno de la Finca. A efectos de proteger las bienes institucionales que se encuentran constuidos ( bodega contable, Archivo Regional, Aula de capacitación,bodega del cloro, y equipos ( activos, vehiuclos ect )que se custodián en dicho  la Finca Recretaiva de AyA</t>
  </si>
  <si>
    <t>Río Claro, Bambel, Km-30.</t>
  </si>
  <si>
    <t>Nacientes Llano Bonito</t>
  </si>
  <si>
    <t>Paso aéreo de línea de conducción</t>
  </si>
  <si>
    <t>La obra consiste en la construcción de una pantalla de concreto reforzado anclada al talud por medio de tensores de acero que penetran algunos metros dentro del talud. La obra se construye con una máquina perforadora especial.</t>
  </si>
  <si>
    <t>La Lucha, Progreso, Río Negro, San Miguel, Valle Hermso, Sabalito, Santa Teresa, La Pintada, Aguas Claras, San Vito centro, Copal, Agua Buena, Coopabuena, Campo 3, Santa Cecilia, San Francisco, San Antonio, Cañas Gordas.</t>
  </si>
  <si>
    <t>Naciente Las Tablas</t>
  </si>
  <si>
    <t>Línea de conducción</t>
  </si>
  <si>
    <t>Debido a las lluvias provocadas por la tormenta, se provocaron daños en un trayecto de la línea de conducción que actualmente pasa por una servidumbre en la que existen tres pasos elevados y al menos dos de ellos cuantan con problemas estructurales por lo que es necesaria la reubicación de la tubería por la vía pública.</t>
  </si>
  <si>
    <t>El proyecto consiste en la reubicación de 2.3 kilómetros de tubería de conducción de Hierro Ductil de 350 mm entre la comunidad de El Progreso y la Lucha en Sabalito de Coto Brus, este proyecto beneficiara a 27 mil personas del Acueducto de Las Tablas de  Coto Brus.</t>
  </si>
  <si>
    <t>Debido a las lluvias provocadas por la tormenta, se provocaron daños en un trayecto de la línea de conducción debido a la inestabilidad del terreno, lo que provoca el constante fallo de la línea conducción en un trayecto de 400 metros.</t>
  </si>
  <si>
    <t>El proyecto consiste en la reubicación de 400 metros de tubería de conducción de Hierro Ductil de 300 mm en la comunidad de San Miguel de Sabalitop de Coto Brus, este proyecto beneficiara a 27 mil personas del Acueducto de Las Tablas de  Coto Brus.</t>
  </si>
  <si>
    <t>Buenos Aires centro, San Carlos, El Ceibo, Parcelas El Ceibo, sector El Remolino, Las Bombas.</t>
  </si>
  <si>
    <t>Naciente La Cabuya (galería)</t>
  </si>
  <si>
    <t>Línea de conducción-impulsión</t>
  </si>
  <si>
    <t>El proyecto consiste en la construcción de una línea de impulsión de 200mm de diámetro en material de HD o Acero por la vía pública, más la construcción de una estación de bombeo debidamente equipada, para trasegar el agua de la fuente la Cabuya hasta el tanque de almacenamiento del mismo nombre, en una longitud aproximadamente de 4000 mts.</t>
  </si>
  <si>
    <t>Barú</t>
  </si>
  <si>
    <t>Tinamastes, Alfombra, Caña Blanca, Vista de Mar.</t>
  </si>
  <si>
    <t>Pozo y naciente Los Chorros</t>
  </si>
  <si>
    <t>Tanques de almacenamiento y caseta de desinfección</t>
  </si>
  <si>
    <t>Al pie de los tanques de almacenamiento y caseta de desinfección se produjo un deslizamiento en una longitud aproximada de 30 mts, y que dejó practicamente sin cimientos los tanques y caseta citada.Ambas estructuras estan en riesgo de colapso, y amenazan con caer a la calle principal que comunica la Ciudad de San Isidro con Dominical. (ruta 243).De colapsar estas estructuras quedarían sin agua potable aproximadamente 700 personas, más los daños a terceros en el eventual caso de que la estructura caiga sobre la vía.</t>
  </si>
  <si>
    <t>El Proyecto consiste construcción de un muro de gaviones de 30 mts de longitud  y 15 mts de altura, construidos en forma escalonada hasta llegar al cimiento de los tanques y caseta de desinfección.</t>
  </si>
  <si>
    <t>San Isidro centro,  La Palma, Pedregoso, Daniel Flores, El Peje, La Angostura, La Ceniza, Juntas de Pacuar, Los Chiles</t>
  </si>
  <si>
    <t>Presa Quebradas (dique)</t>
  </si>
  <si>
    <t>Desarenadores y toma superficial</t>
  </si>
  <si>
    <t>El Proyecto consiste en la construcción de un muro de protección en concreto reforzado de alta resistencia, en la margen derecha del Rio Quebradas, aguas abajo del Dique, en una longitud aproximada de 50mts y con una altura sobre el nivel de acera de los desarenadores, de al menos 1,5 mts, así como la reconstrucción de la acera perimetral, hasta empatar el muro con el bastión del puente vehicular que se ubica aguas abajo del dique.</t>
  </si>
  <si>
    <t>El Proyecto consiste en la construcción de un muro de bloques de  concreto  articulado mediante el sistema armoflex en al menos de 75 mts de longitud, con un refuerzo de concreto de alta resistencia en la base de este muro, así como la conformación del talud mediante el dragado del río para colocar material grueso, extraído del río y colocarlo en el talud..</t>
  </si>
  <si>
    <t>Santa Cecilia, Los Chiles, San Isidro</t>
  </si>
  <si>
    <t>Planta de tratamiento agua residual</t>
  </si>
  <si>
    <t>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Isidro.El torrente del río San isidro causado por la Tormenta Nate generó desacople enla tubería de PVC 200mm que conforma el cruce de 40mts del alcantarillado sanitario de forma aérea sobre el río San Isidro, provocando que el agua residual del sector sur de la ciudad vertíera directamente al río Sn Isidro.
En vista que el lecho del río elevó su nivel aumenta el riesgo de desacople o arrastre de la tubería actual,  en consecuencia se require ejecutar el proyecto de estación de bombeo pare elevar la altura del paso áereo sobre el río San Isidro.</t>
  </si>
  <si>
    <t>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canal.Este proyecto requiere diseño.
Para efectos de realizar la solución definitiva se requiere diseñar todo el sistema asociado a la estación de bombeo:  rectificar el nivel de la red en el último tramo antes de la estación de bombeo Estación de Bombeo de Agua Residual, construir la estructura de tanque cisterna y de caseta para resguardo de los equipos, cosntruir tramo de alimentación eléctrica trifácica, equipar con banco de transformadores, CCM y  bombas cenrífigas externas, cerramiento de la propiedad, conexión de la EBAR al puente canal.</t>
  </si>
  <si>
    <t xml:space="preserve">Incorporacion de material estabilizacion de taludes, construccion de relleno  </t>
  </si>
  <si>
    <t>Ampliacción Incorporacion de material rehabilitacion de sistema de drenaje</t>
  </si>
  <si>
    <t xml:space="preserve">Incorporacion de material rehabilitacion de sistema de drenaje, estabilizacion de taludes, </t>
  </si>
  <si>
    <t>TURRUBARES</t>
  </si>
  <si>
    <t>El Cacao</t>
  </si>
  <si>
    <t>El Poro</t>
  </si>
  <si>
    <t xml:space="preserve">Carara </t>
  </si>
  <si>
    <t>La Bola</t>
  </si>
  <si>
    <t>La Florecilla</t>
  </si>
  <si>
    <t>Acc Quebrada Azul</t>
  </si>
  <si>
    <t>Camino Viejo San Luis</t>
  </si>
  <si>
    <t xml:space="preserve">San Juan de Mata </t>
  </si>
  <si>
    <t xml:space="preserve">Lagunas -  Plaza SurtubalTronco Negro </t>
  </si>
  <si>
    <t>San Gabriel Viejo</t>
  </si>
  <si>
    <t>La Pavona-Montelimar</t>
  </si>
  <si>
    <t>Acceso Espavel</t>
  </si>
  <si>
    <t>San Antonio de Tulín - San Isidro Escuela</t>
  </si>
  <si>
    <t>La Angostura, Puente Río Tulín - Límite Cantonal Garabito, Puente Río Seco</t>
  </si>
  <si>
    <t>Bajo Molenillo</t>
  </si>
  <si>
    <t>Camino Cementerio Bijagual</t>
  </si>
  <si>
    <t>Acceso Playa Bonita</t>
  </si>
  <si>
    <t>Angostura - San Antonio de Tulín</t>
  </si>
  <si>
    <t xml:space="preserve">Hito de Herra </t>
  </si>
  <si>
    <t xml:space="preserve">La Pita - El Poro </t>
  </si>
  <si>
    <t xml:space="preserve">La Pita-Río San José </t>
  </si>
  <si>
    <t>Camino Viejo San Pedro - El Poró</t>
  </si>
  <si>
    <t xml:space="preserve">San Isidro-Montelimar Escuela </t>
  </si>
  <si>
    <t>Pavona-San Gabriel</t>
  </si>
  <si>
    <t xml:space="preserve">Camino Los Montero </t>
  </si>
  <si>
    <t xml:space="preserve">Camino Viejo Las Delicias-La Esperanza </t>
  </si>
  <si>
    <t xml:space="preserve">Camino Viejo  El Sur -Bijagualito </t>
  </si>
  <si>
    <t xml:space="preserve">Potenciana </t>
  </si>
  <si>
    <t xml:space="preserve">Altos de San Pablo </t>
  </si>
  <si>
    <t>San Rafael-El Caite</t>
  </si>
  <si>
    <t xml:space="preserve">Calle Cementerio San Luis </t>
  </si>
  <si>
    <t>Bajo la Lumbre-Quinta Sula</t>
  </si>
  <si>
    <t>Tajo Sular-Monterrey</t>
  </si>
  <si>
    <t>Camino Cupa Piedra Bolson Plaza</t>
  </si>
  <si>
    <t>Paso Aigres-El Llano</t>
  </si>
  <si>
    <t xml:space="preserve">El Barro - La Junta </t>
  </si>
  <si>
    <t xml:space="preserve"> Ebais el Barro</t>
  </si>
  <si>
    <t xml:space="preserve"> Bajo Mora</t>
  </si>
  <si>
    <t>Piedras Blancas (Calle los Arias)</t>
  </si>
  <si>
    <t xml:space="preserve">Carara-Surtubal </t>
  </si>
  <si>
    <t>El Sur -Galán</t>
  </si>
  <si>
    <t>Mata  Plátano -Finca la Quina</t>
  </si>
  <si>
    <t xml:space="preserve">Acueducto Orotina </t>
  </si>
  <si>
    <t>Cuesta Montero ( La Pita)</t>
  </si>
  <si>
    <t xml:space="preserve">Calle Escuela Marcos Perez </t>
  </si>
  <si>
    <t>Calle Escuela Surtubal</t>
  </si>
  <si>
    <t>Acceso San Rafael</t>
  </si>
  <si>
    <t>Acceso Rio San José</t>
  </si>
  <si>
    <t xml:space="preserve">El Campo - Cementerio Delicias </t>
  </si>
  <si>
    <t>Candelillal Salones -El Barro</t>
  </si>
  <si>
    <t xml:space="preserve">Centro de las Delicias Escuela </t>
  </si>
  <si>
    <t xml:space="preserve">Sector Bijagual- Bijagualito </t>
  </si>
  <si>
    <t>La Esperanza-San Francisco (Carlos Chavez)</t>
  </si>
  <si>
    <t xml:space="preserve">La Bola </t>
  </si>
  <si>
    <t xml:space="preserve">Entrada Parcelas IDA - San Gabriel </t>
  </si>
  <si>
    <t xml:space="preserve">Caminos las Parcelas Bijagual </t>
  </si>
  <si>
    <t xml:space="preserve">Quebrada Azul- Camino La Lecheria </t>
  </si>
  <si>
    <t xml:space="preserve"> Bajo Dantas</t>
  </si>
  <si>
    <t>San Francisco Salón Comunal-Cerro Cito</t>
  </si>
  <si>
    <t xml:space="preserve">Sector Familia Los Rios Las Juntas </t>
  </si>
  <si>
    <t>Quinta Santa Mónica- Canta Rana (San Francisco)</t>
  </si>
  <si>
    <t xml:space="preserve"> Los Manantiales (San Pedro)</t>
  </si>
  <si>
    <t>Bajo Danta ( Bajo San Francisco)</t>
  </si>
  <si>
    <t>Cementerio San Pablo- Puente Río Tárcoles</t>
  </si>
  <si>
    <t>Entrad Mariano Sánchez</t>
  </si>
  <si>
    <t xml:space="preserve">Los Chavarria </t>
  </si>
  <si>
    <t xml:space="preserve">Calle el Italiano </t>
  </si>
  <si>
    <t>San Juan de Mata</t>
  </si>
  <si>
    <t>Calle Bajos Mora</t>
  </si>
  <si>
    <t xml:space="preserve"> Bajo Leones</t>
  </si>
  <si>
    <t>Cueta los Perez San Pablo</t>
  </si>
  <si>
    <t xml:space="preserve">Parcelas Lagunas Entrada Wilberth González </t>
  </si>
  <si>
    <t xml:space="preserve">Calle el Grigo Lagunas </t>
  </si>
  <si>
    <t xml:space="preserve"> Bajo Guacalar</t>
  </si>
  <si>
    <t>Camino Mario Masis - Purires</t>
  </si>
  <si>
    <t>Bajo Leones</t>
  </si>
  <si>
    <t xml:space="preserve"> Parcelas Wilberth</t>
  </si>
  <si>
    <t xml:space="preserve">camino Viejo Purires - Rio Chucas </t>
  </si>
  <si>
    <t xml:space="preserve">Calle Iglesia de Paso Agres </t>
  </si>
  <si>
    <t>Calle Saturino Mora</t>
  </si>
  <si>
    <t xml:space="preserve">Camino bajo Melendez </t>
  </si>
  <si>
    <t xml:space="preserve">Camino los Gonzales (Rio Camarón ) San Pedro </t>
  </si>
  <si>
    <t xml:space="preserve">Purires centro </t>
  </si>
  <si>
    <t xml:space="preserve"> Villa Felito</t>
  </si>
  <si>
    <t>Bajo Chacascuri</t>
  </si>
  <si>
    <t xml:space="preserve">Camino Los Gozalez </t>
  </si>
  <si>
    <t xml:space="preserve">san Luis </t>
  </si>
  <si>
    <t>Escuela Quebrada Azul</t>
  </si>
  <si>
    <t xml:space="preserve">Camino Don Eitel Valerio </t>
  </si>
  <si>
    <t xml:space="preserve">Cuesta Rio Camaron  </t>
  </si>
  <si>
    <t xml:space="preserve">Entrada Lalo Vargas </t>
  </si>
  <si>
    <t xml:space="preserve">Parcelas Segunda Entrada Bijagual </t>
  </si>
  <si>
    <t xml:space="preserve">Entrada de Angel Edundo Solano  Bolson </t>
  </si>
  <si>
    <t xml:space="preserve">Bajo Meléndez </t>
  </si>
  <si>
    <t xml:space="preserve">Acceso Río Turrubares </t>
  </si>
  <si>
    <t xml:space="preserve">Calle Rafael Mora </t>
  </si>
  <si>
    <t>Tronco Negro</t>
  </si>
  <si>
    <t xml:space="preserve">Pita-Florecilla </t>
  </si>
  <si>
    <t>Cantarrana</t>
  </si>
  <si>
    <t xml:space="preserve">San Pedro - La Pita </t>
  </si>
  <si>
    <t>Florecilla</t>
  </si>
  <si>
    <t>Potenciana- Quebrada Azul</t>
  </si>
  <si>
    <t xml:space="preserve">Calle Vieja Surtubal </t>
  </si>
  <si>
    <t>Camino, Beneficio</t>
  </si>
  <si>
    <t>Bajo Dantas- Barro</t>
  </si>
  <si>
    <t xml:space="preserve">Pacayal </t>
  </si>
  <si>
    <t xml:space="preserve"> San Isidro -  Segundo Castillo </t>
  </si>
  <si>
    <t xml:space="preserve">Caller Urbanas- Cuadrantes -San Pablo Oeste </t>
  </si>
  <si>
    <t xml:space="preserve">Escuela San Antonio de Tulín </t>
  </si>
  <si>
    <t xml:space="preserve">Cuadrantes San Antonio de Tulín -Fernando Guerrero </t>
  </si>
  <si>
    <t>Salón Comunal, San Antonio de Tulín</t>
  </si>
  <si>
    <t xml:space="preserve">Sector Escuela Barro </t>
  </si>
  <si>
    <t>El Barro, Plaza de Deportes</t>
  </si>
  <si>
    <t xml:space="preserve">El Barro Oeste </t>
  </si>
  <si>
    <t xml:space="preserve">El Barro este </t>
  </si>
  <si>
    <t xml:space="preserve">Sector Cementerio de San Francisco  </t>
  </si>
  <si>
    <t>Escuela Fila Negra</t>
  </si>
  <si>
    <t xml:space="preserve"> Bajo Alumbre</t>
  </si>
  <si>
    <t xml:space="preserve">La Hacienda Bijagual  </t>
  </si>
  <si>
    <t>Camino Parcela Fernando Sole</t>
  </si>
  <si>
    <t xml:space="preserve">Camino Parcela TONY Solano </t>
  </si>
  <si>
    <t xml:space="preserve">Camino Viejo los Agüero </t>
  </si>
  <si>
    <t>Cruce a Jacó- Bijagual -Fila Negra</t>
  </si>
  <si>
    <t>Calle El Barro</t>
  </si>
  <si>
    <t>1-16-006-00</t>
  </si>
  <si>
    <t>Quebrada Azul</t>
  </si>
  <si>
    <t>Puente de un carril, estructura de concreto</t>
  </si>
  <si>
    <t>Socavación de las Bases, barandas laterales dañadas</t>
  </si>
  <si>
    <t>Relleno bajo las bases con buen material, remoción de capa vegetal en toda la estructura</t>
  </si>
  <si>
    <t>1-16-057-00</t>
  </si>
  <si>
    <t>Quebrada Mono</t>
  </si>
  <si>
    <t>Estructura de concreto, sin barandas laterales, con muro de gaviones como bastiones</t>
  </si>
  <si>
    <t xml:space="preserve">Superestructura con acero expuesto, muros de gaviones no reúnen características para obras de retención, pasarela con acumulación de material </t>
  </si>
  <si>
    <r>
      <t>Construcción de puente nuevo 2 carriles (40 m</t>
    </r>
    <r>
      <rPr>
        <vertAlign val="superscript"/>
        <sz val="8"/>
        <rFont val="Arial"/>
        <family val="2"/>
      </rPr>
      <t>2</t>
    </r>
    <r>
      <rPr>
        <sz val="8"/>
        <rFont val="Arial"/>
        <family val="2"/>
      </rPr>
      <t>) con respectivas barandas laterales</t>
    </r>
  </si>
  <si>
    <t>Mata Plátano (Fila Negra)</t>
  </si>
  <si>
    <t>1-16-023-00</t>
  </si>
  <si>
    <t>Quebrada Fila Negra</t>
  </si>
  <si>
    <t>Estructura de concreto, con barandas de metal, que esta colocado junto a una alcantarilla</t>
  </si>
  <si>
    <t>Espacio entre alcantarilla y puente, relleno con piedras de gran y diverso tamaño, parte de bastión desprendido y con acero expuesto, separación entre las secciones de la alcantarilla, aletón falló y se cayó.</t>
  </si>
  <si>
    <t>Quitar piedras entre alcantarilla y puente y rellenar espacio con material selecto y bien compactado, proteger alcantarilla con material selecto ya que superficie de ruedo está sobre la estructura de la alcantarilla, reforzar bastión, colocar de mejor manera la alcantarilla, construir nuevo aletón en la aproximación, remover toda la capa vegetal.</t>
  </si>
  <si>
    <t>Mata Plátano</t>
  </si>
  <si>
    <t>1-16-017-00</t>
  </si>
  <si>
    <t>Turrubaritos</t>
  </si>
  <si>
    <t>Estructura de concreto, con barandas de metal, 1 solo carril</t>
  </si>
  <si>
    <t>Bases socavadas, especialmente las centrales, acumulación de material en las bases,</t>
  </si>
  <si>
    <t xml:space="preserve"> Remover capa vegetal de la superestructura, rellenar con material selecto partes socavadas</t>
  </si>
  <si>
    <t xml:space="preserve">Puente 1 carril, de concreto </t>
  </si>
  <si>
    <t>Columna comprometida, muro de gaviones con falla por aplastamiento, escombros en el cauce</t>
  </si>
  <si>
    <t>Construcción de puente nuevo 2 carriles (55 m2) con respectivas barandas laterales</t>
  </si>
  <si>
    <t xml:space="preserve">Destruccion de paso  </t>
  </si>
  <si>
    <t xml:space="preserve">Quebrada Bijagua </t>
  </si>
  <si>
    <t xml:space="preserve">Colapso de capacidad Hidraulica </t>
  </si>
  <si>
    <t xml:space="preserve">Construccion de nuevo Alcantarilla de cuadro </t>
  </si>
  <si>
    <t xml:space="preserve">Colapso de capacidad Hidraulica y estructuralmemte </t>
  </si>
  <si>
    <t xml:space="preserve">Quebrada Chiquero </t>
  </si>
  <si>
    <t>Colapso de capacidad Hidraulica</t>
  </si>
  <si>
    <t xml:space="preserve">Afluente del Rio Turrubaritos </t>
  </si>
  <si>
    <t>Colapso de capacidad Hidraulica,</t>
  </si>
  <si>
    <t xml:space="preserve">Fila Negra  </t>
  </si>
  <si>
    <t xml:space="preserve">Quebrada Margarita </t>
  </si>
  <si>
    <t xml:space="preserve">Proyecto de Viviviendas de Interes social </t>
  </si>
  <si>
    <t xml:space="preserve">Filtracciónes en viviendas del bloque F del Proyecto de Vivienda </t>
  </si>
  <si>
    <t>Dragado de la quebrada, construccion de dique</t>
  </si>
  <si>
    <t xml:space="preserve">Lagunas - Marcos Perez </t>
  </si>
  <si>
    <t xml:space="preserve">Puente del Rio Turrubares </t>
  </si>
  <si>
    <t>Bastion del puente, y losa de concreto calle municipal.</t>
  </si>
  <si>
    <t xml:space="preserve">Dragado del Rio, encausarlo en el centro del puente </t>
  </si>
  <si>
    <t xml:space="preserve">Angostura </t>
  </si>
  <si>
    <t xml:space="preserve">Rio Tulin </t>
  </si>
  <si>
    <t>Camino 1-16-017</t>
  </si>
  <si>
    <t xml:space="preserve">Socavación a la superficie de rodamiento </t>
  </si>
  <si>
    <t xml:space="preserve">Dragado del Rio, encausarlo y construccion de un dique </t>
  </si>
  <si>
    <t xml:space="preserve">Mata de platano- Montelimar - San Antonio- Fila Negra </t>
  </si>
  <si>
    <t>Puente de Rio Seco</t>
  </si>
  <si>
    <t xml:space="preserve">Bastion del puente </t>
  </si>
  <si>
    <t>Dragado del Rio, encausarlo en el centro del puente y Dique.</t>
  </si>
  <si>
    <t>Limon</t>
  </si>
  <si>
    <t xml:space="preserve">Puente de Rio Turrubaritos </t>
  </si>
  <si>
    <t xml:space="preserve">Desprendimiento de Talud  </t>
  </si>
  <si>
    <t xml:space="preserve">Dragado del Rio, encausarlo y la Construcción de un muero de retención  </t>
  </si>
  <si>
    <t xml:space="preserve">Montelimar - San Antonio- Fila Negra </t>
  </si>
  <si>
    <t>Rio Turrubaritos</t>
  </si>
  <si>
    <t xml:space="preserve">Puntales del puente </t>
  </si>
  <si>
    <t>MONTES DE ORO</t>
  </si>
  <si>
    <t>PAQUERA</t>
  </si>
  <si>
    <t>PARRITA</t>
  </si>
  <si>
    <t>QUEPOS</t>
  </si>
  <si>
    <t>PÉREZ ZELEDÓN</t>
  </si>
  <si>
    <t>BUENOS AIRES</t>
  </si>
  <si>
    <t>TILARAN</t>
  </si>
  <si>
    <t>POÁS</t>
  </si>
  <si>
    <t>LEPANTO</t>
  </si>
  <si>
    <t>ATENAS</t>
  </si>
  <si>
    <t>GOLFITO</t>
  </si>
  <si>
    <t>OSA</t>
  </si>
  <si>
    <t>ESCAZÚ</t>
  </si>
  <si>
    <t>VAZQUEZ DE CORONADO</t>
  </si>
  <si>
    <t>ALAJUELITA</t>
  </si>
  <si>
    <t>GARABITO</t>
  </si>
  <si>
    <t>SAN RAMÓN</t>
  </si>
  <si>
    <t>PALMARES</t>
  </si>
  <si>
    <t>SAN MATEO</t>
  </si>
  <si>
    <t>COTO BRUS</t>
  </si>
  <si>
    <t>SAN JOSÉ</t>
  </si>
  <si>
    <t>OROTINA</t>
  </si>
  <si>
    <t>Destrucción SUBTOTAL de la toma de captación</t>
  </si>
  <si>
    <t>Afectaciones en la captación Río Tigre y línea de conducción a planta potabilizadora. Rejilla de la toma destruida SUBTOTALmente</t>
  </si>
  <si>
    <t>1. Destrucción SUBTOTAL de la toma en el río Poás / 2. Destrucción de la tubería de conducción entre Toma Río Lajas y Tanque Desarenador: 150 metros, tubo 100 mm / 3. Destrucción de la tubería de conducción entre Toma Río Poás y Tanque Desarenador: 500 metros, tubo 100 mm /4. Colapso de filtro contiguo a desarenador por inundación, colmado con material de aluvión  / 5. Destrucción de tramo inicial de 775 m. línea de conducción principal desde salida Tanque Reunión contiguo a filtros   hacia tanque de almacenamiento por desbordamiento de Río Poás, son 3 líneas "paralelas" de tubería de 100 mm / 6. Destrucción  de tramo de 75 m línea de conducción principal por deslizamiento (arrasó camino),son 3 líneas "paralelas"    de tubería de 100 mm / 7. Aislamiento de estructuras de desarenador, filtro y tanque de reunión, por quedar rodeadas por los cauces del Rio Poás     con alta vulnerabilidad a nuevas crecidas de río e inundaciones, quedaron como una isla1. Destrucción SUBTOTAL de la toma en el río Poás</t>
  </si>
  <si>
    <t>Se deben realizar los diseños y la recontrucción SUBTOTAL del Dique de contención, de manera que soporte  el paso de rocas de sobretamaño, arboles y sobre niveles del Río Barranca, ademas de sistema que permita la limpieza de sedimento en la boca de la toma. Se debe realizar estudios y diseños a nivel de ingeniería basados en el comportamiento del río para los muros de protección de la toma para evitar que el río afecte la entrada, ademas tambien de realizar un mecanismo que en verano cuando el caudal del Río disminuya permita el devío a la toma de agua.</t>
  </si>
  <si>
    <t>Debido a la tormenta se presenta una serie de fugas, obstrucciones de tuberías y medidores.  Debido al estado de la tubería no fue posible restituír en su SUBTOTALidad la presión en ciertos sectores.</t>
  </si>
  <si>
    <t>Realizar análisis de calidad de agua en todas sus fuentes [6 nacientes y 5 pozos (dos de ellos sin uso, uno de ellos por falta de equipo) ]Limpieza, prueba de cámara, prueba de bombeos en todos sus pozos
Realizar una placa de fundación de 1,2m x 1,2m x1m de alto con 9 anclajes de varilla #4 perforados y fijados con epoxico en la piedra del lecho del río.
Se recomienda realizar un paso enterrado de PEAD DR11, 150mm de diámetro.
Es importante involucrar a la CNE, la Municipalidad de La Cruz para definir acciones importantes con respecto a la vulnerabilidad de esta comunidad debido a este tipo de eventos iguales o de mayor impacto que puedan presentarse a futuro. Estudios hidrológicos, y de vulnearabilidad para determinar la permanencia de dichos habitantes en este sector. Como parte de las recomendaciones  es que se lleve a cabo un estudio técnico para que se haga la reconstrucción SUBTOTAL del sistema.</t>
  </si>
  <si>
    <t>con la inundacion se dañaron todos los equipos eletromecanicos y de telemandos en los pozos BH50, pozo 4 y Pozo 3 , la caseta de proteccion se vio afectada en sus cimentaciones; ademas se  tubo una perdida SUBTOTAL en las  acometidas electricas principales  que alimentan los sistemas de bombeo.</t>
  </si>
  <si>
    <t>El cauce de una quebrada se desvió y afectó la tubería de conducción en varios tramos, para un SUBTOTAL de 48 metros de longitud dañados. También se destruyó un paso elevado de aproximadamente 60 metros de longitud con perdida de tubería.</t>
  </si>
  <si>
    <t>El Rio Quebradas destruyó la protección lateral de los desarenadores en la toma principal de San Isidro conocida como Dique de Quebradas, dejando ambos desarenadores SUBTOTALmente falseados y en riesgo de colapso, actualmente se hizo relleno con el mismo material del rio como medida paliativa, pero se hace necesario una solución integral de protección para estas estructuras.</t>
  </si>
  <si>
    <t>El Rio Quebradas lavó  el relleno en la margen izquierda aguas arriba del dique de Captación con lo cual dejó en alta vulnerabilidad este talud y se corre el riesgo de que el río desvie por completo su cauce y arrastre ese relleno, con lo cual quedaría SUBTOTALmente aislada la canalelta de recolección y toda la esctrutura  del Dique, dejando sin agua a la Ciudad de San Isidro.</t>
  </si>
  <si>
    <t>SECTOR UJARRAS:  Tramo de tubería afectada  pérdida SUBTOTAL de 185 metros de tubería de distribución de PVC, además se dio la pérdida SUBTOTAL de 390 metros de tubería de distribución de PVC de En otro ramal se dio la pérdida SUBTOTAL de 418 metros de tubería de distribución de PVC.
SECTOR GUANACASTE UJRRAS
Tramo de tubería se dio la pérdida SUBTOTAL de 68 metros de tubería de conducción y de PVC de 75mm de diámetro SDR 26 y 68 metros de tubería de distribución de PVC
Tramo de tubería afectada por creciente e inundación del río Ceibo, por lo que se dio la pérdida SUBTOTAL de 240 metros de tubería.</t>
  </si>
  <si>
    <t>Se recomienda implementar un paso elevado de mayor longitud y mayor elevación con respecto al cauce del río Volcán..
Debido a que las obras a implementar se encuentran dentro de propiedad privada, la ASADA de Cordoncillo deberá costear los trabajos en su SUBTOTALidad, además de gestionar los permisos que correspondan.</t>
  </si>
  <si>
    <t>El desbordamiento del Río Ceibo destruyó gran parte de la línea de impulsión que va de fuente la Cabuya al Tanque de Almacenamiento del mismo nombre, ya que dejó SUBTOTALmente inestable los terrenos por donde va esta tubería (taludes del margen izquierda del Río Ceibo).Actualmente la tubería fue colocada de forma provisional en acantilados y sostenida con cables amarrada de los arboles.</t>
  </si>
  <si>
    <t xml:space="preserve">
1. Destrucción SUBTOTAL de dos captaciones, por falta se acceso no se ha podido verificar el estado de la Captación Nº1.
2. Destrucción en la tubería de conducción Captación Nº1 al TQG 1: tubería 75 mm, SDR 26, distancia: 1 Km.
3. Destrucción en la tubería de conducción Captación Nº2 al TQG 2: tubería 75 mm, SDR 26, distancia:  400 metros.
4. Destrucción en la tubería de conducción Captación Nº4 al TQG 5: tubería 75 mm, SDR 26, distancia:  600 metros.
5. Destrucción en la tubería de distribución: tubería  75 mm, SDR 26, distancia: 1 Km.
</t>
  </si>
  <si>
    <t xml:space="preserve">1. Destrucción SUBTOTAL de la captación.
2. Destrucción de 150 metros de la  tubería de conducción, 100 mm, SDR 17
3. Destrucción de 50 metros de la tubería de distribución, 50 mm, SDR 17
</t>
  </si>
  <si>
    <t xml:space="preserve">• El sistema se encuentra fuera de servicio desde el día miércoles 04 de octubre del presente año.
• El Río Jorco socavo los márgenes derechos e izquierdas contiguas a la toma. No existe acceso al punto de toma.
• La estructura del desarenador quedo SUBTOTALmente expuesta, ya que el Río destruyo el muro que se estaba rehabilitando.
• Una sección de la malla de protección de la Planta Potabilizadora de aproximadamente unos 7 metros quedo SUBTOTALmente falseada.
• El camino que comunica a la Planta Potabilizadora con el antiguo beneficio quedo SUBTOTALmente destruido, por lo que no existe acceso hasta la planta potabilizadora.
• Desde la Planta Potabilizadora, existían dos tuberías de conducción, una que estaba en operación y la otra una tubería de 200 mm de PVC que se construyó después de la tormenta Tomas y que no estaba en funcionamiento, ya que en el diseño y la construcción se omitieron detalles relevantes para la operación del sistema. La Cantonal ya había realizado algunas mejoras para la habilitación de esta tubería.  Ambas tuberías fueron SUBTOTALmente afectadas desde la Planta hasta el antiguo beneficio (2 kilómetros aproximadamente).
• El paso de las tuberías de conducción sobre el Río Jorco fue SUBTOTALmente destruido.
• Después del antiguo beneficio, existen otros tramos en los que el río destruyó tanto la tubería en funcionamiento como la más nueva de 200 mm.
• En el sector de la “Ortiga”, por donde pasa la tubería nueva, se presentaron algunos desprendimientos de tierra que ponen en peligro dicha tubería.
• Existen al menos dos tramos de la tubería de conducción que va hacia Guaitil que se vieron afectadas por los deslizamientos.
• Se destruyó un tramo de la tubería que se encuentra cercana al Colegio de Turrujal de Acosta.
</t>
  </si>
  <si>
    <t>El pozo complementario, el número 2, de 24 metros de profundidad, de un caudal de 2 litros x segundo y una bomba de 2HP, debido a la tormenta Nate quedó SUBTOTALmente lleno de sedimento debido a que se derrumbó el pedestal de concreto que cubre el brocal y además se quebró el tubo de protección.</t>
  </si>
  <si>
    <t>Debido a las lluvias provocadas por la tormenta, se dio da desestabilización de uno de los taludes de la margen derecho de la Quberada Aguas Claras, en el cual se encuentra un bastión del paso elevado de la tubería de conducción que se encuentra SUBTOTALmente comprometido y a punto de colapsar, lo que provocaría el desabastecimiento de la población de Rio Claro de Golfito</t>
  </si>
  <si>
    <t>Debido a la intensa precipitación, los suelos se saturaron ocasionando importantes deslizamientos. Se logró identificar tres movimientos de suelo de grandes magnitudes: dos en la margen izquierda y uno en la derecha. Los deslizamientos de la margen izquierda causan el daño SUBTOTAL de la tubería de aducción Ø 200 mm PVC en al menos tres puntos, para una longitud SUBTOTAL aproximada de 60 m. Estos eventos inhabilitaron en su SUBTOTALidad la línea de aducción de la planta potabilizadora. Durante el recorrido realizado se observa gran cantidad de árboles y rocas sobre la línea generando fugas en la tubería y desplazamiento de su trazado original.</t>
  </si>
  <si>
    <t>CTP José Figueres Ferrer</t>
  </si>
  <si>
    <t>Mampostería de concreto y prefabricado de columnas y baldosas horizontales</t>
  </si>
  <si>
    <t>ND</t>
  </si>
  <si>
    <t>Falla en muro de gaviones en margen derecho de río que atraviesa el centro educativo</t>
  </si>
  <si>
    <t>Leve</t>
  </si>
  <si>
    <t>Ficha de evaluación post desastre</t>
  </si>
  <si>
    <t>Reconstrucción de muro de gaviones</t>
  </si>
  <si>
    <t xml:space="preserve">TARRAZÚ </t>
  </si>
  <si>
    <t xml:space="preserve">Bajo Canet </t>
  </si>
  <si>
    <t xml:space="preserve">Escuela Bajo Canet </t>
  </si>
  <si>
    <t>Propia</t>
  </si>
  <si>
    <t>Afectación de todo el centro educativo por su ubicación</t>
  </si>
  <si>
    <t>Reubicación y reconstrucción total del centro educativo</t>
  </si>
  <si>
    <t xml:space="preserve">MORA </t>
  </si>
  <si>
    <t>Piedra Blanca</t>
  </si>
  <si>
    <t>Escuela José María Cañas</t>
  </si>
  <si>
    <t>Prefabricado de columnas y baldosas horizontales</t>
  </si>
  <si>
    <t>Deslizamiento menor en zona posterior del lote del centro educativo</t>
  </si>
  <si>
    <t>Limpieza de material caído, eliminación de vegetación pesada y protección de talud anti erosión</t>
  </si>
  <si>
    <t xml:space="preserve">LEÓN CORTÉS </t>
  </si>
  <si>
    <t>Escuela Cecila Orlich f.</t>
  </si>
  <si>
    <t>Mampostería y concreto</t>
  </si>
  <si>
    <t>Caída de árbol en alero de edificio de aulas y módulo de escaleras</t>
  </si>
  <si>
    <t>Reconstrucción de las obras afectadas</t>
  </si>
  <si>
    <t xml:space="preserve">Escuela San Rafael Abajo </t>
  </si>
  <si>
    <t>No presenta daños en infraestructura, pero si vulnerabilidad</t>
  </si>
  <si>
    <t>Reconstrucción muro de gaviones y contratación de servicios profesionales de geología</t>
  </si>
  <si>
    <t xml:space="preserve">Paramo </t>
  </si>
  <si>
    <t xml:space="preserve">La Hortensia </t>
  </si>
  <si>
    <t>Mampostería de concreto</t>
  </si>
  <si>
    <t>Riesgo de deslizamiento</t>
  </si>
  <si>
    <t>Control de erosión y pendiente en talud aledaño</t>
  </si>
  <si>
    <t xml:space="preserve">Los Angeles </t>
  </si>
  <si>
    <t xml:space="preserve">LR Los Angeles </t>
  </si>
  <si>
    <t>Prefabicado de concreto de columnas y baldosas horizontales</t>
  </si>
  <si>
    <t>Control de aguas de escorrentía en talud</t>
  </si>
  <si>
    <t xml:space="preserve">Rivas </t>
  </si>
  <si>
    <t xml:space="preserve">San Juan Norte </t>
  </si>
  <si>
    <t>Construcción de muro de contención y manejo de aguas pluviales</t>
  </si>
  <si>
    <t xml:space="preserve">Siberia </t>
  </si>
  <si>
    <t xml:space="preserve">El Nivel </t>
  </si>
  <si>
    <t>Canalización de aguas de naciente</t>
  </si>
  <si>
    <t xml:space="preserve">B° Sinaí </t>
  </si>
  <si>
    <t>Liceo Sinaí</t>
  </si>
  <si>
    <t>Mampostería y prefabricado de concreto de columnas y baldosas horizontales</t>
  </si>
  <si>
    <t>Deslizamiento leve por manejo inadecuado de aguas pluviales</t>
  </si>
  <si>
    <t>Ficha de Evaluación post desastre</t>
  </si>
  <si>
    <t xml:space="preserve">Reparaciones en sistema y desfogue pluvial </t>
  </si>
  <si>
    <t>Desbordamiento de aguas pluviales dentro del centro educativo</t>
  </si>
  <si>
    <t>Mejoras en sistema de manejo de aguas pluviales</t>
  </si>
  <si>
    <t>Reubicación del centro educativo</t>
  </si>
  <si>
    <t>Parcial</t>
  </si>
  <si>
    <t>Deslizamiento en lindero con río</t>
  </si>
  <si>
    <t>Construcción de muro de contención, sistema de aguas pluviales y reparaciones en aulas afectadas</t>
  </si>
  <si>
    <t>Deslizamiento que afectó pared posterior de dos aulas</t>
  </si>
  <si>
    <t>Escuela Floria Zeledón</t>
  </si>
  <si>
    <t>Monte Redondo</t>
  </si>
  <si>
    <t xml:space="preserve">ASERRÍ </t>
  </si>
  <si>
    <t>Construcción de obras de contención en el margen del río, honorarios profesionales y estudios técnicos complementarios</t>
  </si>
  <si>
    <t>Deslave en colindancia con el río</t>
  </si>
  <si>
    <t>Combinado de marcos estructurales en hierro y baldosas verticales</t>
  </si>
  <si>
    <t>Escuela Agua Blanca</t>
  </si>
  <si>
    <t>Combinado de marcos estructurales en hierro y baldosas horizontales</t>
  </si>
  <si>
    <t>Escuela Lagunillas</t>
  </si>
  <si>
    <t xml:space="preserve">ACOSTA </t>
  </si>
  <si>
    <t xml:space="preserve">PURISCAL </t>
  </si>
  <si>
    <t>Escuela San Martín</t>
  </si>
  <si>
    <t>Concreto y Mamposteria de concreto. Prefabricado columnas y baldosas horizontales</t>
  </si>
  <si>
    <t>Deslizamiento en lindero de la propiedad que afectó un aula, comedor, malla perimetral y acceso principal</t>
  </si>
  <si>
    <t>Reubicación y construcción de nuevo centro educativo</t>
  </si>
  <si>
    <t xml:space="preserve">VALVERDE VEGA </t>
  </si>
  <si>
    <t xml:space="preserve">Sarchí Norte </t>
  </si>
  <si>
    <t xml:space="preserve">Escuela Llano Grande </t>
  </si>
  <si>
    <t>Afectación de taludes</t>
  </si>
  <si>
    <t xml:space="preserve">Obra de protección, reforzamiento de taludes y construcción de muro de contención </t>
  </si>
  <si>
    <t xml:space="preserve">Sarchí Sur </t>
  </si>
  <si>
    <t xml:space="preserve">Alto Castro </t>
  </si>
  <si>
    <t xml:space="preserve">Escuela Alto Castro </t>
  </si>
  <si>
    <t>Afectación en muro de contención existente</t>
  </si>
  <si>
    <t>Reconstrucción muro de contención</t>
  </si>
  <si>
    <t xml:space="preserve">Escuela Eulogio Salazar Lara </t>
  </si>
  <si>
    <t>Afectación en tapia existente</t>
  </si>
  <si>
    <t>Reconstrucción tapia</t>
  </si>
  <si>
    <t>Construcción total  de nueva infraestructura</t>
  </si>
  <si>
    <t>Inundación y daños en servicios sanitarios</t>
  </si>
  <si>
    <t>Esc. Higuerillas</t>
  </si>
  <si>
    <t xml:space="preserve">Higuerillas </t>
  </si>
  <si>
    <t xml:space="preserve">Colorado </t>
  </si>
  <si>
    <t xml:space="preserve">Abangares </t>
  </si>
  <si>
    <t>Deslizamiento de talud aledaño</t>
  </si>
  <si>
    <t>Las Cañitas</t>
  </si>
  <si>
    <t xml:space="preserve">Cañitas </t>
  </si>
  <si>
    <t>Reubicación del centro educativo.</t>
  </si>
  <si>
    <t xml:space="preserve">Inundación (nacientes en el terreno y escorrentía del terreno  colindante) </t>
  </si>
  <si>
    <t>Mamposteria de concreto. Prefabricado columnas y baldosas horizontales</t>
  </si>
  <si>
    <t>Escuela San Rafael</t>
  </si>
  <si>
    <t>Construcción de obras de control de aguas pluviales y reparaciones en paredes deterioradas por humedad</t>
  </si>
  <si>
    <t>Inundación por aguas de escorrentía</t>
  </si>
  <si>
    <t>Escuela San Francisco</t>
  </si>
  <si>
    <t xml:space="preserve">Juntas </t>
  </si>
  <si>
    <t xml:space="preserve">ABANGARES </t>
  </si>
  <si>
    <t>Reparaciones en techos e instalación eléctrica</t>
  </si>
  <si>
    <t>Daños en cubierta y estructura de techo e instalación eléctrica</t>
  </si>
  <si>
    <t>Mampostería</t>
  </si>
  <si>
    <t xml:space="preserve">Los Jocotes </t>
  </si>
  <si>
    <t>Construcción de corte aguas de escorrentía en costado posterior del lote</t>
  </si>
  <si>
    <t>Mampostería concreto y madera</t>
  </si>
  <si>
    <t>Escuela Diurna Los Lagos</t>
  </si>
  <si>
    <t>Socavación en tapia existente por rio colindante</t>
  </si>
  <si>
    <t xml:space="preserve">Escuela Guatuso </t>
  </si>
  <si>
    <t xml:space="preserve">Guatuso </t>
  </si>
  <si>
    <t xml:space="preserve">Escuela Casamata </t>
  </si>
  <si>
    <t xml:space="preserve">Casamata </t>
  </si>
  <si>
    <t xml:space="preserve">EL GUARCO </t>
  </si>
  <si>
    <t xml:space="preserve">Escuela El Bosque </t>
  </si>
  <si>
    <t>Socavación de salidas de aguas pluviales en tapia existente</t>
  </si>
  <si>
    <t>Reparar tapia existente</t>
  </si>
  <si>
    <t xml:space="preserve">OSA </t>
  </si>
  <si>
    <t>Escuela Ricardo Angulo Vallejos</t>
  </si>
  <si>
    <t xml:space="preserve">TILARÁN </t>
  </si>
  <si>
    <t>Escuela La Esperanza</t>
  </si>
  <si>
    <t xml:space="preserve">Mampostería de concreto </t>
  </si>
  <si>
    <t>Riesgo por deslizamiento (requiere valoración de geológo). Escuela reubicada</t>
  </si>
  <si>
    <t>Reubicación del centro educativo (se requiere valoración de geología).</t>
  </si>
  <si>
    <t xml:space="preserve">PUNTARENAS </t>
  </si>
  <si>
    <t xml:space="preserve">Bajo Caliente </t>
  </si>
  <si>
    <t xml:space="preserve">Escuela Bajo Caliente </t>
  </si>
  <si>
    <t xml:space="preserve">Paquera </t>
  </si>
  <si>
    <t xml:space="preserve">Río Grande </t>
  </si>
  <si>
    <t>Escuela de Río Grande</t>
  </si>
  <si>
    <t>Construcción de obras de contención en el talud, honorarios profesionales y estudios técnicos complementarios</t>
  </si>
  <si>
    <t>Vulnerabilidad</t>
  </si>
  <si>
    <t xml:space="preserve">Liceo Rural El Carmen Parrita </t>
  </si>
  <si>
    <t>5891</t>
  </si>
  <si>
    <t>Construcción  (nuevo terreno)</t>
  </si>
  <si>
    <t>Escuela El Carmen</t>
  </si>
  <si>
    <t>3699</t>
  </si>
  <si>
    <t>Prefabricado</t>
  </si>
  <si>
    <t>Playón San Isidro</t>
  </si>
  <si>
    <t>3761</t>
  </si>
  <si>
    <t>Reparación de obras menores</t>
  </si>
  <si>
    <t>Saturación de sistema pluvial, caída de malla y portón perimetral, pintura en paredes externas.</t>
  </si>
  <si>
    <t>Prefabridao y estructura metálica</t>
  </si>
  <si>
    <t>CINDEA Ciudad Cortés</t>
  </si>
  <si>
    <t>Ciudad Puerto Córtes</t>
  </si>
  <si>
    <t>Informe DRE Grande de terraba MEP</t>
  </si>
  <si>
    <t>Daño en láminas de cubierta, saturación de sistemas pluvial y mecánico, deterioro en paredes, ventanería.</t>
  </si>
  <si>
    <t>Concreto y madera</t>
  </si>
  <si>
    <r>
      <t>Escuela Finca Seis</t>
    </r>
    <r>
      <rPr>
        <sz val="10"/>
        <color rgb="FF1F497D"/>
        <rFont val="Arial"/>
        <family val="2"/>
      </rPr>
      <t xml:space="preserve">         </t>
    </r>
  </si>
  <si>
    <t xml:space="preserve">Finca Seis - Once </t>
  </si>
  <si>
    <r>
      <t>Escuela Finca Cinco</t>
    </r>
    <r>
      <rPr>
        <sz val="10"/>
        <color rgb="FF1F497D"/>
        <rFont val="Arial"/>
        <family val="2"/>
      </rPr>
      <t xml:space="preserve">    </t>
    </r>
  </si>
  <si>
    <t xml:space="preserve">Finca Cinco </t>
  </si>
  <si>
    <r>
      <t>Escuela Finca Dos-Cuatro</t>
    </r>
    <r>
      <rPr>
        <sz val="10"/>
        <color rgb="FF1F497D"/>
        <rFont val="Arial"/>
        <family val="2"/>
      </rPr>
      <t xml:space="preserve">         </t>
    </r>
  </si>
  <si>
    <t>Finca Dos-Cuatro  </t>
  </si>
  <si>
    <t>Escuela Finca Nueve</t>
  </si>
  <si>
    <t>Finca Nueve</t>
  </si>
  <si>
    <r>
      <t>Escuela Finca Ocho</t>
    </r>
    <r>
      <rPr>
        <sz val="10"/>
        <color rgb="FF1F497D"/>
        <rFont val="Arial"/>
        <family val="2"/>
      </rPr>
      <t xml:space="preserve">   </t>
    </r>
  </si>
  <si>
    <t>Finca Ocho</t>
  </si>
  <si>
    <r>
      <t>Escuela Finca Siete</t>
    </r>
    <r>
      <rPr>
        <sz val="10"/>
        <color rgb="FF1F497D"/>
        <rFont val="Arial"/>
        <family val="2"/>
      </rPr>
      <t xml:space="preserve">             </t>
    </r>
  </si>
  <si>
    <t>Finca Siete</t>
  </si>
  <si>
    <t>Escuela Finca Diez</t>
  </si>
  <si>
    <t>Finca Diez</t>
  </si>
  <si>
    <t>desprendimiento de pintura en paredes internas, piezas estructurales,  puertas madera, pizarras, saturación tanques septicos, deterioro verjas y portón. Mobiliario y equipo.</t>
  </si>
  <si>
    <t>Escuela Nieborowski</t>
  </si>
  <si>
    <t xml:space="preserve">Reconstrucción muro de contención y modulo </t>
  </si>
  <si>
    <t xml:space="preserve">Afectación en terreno del centro educativo por terraplén </t>
  </si>
  <si>
    <t xml:space="preserve">Escuela Ventanas </t>
  </si>
  <si>
    <t xml:space="preserve">Ventanas </t>
  </si>
  <si>
    <t xml:space="preserve">Unión </t>
  </si>
  <si>
    <t xml:space="preserve">MONTES DE ORO </t>
  </si>
  <si>
    <t>Perdida de todo el sistema electrico, mobiliario y equipo técnologico. Paredes livianas, pisos, puertas, pizarras, cielos y láminas de cubierta.</t>
  </si>
  <si>
    <t>Estructura métalica con cerramiento liviano</t>
  </si>
  <si>
    <t>Liceo Rural Yimba Cacj</t>
  </si>
  <si>
    <t>Curre</t>
  </si>
  <si>
    <t>Pérdida total de la infraestructura, mobiliario y equipo técnologico.</t>
  </si>
  <si>
    <t>Concreto y estructura metálica</t>
  </si>
  <si>
    <t>Escuela Paso Real</t>
  </si>
  <si>
    <t>Paso Real</t>
  </si>
  <si>
    <t xml:space="preserve">BUENOS AIRES </t>
  </si>
  <si>
    <t>Limpieza de cauce y redireccionamiento</t>
  </si>
  <si>
    <t>Colmatacion de cauce y desviacion en sector</t>
  </si>
  <si>
    <t>Sedimentacion del cauce y desbordamiento</t>
  </si>
  <si>
    <t>Desviacion del cauce , afectacion de viviendas y comercio</t>
  </si>
  <si>
    <t>Montaña</t>
  </si>
  <si>
    <t>Reparacion dique, remocion de sedimentos</t>
  </si>
  <si>
    <t>daños en dique y sedimentacion cauce</t>
  </si>
  <si>
    <t>120,000,000,00</t>
  </si>
  <si>
    <t>Los sedimentos arrastrados desde  la parte alta de la cuenca ha rellenado el cause de la misma, provocando desbordamiento  e inundaciones.</t>
  </si>
  <si>
    <t>Margen del cauce-Dique</t>
  </si>
  <si>
    <t>Canal Estero Azul Coordenadas Lambert Sur : Inicio   N 314770   E 521429  
Final  N 312606  E 521529</t>
  </si>
  <si>
    <t>Río Sierpe. Coordenadas Lambert Sur :  Inicio N 312583   E 521417   Final  N 312583, E 521417</t>
  </si>
  <si>
    <t>RECONSTRUCCIÓN DE DIQUE Y CANALIZACIÓN DE DRENAJES</t>
  </si>
  <si>
    <t>DESTRUCCIÓN DE DIQUE Y SEDIMENTACIÓN DE DRENAJES</t>
  </si>
  <si>
    <t>DIQUE MARGEN DERECHO-DRENAJES</t>
  </si>
  <si>
    <t>RÍO TERRABA COORD. ESTE 546990NORTE 992220 CRTM05</t>
  </si>
  <si>
    <t>PUETO CORTÉS</t>
  </si>
  <si>
    <t>DANOS EN EL TALUD POR SOCAVACION DE LA MARGEN DERECHA</t>
  </si>
  <si>
    <t>SOCAVACION DE MARGEN</t>
  </si>
  <si>
    <t>DIQUE-CALLE</t>
  </si>
  <si>
    <t>RIO BALZAR COORD. ESTE 552347 NORTE 993086 CRTM05</t>
  </si>
  <si>
    <t>CIUDAD CORTES</t>
  </si>
  <si>
    <t>PUERTO CORTES</t>
  </si>
  <si>
    <t>DANOS EN LA ESTRUCTURA POR EROSION DEL AGUA Y DEPOSITOS DE SEDIMENTOS</t>
  </si>
  <si>
    <t>DAÑOS EN EL DIQUE</t>
  </si>
  <si>
    <t>RIO BALZAR COORD. ESTE 552967 NORTE 991970 CRTM05</t>
  </si>
  <si>
    <t>RÍO CULEBRA COORD. ESTE 552300 NORTE 989274 CRTM05</t>
  </si>
  <si>
    <t>OLLA CERO</t>
  </si>
  <si>
    <t>PALMAR/SIERPE</t>
  </si>
  <si>
    <t>RECONSTRUCCION DE DIQUE Y CANALIZACION DE DRENAJES</t>
  </si>
  <si>
    <t>DESTRUCCION DE DIQUE - SEDIMENTACION DE DRENAJES - DESBORDAMIENTO</t>
  </si>
  <si>
    <t>MARGEN IZQUIERDA- DRENAJES</t>
  </si>
  <si>
    <t>RIO LA BONITA COORD. ESTE 568988 NORTE 979923 CRTM05</t>
  </si>
  <si>
    <t>LA PUERTA DEL SOL</t>
  </si>
  <si>
    <t>DESTRUCCION DE DIQUE Y SEDIMENTACION DE DRENAJES</t>
  </si>
  <si>
    <t>DIQUE MARGEN IZQUIERDA- DRENAJES</t>
  </si>
  <si>
    <t>RIO TINOCO COORD. ESTE 567886 NORTE 981672 CRTM05</t>
  </si>
  <si>
    <t>SAN FRANCISCO DE TINOCO</t>
  </si>
  <si>
    <t>RIO CULEBRA COORD. ESTE 563425 NORTE 981315 CRTM05</t>
  </si>
  <si>
    <t>DIQUE MARGEN IZQUIERO-DRENAJES</t>
  </si>
  <si>
    <t>RÍO TERRABA COORD. ESTE 562959 NORTE 984806 CRTM05</t>
  </si>
  <si>
    <t>San Francisco de Tinoco</t>
  </si>
  <si>
    <t>PALMAR</t>
  </si>
  <si>
    <t>85,000,000,00</t>
  </si>
  <si>
    <t>50,000,000,00</t>
  </si>
  <si>
    <t>Margen del cauce</t>
  </si>
  <si>
    <t>215,000,000,00</t>
  </si>
  <si>
    <t>Río Térraba Coordenadas Lambert Sur : Inicio  N 324384   E 524819      Final            N 323628   E 522035</t>
  </si>
  <si>
    <t>Dragado, limpieza y Canalización.</t>
  </si>
  <si>
    <t>La gran cantidad de sedimentos arrastrados desde  la parte alta de la cuenca ha rellenado el cauce de la misma, provocando con ello desbordamiento  e inundaciones.</t>
  </si>
  <si>
    <r>
      <t xml:space="preserve">Estero Ganadito Coordenadas Lambert Sur :       </t>
    </r>
    <r>
      <rPr>
        <b/>
        <sz val="10"/>
        <rFont val="Arial"/>
        <family val="2"/>
      </rPr>
      <t xml:space="preserve">Inicio  </t>
    </r>
    <r>
      <rPr>
        <sz val="10"/>
        <rFont val="Arial"/>
        <family val="2"/>
      </rPr>
      <t xml:space="preserve">                        N 322413.677             E 513179.014      </t>
    </r>
    <r>
      <rPr>
        <b/>
        <sz val="10"/>
        <rFont val="Arial"/>
        <family val="2"/>
      </rPr>
      <t xml:space="preserve">Final </t>
    </r>
    <r>
      <rPr>
        <sz val="10"/>
        <rFont val="Arial"/>
        <family val="2"/>
      </rPr>
      <t xml:space="preserve">                         N 320627.116            E 516272.954</t>
    </r>
  </si>
  <si>
    <t>Socavación,  Desbordamiento e inundaciones.</t>
  </si>
  <si>
    <r>
      <t xml:space="preserve">Río Térraba Coordenadas Lambert Sur :       </t>
    </r>
    <r>
      <rPr>
        <b/>
        <sz val="10"/>
        <rFont val="Arial"/>
        <family val="2"/>
      </rPr>
      <t xml:space="preserve">Inicio  </t>
    </r>
    <r>
      <rPr>
        <sz val="10"/>
        <rFont val="Arial"/>
        <family val="2"/>
      </rPr>
      <t xml:space="preserve">                        N 323419.610             E 522469.733      </t>
    </r>
    <r>
      <rPr>
        <b/>
        <sz val="10"/>
        <rFont val="Arial"/>
        <family val="2"/>
      </rPr>
      <t xml:space="preserve">Final </t>
    </r>
    <r>
      <rPr>
        <sz val="10"/>
        <rFont val="Arial"/>
        <family val="2"/>
      </rPr>
      <t xml:space="preserve">                         N 322558.630            E 513018.279</t>
    </r>
  </si>
  <si>
    <t>52,000,000,00</t>
  </si>
  <si>
    <t>Río Coronado Coordenadas Lambert Sur :  Inicio  N 334556   E 507749         Final             N 333254   E 504386</t>
  </si>
  <si>
    <t>45,000,000,00</t>
  </si>
  <si>
    <t>Río Sanbuenaventura Coordenadas Lambert Sur :
Inicio  N 331369  E 509556  
Final   N 331054  E 507805</t>
  </si>
  <si>
    <t>265,000,000,00</t>
  </si>
  <si>
    <t>Río Balzar Coord. Lambert Sur :       Inicio   N 327075   E 515877
Final    N 322675   E 515313</t>
  </si>
  <si>
    <t>Talud-Dique</t>
  </si>
  <si>
    <t>Río Uvita Coordenadas Lambert Sur :       Inicio  N 347740   E 493828
Final   N 346602   E 490209</t>
  </si>
  <si>
    <t>190,000,000,00</t>
  </si>
  <si>
    <t>Río Barú Coordenadas Lambert Sur :       Inicio N 359189   E 479540             Final  N 356127   E 477368</t>
  </si>
  <si>
    <t>¢55.000.000.00</t>
  </si>
  <si>
    <t xml:space="preserve">PROTECCION DE CARRETERA </t>
  </si>
  <si>
    <t>¢64.000.000.00</t>
  </si>
  <si>
    <t xml:space="preserve">ROMPIO PARTE DE CARRETERA </t>
  </si>
  <si>
    <t>CARRETERA</t>
  </si>
  <si>
    <t xml:space="preserve"> RIO PARRITA COORD. ESTE 464367 NORTE 1050403</t>
  </si>
  <si>
    <t>CARRETERA ISLA PALO SECO</t>
  </si>
  <si>
    <t>¢40.000.000.00</t>
  </si>
  <si>
    <t>ENCAUSAMIENTO DE RIO CANDELARIA</t>
  </si>
  <si>
    <t>PIORIDAD</t>
  </si>
  <si>
    <t>¢52.000.000.00</t>
  </si>
  <si>
    <t>CAMBIO CURSO RIO CANDELARIA</t>
  </si>
  <si>
    <t>UNION DE RIO</t>
  </si>
  <si>
    <t>UNION RIO CANDELARIA - RIO PARRITON CONFORMAN RIO PARRITA COORD. ESTE 4679553 NORTE 1066158</t>
  </si>
  <si>
    <t>VASCONIA - REY</t>
  </si>
  <si>
    <t>¢150.000.000.00</t>
  </si>
  <si>
    <t>RECONSTRUCCION DE CARRETERA Y DIQUE</t>
  </si>
  <si>
    <t>¢180.000.00.00</t>
  </si>
  <si>
    <t>DESTRUCCION DE CARRETERA Y DIQUE</t>
  </si>
  <si>
    <t>RIO PARRITA</t>
  </si>
  <si>
    <t>CARRETERA PASO A VASCONIA-PLAYON SAN ISIDRO COORD. ESTE 465945 NORTE 1063244</t>
  </si>
  <si>
    <t>PLAYON SAN ISIDRO-VASCONIA</t>
  </si>
  <si>
    <t>¢100.000.000.00</t>
  </si>
  <si>
    <t>LIMPIEZA Y CANALIZACION</t>
  </si>
  <si>
    <t>¢115.000.000.00</t>
  </si>
  <si>
    <t>DESBORDAMIENTO</t>
  </si>
  <si>
    <t>QUEBRADA</t>
  </si>
  <si>
    <t>QUEBRADA BALLADOLIT COORD. ESTE 462396 NORTE1055909</t>
  </si>
  <si>
    <t>BALLADOLIT</t>
  </si>
  <si>
    <t>¢35.000.000.00</t>
  </si>
  <si>
    <t>DANOS EN LA ESTRUCTURA POR FILTRACION DE AGUA</t>
  </si>
  <si>
    <t>FILTRACION</t>
  </si>
  <si>
    <t>RIO PARRITA COORD. ESTE 464627 NORTE 1052968 CRTM05</t>
  </si>
  <si>
    <t>PARRITA POR MOPT</t>
  </si>
  <si>
    <t>REPARACION DE DIQUE</t>
  </si>
  <si>
    <t>¢42.000.000.00</t>
  </si>
  <si>
    <t>SOCAVACION</t>
  </si>
  <si>
    <t>RIO PARRITA COORD. ESTE 464247 NORTE 1052859 CRTM05</t>
  </si>
  <si>
    <t>PARRITA CENTRO DETRÁS COLEGIO</t>
  </si>
  <si>
    <t>¢25.000.000.00</t>
  </si>
  <si>
    <t>¢33.000.000.00</t>
  </si>
  <si>
    <t>RIO PARRITA COORD. ESTE 464544 NORTE 1052500 CRTM05</t>
  </si>
  <si>
    <t>PUEBLO NUEVO PARRITA</t>
  </si>
  <si>
    <t>¢65.000.000.00</t>
  </si>
  <si>
    <t>CONSTRUCCION DE DIQUE</t>
  </si>
  <si>
    <t>¢78.000.000.00</t>
  </si>
  <si>
    <t>DESTRUCCION DE DIQUE</t>
  </si>
  <si>
    <t>RIO PARRITA COORD. ESTE 464389 NORTE 1052682 CRTM05</t>
  </si>
  <si>
    <t>PARRITA CENTRO PUENTE</t>
  </si>
  <si>
    <t>¢20.000.000,00</t>
  </si>
  <si>
    <t>¢28.000.000,00</t>
  </si>
  <si>
    <t>RIO PARRITA COORD. ESTE 464364 NORTE 1053444 CRTM05</t>
  </si>
  <si>
    <t>CITRADIQUE</t>
  </si>
  <si>
    <t>¢45.000.000,00</t>
  </si>
  <si>
    <t>RECUPERACION DE DIQUE</t>
  </si>
  <si>
    <t>¢53.000.000,00</t>
  </si>
  <si>
    <t>RIO PARRITA COORD. ESTE 464952 NORTE 1053550 CRTM05</t>
  </si>
  <si>
    <t>¢25.000.000,00</t>
  </si>
  <si>
    <t>¢35.000.000,00</t>
  </si>
  <si>
    <t>RIO PARRITA COORD. ESTE 464069 NORTE 1053481 CRTM05</t>
  </si>
  <si>
    <t>RIO PARRITA COORD. ESTE 464431 NORTE 1053446 CRTM05</t>
  </si>
  <si>
    <t>POBLACION</t>
  </si>
  <si>
    <t>QUEBRADA SORUBRES COORD. ESTE 466883 NORTE 1061674</t>
  </si>
  <si>
    <t>SORUBRES BIJAGUAL</t>
  </si>
  <si>
    <t>QUEBRADA ASERRADERO COORD. ESTE 445390 NORTE 1054136</t>
  </si>
  <si>
    <t>ESTERILLOS OESTE</t>
  </si>
  <si>
    <t>POBLACION Y RUTA 1</t>
  </si>
  <si>
    <t>QUEBRADA JICOTE 1 CARRETERA RUTA 1 PUENTE POR ALMACEN KILOMBO COORD. ESTE 457052 NORTE 1053699</t>
  </si>
  <si>
    <t>LOS SUENOS RUTA 1</t>
  </si>
  <si>
    <t>QUEBRADA LA PALMA COORD. ESTE 459324 NORTE 1054048</t>
  </si>
  <si>
    <t>QUEBRADA JICOTE 2 COORD. ESTE 457398 NORTE 1054641 CRTM05</t>
  </si>
  <si>
    <t xml:space="preserve">LOMAS ABAJO </t>
  </si>
  <si>
    <t>QUEBRADA JICOTE 1 COORD. ESTE 457638 NORTE 1054561 CRTM05</t>
  </si>
  <si>
    <t>LOS SUENOS</t>
  </si>
  <si>
    <t>QUEBRADA POR SUPER CHATO COORD. ESTE 458259 NORTE 1054367 CRTM05</t>
  </si>
  <si>
    <t>QUEBRADA CAMARON COORD. ESTE 472451 NORTE 1061326 CRTM05</t>
  </si>
  <si>
    <t>SAN JUAN LAS VEGAS</t>
  </si>
  <si>
    <t>RECONSTRUCCIONY PROTECCION  DE CARRETERA</t>
  </si>
  <si>
    <t>DESTRUCCION TOTAL DE CARRETERA</t>
  </si>
  <si>
    <t>RIO SAN JUAN COORD. ESTE 471847 NORTE 1060985 CRTM05</t>
  </si>
  <si>
    <t>RIO SAN JUAN COORD. ESTE 472009 NORTE 1060818 CRTM05</t>
  </si>
  <si>
    <t>RECONSTRUCCION DE CARRETERA Y CIERRE DE BOQUETE</t>
  </si>
  <si>
    <t>ABERTURA O BOQUETE NUEVO DE ENTRADA DE RIO A MAR</t>
  </si>
  <si>
    <t>RIO PARRITA COORD. ESTE 459161 NORTE 1050794 CRTM05</t>
  </si>
  <si>
    <t>PLAYA BANDERA</t>
  </si>
  <si>
    <t>RIO PARRITA COORD. ESTE 466564 NORTE 1049145 CRTM05</t>
  </si>
  <si>
    <t>ISLA PALO SECO</t>
  </si>
  <si>
    <t xml:space="preserve">RIO CERCA DE ROMPER  CARRETERA  </t>
  </si>
  <si>
    <t xml:space="preserve"> RIO PARRITA COORD. ESTE 464261 NORTE 1049998</t>
  </si>
  <si>
    <t>Dragado del río Samen</t>
  </si>
  <si>
    <t>Dique colapsado</t>
  </si>
  <si>
    <t>400 m Largo 7 m Ancho 3 Alto</t>
  </si>
  <si>
    <t>RIO SAVEGRE  E495029 N1041572</t>
  </si>
  <si>
    <t>300 m Largo 7 m Ancho 3 Alto</t>
  </si>
  <si>
    <t>RIO SAVEGRE E495067N1039896</t>
  </si>
  <si>
    <t>Asentamiento savegre paso Gallo</t>
  </si>
  <si>
    <t>Reparación del puente y protección de los bastiones</t>
  </si>
  <si>
    <t>9.00m Largo                            3.00m Ancho                              4.10m Altura</t>
  </si>
  <si>
    <t>RIO GUABAS E497192 N1040419</t>
  </si>
  <si>
    <t>1200 m Largo 7 m Ancho3 Alto</t>
  </si>
  <si>
    <t>RIO CAÑAS E482176 N1052410</t>
  </si>
  <si>
    <t>San Rafael de Cerros  Arriba</t>
  </si>
  <si>
    <t>600 m Largo7 m Ancho 3 Alto</t>
  </si>
  <si>
    <t>RIO CAÑAS E481171 N1051893</t>
  </si>
  <si>
    <t>Protección del dique con ciclópeo</t>
  </si>
  <si>
    <t>Dique Muro retención, con problemas de socavación graves</t>
  </si>
  <si>
    <t>ESTERO BOCA VIEJA E481700 N1042965</t>
  </si>
  <si>
    <t>Todo el centro de Quepos</t>
  </si>
  <si>
    <t>Reconstruir el puente y proteger los bastiones</t>
  </si>
  <si>
    <t>8.00m Largo                              2 m Ancho                              3 m Altura</t>
  </si>
  <si>
    <t>QUEBRADA ZUÑIGA E490899 N1052856</t>
  </si>
  <si>
    <t>9.00m Largo                              2.50m Ancho                              3 m Altura</t>
  </si>
  <si>
    <t>QUEBRADA ZUÑIGA E491017 N1052716</t>
  </si>
  <si>
    <t>11.00m Largo                            4 m Ancho                              4.50m Altura</t>
  </si>
  <si>
    <t>QUEBRADA ZUÑIGA E490828 N1052525</t>
  </si>
  <si>
    <t>15.00m Largo                            3.50m Ancho                              5.50m Altura</t>
  </si>
  <si>
    <t>QUEBRADA ORTIZ E491007 N1048338</t>
  </si>
  <si>
    <t>Reconstrucción del bastión, reparación del puente y proteger el bastión</t>
  </si>
  <si>
    <t>9.00m Largo                              2.50m Ancho                              4.20 m Altura</t>
  </si>
  <si>
    <t>QUEBRADA DANTA E488642 N1047941</t>
  </si>
  <si>
    <t>FORMULARIO N° 7: VIVIENDA</t>
  </si>
  <si>
    <t>Declaratoria de Emergencia, Decreto N°: 40677</t>
  </si>
  <si>
    <t>Institución Informante: Ministerio de Vivienda y Asentamientos Humanos</t>
  </si>
  <si>
    <t>Fecha: 18 de diciembre de 2017</t>
  </si>
  <si>
    <t>Localización Específica</t>
  </si>
  <si>
    <t>Jefes (as) de Hogar</t>
  </si>
  <si>
    <t>Direccion</t>
  </si>
  <si>
    <t>Identificacion</t>
  </si>
  <si>
    <t>N\R</t>
  </si>
  <si>
    <t>001764</t>
  </si>
  <si>
    <t xml:space="preserve">JUANILAMA </t>
  </si>
  <si>
    <t xml:space="preserve">2KM AL SUR DE LA PLANTA MELONES </t>
  </si>
  <si>
    <t xml:space="preserve">Leve </t>
  </si>
  <si>
    <t>Reparación</t>
  </si>
  <si>
    <t>Cédula</t>
  </si>
  <si>
    <t>5016600150</t>
  </si>
  <si>
    <t xml:space="preserve">ELVIN </t>
  </si>
  <si>
    <t xml:space="preserve">RAMIREZ MARTINEZ </t>
  </si>
  <si>
    <t>63244672</t>
  </si>
  <si>
    <t>2225</t>
  </si>
  <si>
    <t xml:space="preserve">Ninguno </t>
  </si>
  <si>
    <t>No amerita acción</t>
  </si>
  <si>
    <t>0601260992</t>
  </si>
  <si>
    <t>EDWIN FRANCISCO</t>
  </si>
  <si>
    <t>BARQUERO ESPINOZA</t>
  </si>
  <si>
    <t>000836</t>
  </si>
  <si>
    <t>GRAVILIAS</t>
  </si>
  <si>
    <t>GRAVILIAS, 200 METROS ESTE DE LA PLAZA</t>
  </si>
  <si>
    <t>0103620554</t>
  </si>
  <si>
    <t>FELICIA</t>
  </si>
  <si>
    <t>RODRIGUEZ RODRIGUEZ</t>
  </si>
  <si>
    <t>86722828</t>
  </si>
  <si>
    <t>000840</t>
  </si>
  <si>
    <t>LA ESCUADRA</t>
  </si>
  <si>
    <t>100 METROS SU DE LA ESCUELA LA ESCUADRA</t>
  </si>
  <si>
    <t>0107710213</t>
  </si>
  <si>
    <t>ZEIDI</t>
  </si>
  <si>
    <t>DIAZ GAMBOA</t>
  </si>
  <si>
    <t>25444591</t>
  </si>
  <si>
    <t>002086</t>
  </si>
  <si>
    <t>TAPICERIA CHINCHILLA</t>
  </si>
  <si>
    <t>DEL ABASTECEDOR HIDALGO 200 SUR</t>
  </si>
  <si>
    <t>Obras complementa</t>
  </si>
  <si>
    <t>0105380153</t>
  </si>
  <si>
    <t>JOSE MARTIN</t>
  </si>
  <si>
    <t>CHINCHILLA AGUERO</t>
  </si>
  <si>
    <t>88679875</t>
  </si>
  <si>
    <t>002087</t>
  </si>
  <si>
    <t>800 TALLER PIPO, CONTIGUO ANTENA ICE, CASA ESCONDIDA</t>
  </si>
  <si>
    <t xml:space="preserve">Grave </t>
  </si>
  <si>
    <t>0104950148</t>
  </si>
  <si>
    <t>JOSE LUIS</t>
  </si>
  <si>
    <t>ROJAS VARGAS</t>
  </si>
  <si>
    <t>85435505</t>
  </si>
  <si>
    <t>002088</t>
  </si>
  <si>
    <t>CEIBA ARRIBA</t>
  </si>
  <si>
    <t>DE LA IGLESIA CATOLICA 1.5 KM HACIA GRAVILIAS</t>
  </si>
  <si>
    <t>0204230530</t>
  </si>
  <si>
    <t>JEANNINA</t>
  </si>
  <si>
    <t>BOGANTES MADRIZ</t>
  </si>
  <si>
    <t>84601357</t>
  </si>
  <si>
    <t>002089</t>
  </si>
  <si>
    <t>50 NORESTE DEL BAR RUBEN</t>
  </si>
  <si>
    <t>Traslado</t>
  </si>
  <si>
    <t>0109570386</t>
  </si>
  <si>
    <t>EMILIANO</t>
  </si>
  <si>
    <t>AGUERO FALLAS</t>
  </si>
  <si>
    <t>85073466</t>
  </si>
  <si>
    <t>002091</t>
  </si>
  <si>
    <t>100 SUR DEL BAR NOCHEBUENA</t>
  </si>
  <si>
    <t>1148008130</t>
  </si>
  <si>
    <t>LINDSAY</t>
  </si>
  <si>
    <t>SEGURA PRADO</t>
  </si>
  <si>
    <t>85578648</t>
  </si>
  <si>
    <t>000837</t>
  </si>
  <si>
    <t>BREÑON</t>
  </si>
  <si>
    <t>50 METROS AL SUR DE LA ESCUELA</t>
  </si>
  <si>
    <t>0118100635</t>
  </si>
  <si>
    <t>LUIS ROLANDO</t>
  </si>
  <si>
    <t>VALVERDE GODINEZ</t>
  </si>
  <si>
    <t>89749873</t>
  </si>
  <si>
    <t>000838</t>
  </si>
  <si>
    <t>DE LA IGLESIA DE BREÑON 75 METROS AL SUR</t>
  </si>
  <si>
    <t>0103590406</t>
  </si>
  <si>
    <t>LILIO</t>
  </si>
  <si>
    <t>84878017</t>
  </si>
  <si>
    <t>000841</t>
  </si>
  <si>
    <t>DIAGONAL A IGLESIA CATOLICA</t>
  </si>
  <si>
    <t>0105590370</t>
  </si>
  <si>
    <t>MARGARITA</t>
  </si>
  <si>
    <t>MONTES ZUÑIGA</t>
  </si>
  <si>
    <t>85628342</t>
  </si>
  <si>
    <t>000022</t>
  </si>
  <si>
    <t>CORAZON DE JESUS</t>
  </si>
  <si>
    <t xml:space="preserve">ENTRADA #4 200 HACIA EL ESTE </t>
  </si>
  <si>
    <t>84993521</t>
  </si>
  <si>
    <t>000094</t>
  </si>
  <si>
    <t>SAN MARTIN</t>
  </si>
  <si>
    <t>250 NE MINI SUPER LA Y GRIEGA</t>
  </si>
  <si>
    <t>0106400401</t>
  </si>
  <si>
    <t>OLGA</t>
  </si>
  <si>
    <t>MORA MORA</t>
  </si>
  <si>
    <t>86406844</t>
  </si>
  <si>
    <t>000096</t>
  </si>
  <si>
    <t xml:space="preserve">250 NE MINISTUPER LA Y GRIEGA </t>
  </si>
  <si>
    <t>0105930434</t>
  </si>
  <si>
    <t>CARLOS ANTONIO</t>
  </si>
  <si>
    <t xml:space="preserve">MORA MORA </t>
  </si>
  <si>
    <t>84245667</t>
  </si>
  <si>
    <t>000097</t>
  </si>
  <si>
    <t>DE LA PULPERIA Y GRIEGA CRUCE CHIRRACA 250 NE</t>
  </si>
  <si>
    <t>0108890095</t>
  </si>
  <si>
    <t>MARIBEL</t>
  </si>
  <si>
    <t>83733544</t>
  </si>
  <si>
    <t>000104</t>
  </si>
  <si>
    <t>CHIRRACA EL PUENTE</t>
  </si>
  <si>
    <t>35 METROS ESTE DEL CRUCE DE LA PULPERIA LA Y GRIEGA</t>
  </si>
  <si>
    <t>0106720220</t>
  </si>
  <si>
    <t>FANNY</t>
  </si>
  <si>
    <t>LOPEZ MONGE</t>
  </si>
  <si>
    <t>24101548</t>
  </si>
  <si>
    <t>000105</t>
  </si>
  <si>
    <t>DEL CEMENTERIO 600 METROS OESTE</t>
  </si>
  <si>
    <t>0104700568</t>
  </si>
  <si>
    <t>MARIA DEL ROSARIO</t>
  </si>
  <si>
    <t>ALFARO HERNANDEZ</t>
  </si>
  <si>
    <t>24100043</t>
  </si>
  <si>
    <t>000106</t>
  </si>
  <si>
    <t>800 METROS NORESTE DE LA PLAZA DE DEPORTES</t>
  </si>
  <si>
    <t>0106860055</t>
  </si>
  <si>
    <t>MARIA EUGENIA</t>
  </si>
  <si>
    <t>ARIAS ALFARO</t>
  </si>
  <si>
    <t>87838919</t>
  </si>
  <si>
    <t>000107</t>
  </si>
  <si>
    <t>800 METROS NOROESTE DE LA PLAZA DE DEPORTES</t>
  </si>
  <si>
    <t>0112530503</t>
  </si>
  <si>
    <t>DANIEL</t>
  </si>
  <si>
    <t>NAVARRO ALFARO</t>
  </si>
  <si>
    <t>88540325</t>
  </si>
  <si>
    <t>000108</t>
  </si>
  <si>
    <t>800 METROS SUROESTE DE LA PLAZA DE DEPORTES DE SAN IGNACIO</t>
  </si>
  <si>
    <t>0113090459</t>
  </si>
  <si>
    <t>YOXIRI DANIELA</t>
  </si>
  <si>
    <t>PRADO ARIAS</t>
  </si>
  <si>
    <t>87665699</t>
  </si>
  <si>
    <t>000109</t>
  </si>
  <si>
    <t>800 METROS OESTE DE LA PLAZA DE SAN IGNACIO DE ACOSTA</t>
  </si>
  <si>
    <t xml:space="preserve">Moderado </t>
  </si>
  <si>
    <t>0105180423</t>
  </si>
  <si>
    <t>SONIA</t>
  </si>
  <si>
    <t>BADILLA CALDERON</t>
  </si>
  <si>
    <t>86114848</t>
  </si>
  <si>
    <t>000110</t>
  </si>
  <si>
    <t>800 METROS NORESTE DE LA PLAZA DE FUTBOL</t>
  </si>
  <si>
    <t>0102560531</t>
  </si>
  <si>
    <t>GRISELDA</t>
  </si>
  <si>
    <t>89690902</t>
  </si>
  <si>
    <t>000111</t>
  </si>
  <si>
    <t>0105210828</t>
  </si>
  <si>
    <t>MARIETA</t>
  </si>
  <si>
    <t>84674628</t>
  </si>
  <si>
    <t>000112</t>
  </si>
  <si>
    <t>0114800855</t>
  </si>
  <si>
    <t>KIMBERLY PAOLA</t>
  </si>
  <si>
    <t>84583482</t>
  </si>
  <si>
    <t>000174</t>
  </si>
  <si>
    <t xml:space="preserve">SAN MARTIN </t>
  </si>
  <si>
    <t>75 N, 40 E, 25 N, DE PULPERIA Y GRIEGA</t>
  </si>
  <si>
    <t>0800760131</t>
  </si>
  <si>
    <t>FRANCISCO SANTIAGO</t>
  </si>
  <si>
    <t>MURILLO ARGUELLO</t>
  </si>
  <si>
    <t>24100910</t>
  </si>
  <si>
    <t>000177</t>
  </si>
  <si>
    <t>LOS SANCHEZ</t>
  </si>
  <si>
    <t>1100037800</t>
  </si>
  <si>
    <t>OLGA MARTA</t>
  </si>
  <si>
    <t>MORA UREÑA</t>
  </si>
  <si>
    <t>61861229</t>
  </si>
  <si>
    <t>000186</t>
  </si>
  <si>
    <t>CRUCE CHIRRACA, SAN MARTIN</t>
  </si>
  <si>
    <t>1039706580</t>
  </si>
  <si>
    <t>EDWIN</t>
  </si>
  <si>
    <t>24103607</t>
  </si>
  <si>
    <t>000196</t>
  </si>
  <si>
    <t>LAGUNILLA</t>
  </si>
  <si>
    <t>400 ANTES DE LA ESCUELA DE LAGUNILLA</t>
  </si>
  <si>
    <t>0900430775</t>
  </si>
  <si>
    <t>GILBERTO</t>
  </si>
  <si>
    <t>MONGE MONGE</t>
  </si>
  <si>
    <t>85221663</t>
  </si>
  <si>
    <t>000197</t>
  </si>
  <si>
    <t>400 METROS ANTES DE LLEGAR A LA ESCUELA DE LAGUNILLA</t>
  </si>
  <si>
    <t>0109770898</t>
  </si>
  <si>
    <t>FLORIBETH</t>
  </si>
  <si>
    <t>000198</t>
  </si>
  <si>
    <t>TABLAZO</t>
  </si>
  <si>
    <t>CONTIGUO PUENTE TABLAZO</t>
  </si>
  <si>
    <t>0103260315</t>
  </si>
  <si>
    <t>LUCIA</t>
  </si>
  <si>
    <t>PIEDRA VARGAS</t>
  </si>
  <si>
    <t>84043304</t>
  </si>
  <si>
    <t>000199</t>
  </si>
  <si>
    <t>TABLAZO, CERRO VERDE</t>
  </si>
  <si>
    <t>I KM DE MUNICIPALIDAD TABLAZO CERRO VERDE</t>
  </si>
  <si>
    <t>0900980323</t>
  </si>
  <si>
    <t xml:space="preserve">FREDDY </t>
  </si>
  <si>
    <t>CHAVES CHAVES</t>
  </si>
  <si>
    <t>86188335</t>
  </si>
  <si>
    <t>000213</t>
  </si>
  <si>
    <t>LOTES DELA MUNI. CERRO VERDE</t>
  </si>
  <si>
    <t>1 KM NORTE DE LA MUNICIPALIDAD</t>
  </si>
  <si>
    <t>0113120583</t>
  </si>
  <si>
    <t>VICTOR</t>
  </si>
  <si>
    <t>BARBOZA FALLAS</t>
  </si>
  <si>
    <t>88886672</t>
  </si>
  <si>
    <t>000218</t>
  </si>
  <si>
    <t>ENTRADA #4 CAMINO SAN IGNACIO BARRIO CORAZAON DE JESUS, QUINTA CASA COLOR TERRACOTA</t>
  </si>
  <si>
    <t>0111520859</t>
  </si>
  <si>
    <t>RONALD GERARDO</t>
  </si>
  <si>
    <t>FALLAS VEGA</t>
  </si>
  <si>
    <t>85307215</t>
  </si>
  <si>
    <t>No se sabe</t>
  </si>
  <si>
    <t>000342</t>
  </si>
  <si>
    <t>0104820090</t>
  </si>
  <si>
    <t>ZAIDA</t>
  </si>
  <si>
    <t>MORA VARGAS</t>
  </si>
  <si>
    <t>88829669</t>
  </si>
  <si>
    <t>000375</t>
  </si>
  <si>
    <t>CORAZON JESUS</t>
  </si>
  <si>
    <t>CUARTA ENTRADA</t>
  </si>
  <si>
    <t>0107400518</t>
  </si>
  <si>
    <t>MARLENE</t>
  </si>
  <si>
    <t>ULLOA PIEDRA</t>
  </si>
  <si>
    <t>84943521</t>
  </si>
  <si>
    <t>0000559</t>
  </si>
  <si>
    <t>AGUA BLANCA</t>
  </si>
  <si>
    <t>DE LA SUB ESTACION 150 METROS CAMINO A AGUA BLANCA</t>
  </si>
  <si>
    <t>0106020591</t>
  </si>
  <si>
    <t>JEANNETTE</t>
  </si>
  <si>
    <t>CASTRO ALFARO</t>
  </si>
  <si>
    <t>61762231</t>
  </si>
  <si>
    <t>000681</t>
  </si>
  <si>
    <t>Proyecto Vivienda Tablazo, casa B15</t>
  </si>
  <si>
    <t>0801130418</t>
  </si>
  <si>
    <t>Katherine</t>
  </si>
  <si>
    <t>Dávila López</t>
  </si>
  <si>
    <t>72564559</t>
  </si>
  <si>
    <t>000682</t>
  </si>
  <si>
    <t>Chirraca de la Selva</t>
  </si>
  <si>
    <t>De la entrada Chirraca de la Selva 20 mts</t>
  </si>
  <si>
    <t>0112440327</t>
  </si>
  <si>
    <t>Carmen Mireth</t>
  </si>
  <si>
    <t>Calderón Fallas</t>
  </si>
  <si>
    <t>85275449</t>
  </si>
  <si>
    <t>000683</t>
  </si>
  <si>
    <t>Los Padilla</t>
  </si>
  <si>
    <t>800 Norte de pulpería San Diego Chirraca</t>
  </si>
  <si>
    <t>0109780407</t>
  </si>
  <si>
    <t>Eladio</t>
  </si>
  <si>
    <t>Castro Fallas</t>
  </si>
  <si>
    <t>85414683</t>
  </si>
  <si>
    <t>000684</t>
  </si>
  <si>
    <t>600 oeste Escuela Agua Blanca</t>
  </si>
  <si>
    <t>0107600865</t>
  </si>
  <si>
    <t>Gerardo</t>
  </si>
  <si>
    <t>Castro Mora</t>
  </si>
  <si>
    <t>88465834</t>
  </si>
  <si>
    <t>000685</t>
  </si>
  <si>
    <t>600 oeste de la Escuela de Agua Blanca</t>
  </si>
  <si>
    <t>0103100551</t>
  </si>
  <si>
    <t>Arcelio</t>
  </si>
  <si>
    <t>Castro Sánchez</t>
  </si>
  <si>
    <t>84108243</t>
  </si>
  <si>
    <t>000686</t>
  </si>
  <si>
    <t>600 oeste escuela Agua Blanca</t>
  </si>
  <si>
    <t>0109580094</t>
  </si>
  <si>
    <t>Royner</t>
  </si>
  <si>
    <t>86237776</t>
  </si>
  <si>
    <t>000687</t>
  </si>
  <si>
    <t>50 AL SUR OESTE DE ESCUELA</t>
  </si>
  <si>
    <t xml:space="preserve">Nueva inspección </t>
  </si>
  <si>
    <t>0112120764</t>
  </si>
  <si>
    <t>OMAR ANTONIO</t>
  </si>
  <si>
    <t>SOLIS FUENTES</t>
  </si>
  <si>
    <t>83983078</t>
  </si>
  <si>
    <t>000688</t>
  </si>
  <si>
    <t>25 SUR DE ESCUELA AGUA BLANCA</t>
  </si>
  <si>
    <t>0103380656</t>
  </si>
  <si>
    <t>ROSA</t>
  </si>
  <si>
    <t>MORA DIAZ</t>
  </si>
  <si>
    <t>24103609</t>
  </si>
  <si>
    <t>000689</t>
  </si>
  <si>
    <t>EL TAJO DE LA MINA DE AGUA BLANCA</t>
  </si>
  <si>
    <t>0104310585</t>
  </si>
  <si>
    <t>GERARDINA</t>
  </si>
  <si>
    <t>MORA ZUÑIGA</t>
  </si>
  <si>
    <t>24102048</t>
  </si>
  <si>
    <t>000690</t>
  </si>
  <si>
    <t>Corazón de Jesús en Chirraca.</t>
  </si>
  <si>
    <t>La Mina, 1 Kilómetro noroeste de escuela de Agua Blanca
                                                                                Otro tel.84932021</t>
  </si>
  <si>
    <t>0108720341</t>
  </si>
  <si>
    <t>Franklin</t>
  </si>
  <si>
    <t>Valverde Abarca</t>
  </si>
  <si>
    <t>64152076</t>
  </si>
  <si>
    <t>000691</t>
  </si>
  <si>
    <t>Chirraca, La Selva</t>
  </si>
  <si>
    <t>450 Nor- Oeste de Iglesia , entrada de Chirraca La Selva</t>
  </si>
  <si>
    <t>0101920809</t>
  </si>
  <si>
    <t>Uvaldo</t>
  </si>
  <si>
    <t>Calderón Mora</t>
  </si>
  <si>
    <t>88602314</t>
  </si>
  <si>
    <t>000692</t>
  </si>
  <si>
    <t>1 Kilómetro noreste de la plaza, Chirraca                               
                                                                Otro teléfono 84216121</t>
  </si>
  <si>
    <t>0108440662</t>
  </si>
  <si>
    <t>Henry</t>
  </si>
  <si>
    <t>Padilla Castro</t>
  </si>
  <si>
    <t>83313984</t>
  </si>
  <si>
    <t>693</t>
  </si>
  <si>
    <t>LOS PADILLA</t>
  </si>
  <si>
    <t>800 N PULP. SAN DIEGO CHIRRACA</t>
  </si>
  <si>
    <t>0117320402</t>
  </si>
  <si>
    <t>KIMBERLY</t>
  </si>
  <si>
    <t>PADILLA CASTRO</t>
  </si>
  <si>
    <t>84496329</t>
  </si>
  <si>
    <t>000694</t>
  </si>
  <si>
    <t>800 NORTE PULP. SAN DIEGO,CHIRRACA</t>
  </si>
  <si>
    <t>0106210190</t>
  </si>
  <si>
    <t>SEIDY</t>
  </si>
  <si>
    <t>CASTRO ARIAS</t>
  </si>
  <si>
    <t>86027068</t>
  </si>
  <si>
    <t>000695</t>
  </si>
  <si>
    <t>CRUCE CHIRRACA- SAN MARTIN *************OTRO TEL. 83322503</t>
  </si>
  <si>
    <t>0110130833</t>
  </si>
  <si>
    <t>ADRIANA</t>
  </si>
  <si>
    <t>MORA RAMIREZ</t>
  </si>
  <si>
    <t>000696</t>
  </si>
  <si>
    <t>LOS CONEJOS</t>
  </si>
  <si>
    <t>300 SUR-OESTE SALON COMUNAL</t>
  </si>
  <si>
    <t>1142200595</t>
  </si>
  <si>
    <t>katherine</t>
  </si>
  <si>
    <t>Araya Vindas</t>
  </si>
  <si>
    <t>87193144</t>
  </si>
  <si>
    <t>000700</t>
  </si>
  <si>
    <t>150 Norte y 50 Este de pulpería la Y griega.</t>
  </si>
  <si>
    <t>1008550353</t>
  </si>
  <si>
    <t>Hellen</t>
  </si>
  <si>
    <t>Mora Ramírez</t>
  </si>
  <si>
    <t>85392681</t>
  </si>
  <si>
    <t>000839</t>
  </si>
  <si>
    <t>CALLE LOS CALDERONES</t>
  </si>
  <si>
    <t>150 METROS OESTE DE LUBRICENTRO MORA Y MORA, AGUA BLANCA</t>
  </si>
  <si>
    <t>0114250715</t>
  </si>
  <si>
    <t>JOSEPH GILBERTO</t>
  </si>
  <si>
    <t>QUIROS CALDERON</t>
  </si>
  <si>
    <t>85132973</t>
  </si>
  <si>
    <t>000868</t>
  </si>
  <si>
    <t xml:space="preserve">BARRIO CORAZON JESUS CUARTA ENTRADA </t>
  </si>
  <si>
    <t>1113004060</t>
  </si>
  <si>
    <t>ROGER MARTIN</t>
  </si>
  <si>
    <t xml:space="preserve">FALLAS MORA </t>
  </si>
  <si>
    <t>84939320</t>
  </si>
  <si>
    <t>001129</t>
  </si>
  <si>
    <t>CHIRRUCA</t>
  </si>
  <si>
    <t>FRENTE A LA ESCUELA IEGB</t>
  </si>
  <si>
    <t>1019708570</t>
  </si>
  <si>
    <t>CARMEN MARIA</t>
  </si>
  <si>
    <t>FALLAS SEGURA</t>
  </si>
  <si>
    <t>84800800</t>
  </si>
  <si>
    <t>001759</t>
  </si>
  <si>
    <t xml:space="preserve">lA ESPERANZA </t>
  </si>
  <si>
    <t xml:space="preserve">150 OESTE ESCUELA ESPERANZA </t>
  </si>
  <si>
    <t>104100877</t>
  </si>
  <si>
    <t xml:space="preserve">ALVARO </t>
  </si>
  <si>
    <t xml:space="preserve">FALLAS FALLAS </t>
  </si>
  <si>
    <t>24103174</t>
  </si>
  <si>
    <t>001760</t>
  </si>
  <si>
    <t xml:space="preserve">AGUA BLANCA </t>
  </si>
  <si>
    <t xml:space="preserve">150 ESTE DE LA PULPERIA ELICINO AGUA BLANCA </t>
  </si>
  <si>
    <t>1085208330</t>
  </si>
  <si>
    <t xml:space="preserve">MARIA ESTELA </t>
  </si>
  <si>
    <t xml:space="preserve">QUIROS CALDERON </t>
  </si>
  <si>
    <t>84400983</t>
  </si>
  <si>
    <t>001761</t>
  </si>
  <si>
    <t xml:space="preserve">150 SUR DE LA ESCUELA AGUA BLANCA </t>
  </si>
  <si>
    <t>0900810447</t>
  </si>
  <si>
    <t>HECTOR HELBER</t>
  </si>
  <si>
    <t xml:space="preserve">VARGAS MONGE </t>
  </si>
  <si>
    <t>88068694</t>
  </si>
  <si>
    <t>001762</t>
  </si>
  <si>
    <t xml:space="preserve">CHIRRUCA LOS CONEJOS </t>
  </si>
  <si>
    <t xml:space="preserve">300 SUROESTE DEL SALON COMUNAL CHIRRUCA </t>
  </si>
  <si>
    <t>1075807460</t>
  </si>
  <si>
    <t xml:space="preserve">CARLOS </t>
  </si>
  <si>
    <t xml:space="preserve"> MORA QUESADA </t>
  </si>
  <si>
    <t>001111</t>
  </si>
  <si>
    <t>SANTA CECILIA</t>
  </si>
  <si>
    <t>500 M AL SUR Y 150 SUROESTE DE LA TAMALERA</t>
  </si>
  <si>
    <t>0106560700</t>
  </si>
  <si>
    <t>LISETH</t>
  </si>
  <si>
    <t>CORRALES CORRALES</t>
  </si>
  <si>
    <t>001121</t>
  </si>
  <si>
    <t>POAS MONTAÑA</t>
  </si>
  <si>
    <t>DEL AMBIENTE 600 MS. POAS DE LA TERMINAL</t>
  </si>
  <si>
    <t>1150001230</t>
  </si>
  <si>
    <t>DIANA CAROLINA</t>
  </si>
  <si>
    <t>SALAZAR AGUILAR</t>
  </si>
  <si>
    <t>71801262</t>
  </si>
  <si>
    <t>001122</t>
  </si>
  <si>
    <t>BELLA VISTA</t>
  </si>
  <si>
    <t>500 O DE PANADERIA LA ACOSTEÑA ALL SUR LUEGO AL FONDO. CASA PAPAYA</t>
  </si>
  <si>
    <t>1043207480</t>
  </si>
  <si>
    <t>FLOR MARIA</t>
  </si>
  <si>
    <t>MARIN MARIN</t>
  </si>
  <si>
    <t>22304142</t>
  </si>
  <si>
    <t>001123</t>
  </si>
  <si>
    <t xml:space="preserve">BARRIO LA PIEDRA </t>
  </si>
  <si>
    <t>200 METROS OESTE DE FERRETERIA EL PROGRESO</t>
  </si>
  <si>
    <t>1060106700</t>
  </si>
  <si>
    <t>HILDA MARIA</t>
  </si>
  <si>
    <t>FALLAS CHAVES</t>
  </si>
  <si>
    <t>2202</t>
  </si>
  <si>
    <t>LOURDES</t>
  </si>
  <si>
    <t>200 SUR BAR LA CARROTE</t>
  </si>
  <si>
    <t>0112470747</t>
  </si>
  <si>
    <t>MARIA</t>
  </si>
  <si>
    <t>SILES ARAYA</t>
  </si>
  <si>
    <t>85630682</t>
  </si>
  <si>
    <t>002202</t>
  </si>
  <si>
    <t>200 SUR DE BAR LA CARROTE</t>
  </si>
  <si>
    <t>2203</t>
  </si>
  <si>
    <t>150 SUR DE BAR LA CARRETA</t>
  </si>
  <si>
    <t>0102090780</t>
  </si>
  <si>
    <t>ANANIAS</t>
  </si>
  <si>
    <t>CASTILLO ARIAS</t>
  </si>
  <si>
    <t>22303531</t>
  </si>
  <si>
    <t>2300</t>
  </si>
  <si>
    <t>Las Minas</t>
  </si>
  <si>
    <t>Las Minas de Poás</t>
  </si>
  <si>
    <t>0102590842</t>
  </si>
  <si>
    <t xml:space="preserve">Virginia </t>
  </si>
  <si>
    <t>Salazar Mora</t>
  </si>
  <si>
    <t>2301</t>
  </si>
  <si>
    <t>0111970922</t>
  </si>
  <si>
    <t>María de los Angeles</t>
  </si>
  <si>
    <t>Morales Salazar</t>
  </si>
  <si>
    <t>86227905</t>
  </si>
  <si>
    <t>2302</t>
  </si>
  <si>
    <t>0107050357</t>
  </si>
  <si>
    <t>Iliana María</t>
  </si>
  <si>
    <t>Picado Alfaro</t>
  </si>
  <si>
    <t>89570713</t>
  </si>
  <si>
    <t>2303</t>
  </si>
  <si>
    <t>0107580430</t>
  </si>
  <si>
    <t>Jorge Luis</t>
  </si>
  <si>
    <t>Gamboa Calderón</t>
  </si>
  <si>
    <t>60454143</t>
  </si>
  <si>
    <t>2304</t>
  </si>
  <si>
    <t>0109710411</t>
  </si>
  <si>
    <t>Luis Enrique</t>
  </si>
  <si>
    <t>60037385</t>
  </si>
  <si>
    <t>000132</t>
  </si>
  <si>
    <t>BARRIO EL ALTO</t>
  </si>
  <si>
    <t>800 MTS AL SUR DE LA ESCUELA ILDEFONSO CAMACHO</t>
  </si>
  <si>
    <t>0109910654</t>
  </si>
  <si>
    <t>CARLOS</t>
  </si>
  <si>
    <t>JIMENEZ PRADO</t>
  </si>
  <si>
    <t>86051583</t>
  </si>
  <si>
    <t>000133</t>
  </si>
  <si>
    <t>LEGUA</t>
  </si>
  <si>
    <t>150 MTS SUR ESCUELA ILDEFONSO CAMACHO</t>
  </si>
  <si>
    <t>0103070828</t>
  </si>
  <si>
    <t>CARLOS LUIS</t>
  </si>
  <si>
    <t>DIAZ BARBOZA</t>
  </si>
  <si>
    <t>25670073</t>
  </si>
  <si>
    <t>000135</t>
  </si>
  <si>
    <t>EL ALTO</t>
  </si>
  <si>
    <t>1 KM AL SUR DE LA ESUCELA ILDEFONSO CAMACHO</t>
  </si>
  <si>
    <t>0110680951</t>
  </si>
  <si>
    <t>RIVERA FALLAS</t>
  </si>
  <si>
    <t>85052043</t>
  </si>
  <si>
    <t>001101</t>
  </si>
  <si>
    <t>LOS CAMACHO</t>
  </si>
  <si>
    <t>500 M SURESTE DE LA IGLESIA</t>
  </si>
  <si>
    <t>0107070043</t>
  </si>
  <si>
    <t>WALTER</t>
  </si>
  <si>
    <t>MADRIGAL BARBOZA</t>
  </si>
  <si>
    <t>87875956</t>
  </si>
  <si>
    <t>001102</t>
  </si>
  <si>
    <t>0106710305</t>
  </si>
  <si>
    <t>MADRIGAL SOLANO</t>
  </si>
  <si>
    <t>87330173</t>
  </si>
  <si>
    <t>001103</t>
  </si>
  <si>
    <t>0108320933</t>
  </si>
  <si>
    <t>EDWIN DE JESUS</t>
  </si>
  <si>
    <t>MADRIGAL SEGURA</t>
  </si>
  <si>
    <t>84193159</t>
  </si>
  <si>
    <t>001104</t>
  </si>
  <si>
    <t>el gabriel</t>
  </si>
  <si>
    <t xml:space="preserve">300 M NOROESTE DE LA ESCUELA </t>
  </si>
  <si>
    <t>0102830833</t>
  </si>
  <si>
    <t>elieth</t>
  </si>
  <si>
    <t>Castillo Rojas</t>
  </si>
  <si>
    <t>25402071</t>
  </si>
  <si>
    <t>001105</t>
  </si>
  <si>
    <t>0108630530</t>
  </si>
  <si>
    <t>VIRGINIA</t>
  </si>
  <si>
    <t>CHINCHILLA BENAVIDES</t>
  </si>
  <si>
    <t>87382931</t>
  </si>
  <si>
    <t>001106</t>
  </si>
  <si>
    <t>EL GABRIEL</t>
  </si>
  <si>
    <t>0105900378</t>
  </si>
  <si>
    <t>GILBERT</t>
  </si>
  <si>
    <t>BENAVIDES CHINCHILLA</t>
  </si>
  <si>
    <t>25401286</t>
  </si>
  <si>
    <t>001107</t>
  </si>
  <si>
    <t>LA VENEGA</t>
  </si>
  <si>
    <t>FRENTE A CALLE PRINCIPAL CASA COLOR TERRACOTA</t>
  </si>
  <si>
    <t>0115400587</t>
  </si>
  <si>
    <t>JOSE ANTONIO</t>
  </si>
  <si>
    <t>ROJAS CAMACHO</t>
  </si>
  <si>
    <t>85145197</t>
  </si>
  <si>
    <t>001108</t>
  </si>
  <si>
    <t>LAS VENEGAS</t>
  </si>
  <si>
    <t>700 MTS NOROESTE DE LA CALLE PRINCIPAL</t>
  </si>
  <si>
    <t>0108440047</t>
  </si>
  <si>
    <t>OLDEMAR</t>
  </si>
  <si>
    <t>SEGURA SEGURA</t>
  </si>
  <si>
    <t>89229414</t>
  </si>
  <si>
    <t>001120</t>
  </si>
  <si>
    <t>800 SUR DE LA ESCUELA T DELFONSO CAMACHO</t>
  </si>
  <si>
    <t>1106301150</t>
  </si>
  <si>
    <t>YANAN</t>
  </si>
  <si>
    <t>SEGURA VALVERDE</t>
  </si>
  <si>
    <t>86850732</t>
  </si>
  <si>
    <t>2199</t>
  </si>
  <si>
    <t>LOS VENEGAS</t>
  </si>
  <si>
    <t>LA LEGUA, BARRIO LOS VENEGAS</t>
  </si>
  <si>
    <t>0112350406</t>
  </si>
  <si>
    <t>MARCO ANTONIO</t>
  </si>
  <si>
    <t>BONILLA GARRO</t>
  </si>
  <si>
    <t>89555870</t>
  </si>
  <si>
    <t>2200</t>
  </si>
  <si>
    <t>0010194433</t>
  </si>
  <si>
    <t>MANUEL FELIPE</t>
  </si>
  <si>
    <t>PRADO SALAZAR</t>
  </si>
  <si>
    <t>87297999</t>
  </si>
  <si>
    <t>2201</t>
  </si>
  <si>
    <t>600 m SUR DE ESC. ILDEFONSO CAMACHO</t>
  </si>
  <si>
    <t>0111550891</t>
  </si>
  <si>
    <t>ASDRUBAL</t>
  </si>
  <si>
    <t>88044443</t>
  </si>
  <si>
    <t>000113</t>
  </si>
  <si>
    <t>PALO BLANCO</t>
  </si>
  <si>
    <t>TARBACA 600 N 200 E</t>
  </si>
  <si>
    <t>0105400423</t>
  </si>
  <si>
    <t xml:space="preserve">DANILO </t>
  </si>
  <si>
    <t>ULLOA PORRAS</t>
  </si>
  <si>
    <t>86605639</t>
  </si>
  <si>
    <t>000114</t>
  </si>
  <si>
    <t>600 NORTE Y 125 OESTE DE BAR LA TRANKA</t>
  </si>
  <si>
    <t>0103760372</t>
  </si>
  <si>
    <t>CARMEN</t>
  </si>
  <si>
    <t>UOLLA PORRAS</t>
  </si>
  <si>
    <t>86734675</t>
  </si>
  <si>
    <t>000115</t>
  </si>
  <si>
    <t>600 NORTE, 125 OESTE DEL BAR LA TRANKA</t>
  </si>
  <si>
    <t>0112820927</t>
  </si>
  <si>
    <t>KAREN</t>
  </si>
  <si>
    <t>ROJAS ULLOA</t>
  </si>
  <si>
    <t>87113521</t>
  </si>
  <si>
    <t>000116</t>
  </si>
  <si>
    <t>600 NORTE Y 125 OESTE BAR LA TRANKA</t>
  </si>
  <si>
    <t>0110800215</t>
  </si>
  <si>
    <t>YADIRA</t>
  </si>
  <si>
    <t>ULLOA VALVERDE</t>
  </si>
  <si>
    <t>22301359</t>
  </si>
  <si>
    <t>000117</t>
  </si>
  <si>
    <t xml:space="preserve">600 NORTE Y 125 OESTE BAR LA TRONKA </t>
  </si>
  <si>
    <t>0114410413</t>
  </si>
  <si>
    <t>DEIBY JOSE</t>
  </si>
  <si>
    <t>22300325</t>
  </si>
  <si>
    <t>000118</t>
  </si>
  <si>
    <t>0112320573</t>
  </si>
  <si>
    <t xml:space="preserve">KATTIA </t>
  </si>
  <si>
    <t>84238076</t>
  </si>
  <si>
    <t>000119</t>
  </si>
  <si>
    <t xml:space="preserve">600 NORTE Y 125 OESTE </t>
  </si>
  <si>
    <t>0114900475</t>
  </si>
  <si>
    <t>JOSE DANIEL</t>
  </si>
  <si>
    <t>87202359</t>
  </si>
  <si>
    <t>000120</t>
  </si>
  <si>
    <t xml:space="preserve">600 N Y 125 E BAR LA TRANCA </t>
  </si>
  <si>
    <t>0114970480</t>
  </si>
  <si>
    <t>JOSE PABLO</t>
  </si>
  <si>
    <t>61988240</t>
  </si>
  <si>
    <t>000121</t>
  </si>
  <si>
    <t>600 N Y 125 ESTE BAR LA TRANKA</t>
  </si>
  <si>
    <t>0113770024</t>
  </si>
  <si>
    <t>RENIS</t>
  </si>
  <si>
    <t>62214224</t>
  </si>
  <si>
    <t>000127</t>
  </si>
  <si>
    <t>CALLE LAGUNILLA</t>
  </si>
  <si>
    <t xml:space="preserve">850 SUR ESTE PULPERIA SAN ISIDRO </t>
  </si>
  <si>
    <t>0110430393</t>
  </si>
  <si>
    <t>FREDDY</t>
  </si>
  <si>
    <t>UMAÑA ORTIZ</t>
  </si>
  <si>
    <t>62443423</t>
  </si>
  <si>
    <t>000128</t>
  </si>
  <si>
    <t>600 SUR ESTE DE PULPERIA SAN ISIDRO</t>
  </si>
  <si>
    <t>0113600654</t>
  </si>
  <si>
    <t>CRISTIAN</t>
  </si>
  <si>
    <t>ARCE CHAVES</t>
  </si>
  <si>
    <t>87892412</t>
  </si>
  <si>
    <t>000129</t>
  </si>
  <si>
    <t>600 MTS SURESTE DE PULPERIA SAN ISIDRO</t>
  </si>
  <si>
    <t>0112360274</t>
  </si>
  <si>
    <t>CORRALES DIAZ</t>
  </si>
  <si>
    <t>88318682</t>
  </si>
  <si>
    <t>000130</t>
  </si>
  <si>
    <t xml:space="preserve">600 METROS SURETE DE PULPERIA SAN ISIDRO </t>
  </si>
  <si>
    <t>0104630385</t>
  </si>
  <si>
    <t>RODRIGO</t>
  </si>
  <si>
    <t xml:space="preserve">UMAÑA ORTIZ </t>
  </si>
  <si>
    <t>000131</t>
  </si>
  <si>
    <t>700 METROS SURESTE DE PULPERIA SAN ISIDRO</t>
  </si>
  <si>
    <t>0109120980</t>
  </si>
  <si>
    <t>ROY</t>
  </si>
  <si>
    <t>BEITA MORA</t>
  </si>
  <si>
    <t>70156886</t>
  </si>
  <si>
    <t>000142</t>
  </si>
  <si>
    <t xml:space="preserve">SALITRILLOS CALLE LAGUNILLA </t>
  </si>
  <si>
    <t>0106950417</t>
  </si>
  <si>
    <t>AZOFEIFA GOMEZ</t>
  </si>
  <si>
    <t>001109</t>
  </si>
  <si>
    <t>DE LA PULPERIA SAN ISIDRO 800 M SO</t>
  </si>
  <si>
    <t>0112520935</t>
  </si>
  <si>
    <t>MIGUEL ALEJANDRO</t>
  </si>
  <si>
    <t>LOPEZ GAMBOA</t>
  </si>
  <si>
    <t>70894310</t>
  </si>
  <si>
    <t>001110</t>
  </si>
  <si>
    <t>CALLE LAGUINILLA</t>
  </si>
  <si>
    <t>DE LA PULPERIA SAN ISIDRO 800 M SUR OESTE</t>
  </si>
  <si>
    <t>Residencia</t>
  </si>
  <si>
    <t>122200517428</t>
  </si>
  <si>
    <t>GLENDA</t>
  </si>
  <si>
    <t>AVELI MIRON</t>
  </si>
  <si>
    <t>81241538</t>
  </si>
  <si>
    <t>002195</t>
  </si>
  <si>
    <t>200m oeste de la plaza de deportes</t>
  </si>
  <si>
    <t>0108360099</t>
  </si>
  <si>
    <t xml:space="preserve">Karoty </t>
  </si>
  <si>
    <t>Barboza Lizano</t>
  </si>
  <si>
    <t>22303306</t>
  </si>
  <si>
    <t>002196</t>
  </si>
  <si>
    <t>Calle Lagunilla</t>
  </si>
  <si>
    <t>700 metros sureste de pulpería San Isidro</t>
  </si>
  <si>
    <t>0104191369</t>
  </si>
  <si>
    <t>Lilliana</t>
  </si>
  <si>
    <t>Umaña Granados</t>
  </si>
  <si>
    <t>002197</t>
  </si>
  <si>
    <t>DE PULP. SAN ISIDRO 800 M SO</t>
  </si>
  <si>
    <t>Pasaporte</t>
  </si>
  <si>
    <t>ARELI MIRON</t>
  </si>
  <si>
    <t>87241538</t>
  </si>
  <si>
    <t>2198</t>
  </si>
  <si>
    <t>CARRETERA TARBACA</t>
  </si>
  <si>
    <t>50 SUR REST. EL PALENQUE</t>
  </si>
  <si>
    <t>0102840016</t>
  </si>
  <si>
    <t>ISRAEL</t>
  </si>
  <si>
    <t>ARLEY CORRALES</t>
  </si>
  <si>
    <t>22302278</t>
  </si>
  <si>
    <t>000138</t>
  </si>
  <si>
    <t>VILLANUEVA</t>
  </si>
  <si>
    <t>DEL ABASTECEDOR LOS PINOS 500 MTS AL ESTE CARRETERA A MONTERREY</t>
  </si>
  <si>
    <t>0119790471</t>
  </si>
  <si>
    <t>JORGE</t>
  </si>
  <si>
    <t>VALVERDE ULLOA</t>
  </si>
  <si>
    <t>86487765</t>
  </si>
  <si>
    <t>001124</t>
  </si>
  <si>
    <t>300 SUR DEL BALNEARIO REINA DEL SOL</t>
  </si>
  <si>
    <t>1079304110</t>
  </si>
  <si>
    <t>EDGAR LUIS</t>
  </si>
  <si>
    <t xml:space="preserve">VALVERDE GRANADOS </t>
  </si>
  <si>
    <t>002176</t>
  </si>
  <si>
    <t>Villanueva</t>
  </si>
  <si>
    <t>De abastecedor los Pinos, 500 mts al este, carretera a Monterrey</t>
  </si>
  <si>
    <t>0106320663</t>
  </si>
  <si>
    <t>Doris</t>
  </si>
  <si>
    <t>Mora Fallas</t>
  </si>
  <si>
    <t>84487765</t>
  </si>
  <si>
    <t>002177</t>
  </si>
  <si>
    <t>Calle Los Ángeles</t>
  </si>
  <si>
    <t>100 m oeste de la Iglesia Católica. 3era casa a mano derecha.</t>
  </si>
  <si>
    <t>0112130561</t>
  </si>
  <si>
    <t>Ana Gabriela</t>
  </si>
  <si>
    <t>Estrada Bonilla</t>
  </si>
  <si>
    <t>84905488</t>
  </si>
  <si>
    <t>002178</t>
  </si>
  <si>
    <t>La Rita</t>
  </si>
  <si>
    <t>200m SE de Abastecedor La Rita</t>
  </si>
  <si>
    <t>0106030696</t>
  </si>
  <si>
    <t>Carlos Luis</t>
  </si>
  <si>
    <t>Ureña Alfaro</t>
  </si>
  <si>
    <t>84514625</t>
  </si>
  <si>
    <t>002179</t>
  </si>
  <si>
    <t>300m sur de la iglesia Católica de Barrio Los Ángeles</t>
  </si>
  <si>
    <t>0108470027</t>
  </si>
  <si>
    <t>Esteban</t>
  </si>
  <si>
    <t>Hidalgo Fallas</t>
  </si>
  <si>
    <t>002317</t>
  </si>
  <si>
    <t>Corazon de Jesus</t>
  </si>
  <si>
    <t>300sur del balneario La Reina del Sol</t>
  </si>
  <si>
    <t>0104450256</t>
  </si>
  <si>
    <t>Carmen  Maria</t>
  </si>
  <si>
    <t>Padilla CAMPOS</t>
  </si>
  <si>
    <t>002318</t>
  </si>
  <si>
    <t>600 sur del balneario la Reina</t>
  </si>
  <si>
    <t>0112420182</t>
  </si>
  <si>
    <t>Oldel</t>
  </si>
  <si>
    <t>Castillo Mora</t>
  </si>
  <si>
    <t>002320</t>
  </si>
  <si>
    <t>Tranquerillas</t>
  </si>
  <si>
    <t>0109040467</t>
  </si>
  <si>
    <t>Deyner Emiloio</t>
  </si>
  <si>
    <t>Badilla Monge</t>
  </si>
  <si>
    <t>002321</t>
  </si>
  <si>
    <t>002322</t>
  </si>
  <si>
    <t>El Alto</t>
  </si>
  <si>
    <t>002323</t>
  </si>
  <si>
    <t>002324</t>
  </si>
  <si>
    <t>ns</t>
  </si>
  <si>
    <t>000136</t>
  </si>
  <si>
    <t>EL TIGRE</t>
  </si>
  <si>
    <t xml:space="preserve">TRANQUERILLA DE ASERRI, DEL BAR FELOS 50 AL ESTE </t>
  </si>
  <si>
    <t>0102900756</t>
  </si>
  <si>
    <t>AMADA</t>
  </si>
  <si>
    <t>CHAVEZ CECILIANO</t>
  </si>
  <si>
    <t>87119074</t>
  </si>
  <si>
    <t>000137</t>
  </si>
  <si>
    <t xml:space="preserve">ENTRADA EL TIGRE </t>
  </si>
  <si>
    <t>FRENTE A LA PARADA DE BUSES</t>
  </si>
  <si>
    <t>0901000101</t>
  </si>
  <si>
    <t>RONALD FRANCISCO</t>
  </si>
  <si>
    <t>GAMBOA FALLAS</t>
  </si>
  <si>
    <t>86740921</t>
  </si>
  <si>
    <t>000139</t>
  </si>
  <si>
    <t>CALLE QUE PASA DETRAS DE LA ESCUELA 600 MTS SUR PULPERIA LA CRUZ</t>
  </si>
  <si>
    <t>0109490026</t>
  </si>
  <si>
    <t xml:space="preserve">HERNANDEZ ROJAS </t>
  </si>
  <si>
    <t>85967805</t>
  </si>
  <si>
    <t>000140</t>
  </si>
  <si>
    <t xml:space="preserve">EL TIGRE 800 MTS OESTE ESCUELA O 200 NORTE DE TANQUE DE ACUEDUCTO SAN GABRIEL </t>
  </si>
  <si>
    <t>0104900382</t>
  </si>
  <si>
    <t>ERLINDO</t>
  </si>
  <si>
    <t xml:space="preserve">FERNANDEZ MORALES </t>
  </si>
  <si>
    <t>84400643</t>
  </si>
  <si>
    <t>000141</t>
  </si>
  <si>
    <t xml:space="preserve">EL TIGRE </t>
  </si>
  <si>
    <t>COSTADO SUR DE LA ESCUELA EL TIGRE</t>
  </si>
  <si>
    <t>0103740182</t>
  </si>
  <si>
    <t>ERMAN</t>
  </si>
  <si>
    <t>SEGURA GARCIA</t>
  </si>
  <si>
    <t>86355647</t>
  </si>
  <si>
    <t>000143</t>
  </si>
  <si>
    <t>FRENTE AL ASERRADERO</t>
  </si>
  <si>
    <t>0106180486</t>
  </si>
  <si>
    <t>CORDERO CABRERA</t>
  </si>
  <si>
    <t>83889978</t>
  </si>
  <si>
    <t>000144</t>
  </si>
  <si>
    <t>200 NORTE DE LA ESCUELA DEL TIGRE</t>
  </si>
  <si>
    <t>0900700572</t>
  </si>
  <si>
    <t xml:space="preserve">MARIA </t>
  </si>
  <si>
    <t>AGUILAR BADILLA</t>
  </si>
  <si>
    <t>85293850</t>
  </si>
  <si>
    <t>000145</t>
  </si>
  <si>
    <t xml:space="preserve">250 NORESTE ESCUELA EL TIGRE </t>
  </si>
  <si>
    <t>0104900274</t>
  </si>
  <si>
    <t>ANTONIO ALONSO</t>
  </si>
  <si>
    <t>87201639</t>
  </si>
  <si>
    <t>000146</t>
  </si>
  <si>
    <t xml:space="preserve">50 ESTE Y 300 AL NOROESTE DE LA IGLESIA DEL TIGRE </t>
  </si>
  <si>
    <t>0109300236</t>
  </si>
  <si>
    <t>DAGOBERTO</t>
  </si>
  <si>
    <t>SEGURA GARCÍA</t>
  </si>
  <si>
    <t>87369314</t>
  </si>
  <si>
    <t>000147</t>
  </si>
  <si>
    <t>0106440910</t>
  </si>
  <si>
    <t>MARIO ANTONI</t>
  </si>
  <si>
    <t>BERMUDEZ SEGURA</t>
  </si>
  <si>
    <t>000148</t>
  </si>
  <si>
    <t xml:space="preserve">DE LA ESCUELA EL TIGRE, 800 AL NORESTE </t>
  </si>
  <si>
    <t>0108010282</t>
  </si>
  <si>
    <t>MINOR</t>
  </si>
  <si>
    <t>SEGURA FALLAS</t>
  </si>
  <si>
    <t>86535240</t>
  </si>
  <si>
    <t>001098</t>
  </si>
  <si>
    <t xml:space="preserve">DE LOS TANQUES DE AGUA 300  M AL SE </t>
  </si>
  <si>
    <t>0113580721</t>
  </si>
  <si>
    <t>NATALIA</t>
  </si>
  <si>
    <t>ABARCA LOBO</t>
  </si>
  <si>
    <t>84335497</t>
  </si>
  <si>
    <t>001099</t>
  </si>
  <si>
    <t>100 M S DE LA ESCUELA</t>
  </si>
  <si>
    <t>0115970283</t>
  </si>
  <si>
    <t>ESTEPHANIE</t>
  </si>
  <si>
    <t>HERNANDEZ CHAVEZ</t>
  </si>
  <si>
    <t>62923314</t>
  </si>
  <si>
    <t>001112</t>
  </si>
  <si>
    <t>CEDRAL ABAJO</t>
  </si>
  <si>
    <t>A KM Y MEDIO AL ESTE DEL SALON COMUNAL</t>
  </si>
  <si>
    <t>0102770915</t>
  </si>
  <si>
    <t>ENRIQUE</t>
  </si>
  <si>
    <t>CHAVARRIA ARIAS</t>
  </si>
  <si>
    <t>84889702</t>
  </si>
  <si>
    <t>001113</t>
  </si>
  <si>
    <t>CEDRAK ABAJO</t>
  </si>
  <si>
    <t xml:space="preserve">1 1/2 KM ESTE DEL SALON COMUNAL. TARBACA CEDRAL ABAJO </t>
  </si>
  <si>
    <t>1076808930</t>
  </si>
  <si>
    <t xml:space="preserve">RAFAEL ANGEL </t>
  </si>
  <si>
    <t>ARAYA ZUÑIGA</t>
  </si>
  <si>
    <t>86250575</t>
  </si>
  <si>
    <t>001114</t>
  </si>
  <si>
    <t>TARBACA CEDRAL ABAJO</t>
  </si>
  <si>
    <t>1049902560</t>
  </si>
  <si>
    <t>GAMBOA HIDALGO</t>
  </si>
  <si>
    <t>83625130</t>
  </si>
  <si>
    <t>001115</t>
  </si>
  <si>
    <t xml:space="preserve">CEDRAL ABAJO </t>
  </si>
  <si>
    <t>1 172 KM AL SUR ESTE DE SALON COMUNAL</t>
  </si>
  <si>
    <t>0106660257</t>
  </si>
  <si>
    <t>PLACIDA DEL CARMEN</t>
  </si>
  <si>
    <t>GODINEZ MORA</t>
  </si>
  <si>
    <t>86432044</t>
  </si>
  <si>
    <t>001116</t>
  </si>
  <si>
    <t xml:space="preserve">1 1/2 KM AL SUR OESTE DEL SALON  COMUNAL </t>
  </si>
  <si>
    <t>1033203010</t>
  </si>
  <si>
    <t>EMILCE</t>
  </si>
  <si>
    <t>ABARCA MORALES</t>
  </si>
  <si>
    <t>86150798</t>
  </si>
  <si>
    <t>001117</t>
  </si>
  <si>
    <t xml:space="preserve">EL CEDRAL ABAJO </t>
  </si>
  <si>
    <t>TARBACA, EL CEDRAL ABAJO, EL PLAYON</t>
  </si>
  <si>
    <t>1113409440</t>
  </si>
  <si>
    <t>CASTRO MORA</t>
  </si>
  <si>
    <t>85473301</t>
  </si>
  <si>
    <t>001119</t>
  </si>
  <si>
    <t>TARBACA, CEDRAL ABAJO, EL PLAYON</t>
  </si>
  <si>
    <t>1124401150</t>
  </si>
  <si>
    <t>ANDREY</t>
  </si>
  <si>
    <t>AGUILAR LOPEZ</t>
  </si>
  <si>
    <t>85351210</t>
  </si>
  <si>
    <t>001128</t>
  </si>
  <si>
    <t xml:space="preserve">LA RITA </t>
  </si>
  <si>
    <t>DE PULPERIA LA RITA 600 OESTE</t>
  </si>
  <si>
    <t>1157709180</t>
  </si>
  <si>
    <t>MAIRA</t>
  </si>
  <si>
    <t>84404469</t>
  </si>
  <si>
    <t>002090</t>
  </si>
  <si>
    <t>TARBACA</t>
  </si>
  <si>
    <t>500 ESTE DE LA IGLESIA TARBACA ARRIBA</t>
  </si>
  <si>
    <t>0303260081</t>
  </si>
  <si>
    <t>MARVIN</t>
  </si>
  <si>
    <t>ALVARADO NARANJO</t>
  </si>
  <si>
    <t>63447042</t>
  </si>
  <si>
    <t>002181</t>
  </si>
  <si>
    <t>San rafael</t>
  </si>
  <si>
    <t>100m Norte del abastecedor La Cruz</t>
  </si>
  <si>
    <t>0110290961</t>
  </si>
  <si>
    <t>Evelin</t>
  </si>
  <si>
    <t>Alpízar Barboza</t>
  </si>
  <si>
    <t>72820077</t>
  </si>
  <si>
    <t>002183</t>
  </si>
  <si>
    <t>Calle Tierra Morada, 150m norte del tanque de agua</t>
  </si>
  <si>
    <t>0112280387</t>
  </si>
  <si>
    <t>Ana</t>
  </si>
  <si>
    <t>Corrales Pérez</t>
  </si>
  <si>
    <t>70323961</t>
  </si>
  <si>
    <t>002185</t>
  </si>
  <si>
    <t>100m sur, 25m este de la escuela</t>
  </si>
  <si>
    <t>0114270069</t>
  </si>
  <si>
    <t>Fabiola</t>
  </si>
  <si>
    <t>López Vindas</t>
  </si>
  <si>
    <t>002186</t>
  </si>
  <si>
    <t>150m norte del abastecedor La Cruz (calle vieja)</t>
  </si>
  <si>
    <t>0110990204</t>
  </si>
  <si>
    <t>Adriana</t>
  </si>
  <si>
    <t>Barboza Valverde</t>
  </si>
  <si>
    <t>71483192</t>
  </si>
  <si>
    <t>002187</t>
  </si>
  <si>
    <t>200m norte del abastecedor La Cruz</t>
  </si>
  <si>
    <t>0105100069</t>
  </si>
  <si>
    <t>Edgar Arturo</t>
  </si>
  <si>
    <t>Ureña Vargas</t>
  </si>
  <si>
    <t>25000355</t>
  </si>
  <si>
    <t>002188</t>
  </si>
  <si>
    <t>175 norte del abastecedor La Cruz (calle vieja)</t>
  </si>
  <si>
    <t>0103920378</t>
  </si>
  <si>
    <t>Estrella</t>
  </si>
  <si>
    <t>Barboza Segura</t>
  </si>
  <si>
    <t>89095753</t>
  </si>
  <si>
    <t>002189</t>
  </si>
  <si>
    <t>100m norte del abastecedor La Cruz</t>
  </si>
  <si>
    <t>0110290461</t>
  </si>
  <si>
    <t>002190</t>
  </si>
  <si>
    <t>100m este de la escuela</t>
  </si>
  <si>
    <t>0203760400</t>
  </si>
  <si>
    <t>Francisco</t>
  </si>
  <si>
    <t>Rojas Guzmán</t>
  </si>
  <si>
    <t>89229519</t>
  </si>
  <si>
    <t>002191</t>
  </si>
  <si>
    <t>0108870616</t>
  </si>
  <si>
    <t xml:space="preserve">Bernardita </t>
  </si>
  <si>
    <t>Chávez Díaz</t>
  </si>
  <si>
    <t>64052253</t>
  </si>
  <si>
    <t>002192</t>
  </si>
  <si>
    <t>Calle Tierra Morada, 200m sur del tanque de agua</t>
  </si>
  <si>
    <t>0401690953</t>
  </si>
  <si>
    <t>Yamileth Vanessa</t>
  </si>
  <si>
    <t>Bermúdez Vargas</t>
  </si>
  <si>
    <t>61011227</t>
  </si>
  <si>
    <t>002193</t>
  </si>
  <si>
    <t>cALLE tIERRA mORADA, 180M SUR DEL TANQUE DE AGUA</t>
  </si>
  <si>
    <t>0108930030</t>
  </si>
  <si>
    <t xml:space="preserve">Cristian </t>
  </si>
  <si>
    <t>Segura Picado</t>
  </si>
  <si>
    <t>64641488</t>
  </si>
  <si>
    <t>002194</t>
  </si>
  <si>
    <t>Diagonal a restaurante Las Abuelas</t>
  </si>
  <si>
    <t>0103790840</t>
  </si>
  <si>
    <t>Naranjo Segura</t>
  </si>
  <si>
    <t>22594363</t>
  </si>
  <si>
    <t>2306</t>
  </si>
  <si>
    <t>0103740111</t>
  </si>
  <si>
    <t>Flory</t>
  </si>
  <si>
    <t>Segura Hidalgo</t>
  </si>
  <si>
    <t>2308</t>
  </si>
  <si>
    <t>Contiguo a la entrada del Tigre 100 m al norte del Bar Felos</t>
  </si>
  <si>
    <t>Patricia</t>
  </si>
  <si>
    <t>Fallas Padilla</t>
  </si>
  <si>
    <t>2312</t>
  </si>
  <si>
    <t>300m este de la Escuela El Tigre</t>
  </si>
  <si>
    <t>0503680069</t>
  </si>
  <si>
    <t>Tony</t>
  </si>
  <si>
    <t>López Hidalgo</t>
  </si>
  <si>
    <t>2314</t>
  </si>
  <si>
    <t>De la iglesia El Tigre 150 m este y 300 m norte</t>
  </si>
  <si>
    <t>Minor</t>
  </si>
  <si>
    <t>Segura Segura</t>
  </si>
  <si>
    <t>002315</t>
  </si>
  <si>
    <t>no indica</t>
  </si>
  <si>
    <t>0110420769</t>
  </si>
  <si>
    <t xml:space="preserve">Leonardo </t>
  </si>
  <si>
    <t>Segura Fallas</t>
  </si>
  <si>
    <t>002319</t>
  </si>
  <si>
    <t>0115770918</t>
  </si>
  <si>
    <t xml:space="preserve">Nyra de Los Angeles </t>
  </si>
  <si>
    <t>Fallas Chacez</t>
  </si>
  <si>
    <t>002325</t>
  </si>
  <si>
    <t>200 noreste de la escuela El Tigre</t>
  </si>
  <si>
    <t>000122</t>
  </si>
  <si>
    <t>BARRIO LA ROSALIA</t>
  </si>
  <si>
    <t>CALLE LOS QUESADA, DEL CRUCE LA ROSALIA HACIA MONTEREDONDO</t>
  </si>
  <si>
    <t>0107400597</t>
  </si>
  <si>
    <t>LOURDES SUSANA</t>
  </si>
  <si>
    <t>HERNANDEZ PORTUGUEZ</t>
  </si>
  <si>
    <t>84990903</t>
  </si>
  <si>
    <t>000124</t>
  </si>
  <si>
    <t>LA MINILLA</t>
  </si>
  <si>
    <t>LOS TALLERES 500 OESTE, CALLE PARALELA HACIA JORCO</t>
  </si>
  <si>
    <t>85785614</t>
  </si>
  <si>
    <t>000125</t>
  </si>
  <si>
    <t xml:space="preserve">100 ESTE DEL SALON COMUNAL </t>
  </si>
  <si>
    <t>0109270321</t>
  </si>
  <si>
    <t>MARCELA</t>
  </si>
  <si>
    <t>PICADO MONGE</t>
  </si>
  <si>
    <t>85215386</t>
  </si>
  <si>
    <t>000126</t>
  </si>
  <si>
    <t xml:space="preserve">CALLE LOS ANGELES </t>
  </si>
  <si>
    <t xml:space="preserve">LA URUCA, CALLE LOS ANGELES, 1 KM AL SUR DE LA ESCUELA , CALLE HACIA LA LEGUA 20 METROS  </t>
  </si>
  <si>
    <t>0103730390</t>
  </si>
  <si>
    <t>RAFAEL ANGEL</t>
  </si>
  <si>
    <t>MORA CHINCHILLA</t>
  </si>
  <si>
    <t>85339137</t>
  </si>
  <si>
    <t>000851</t>
  </si>
  <si>
    <t>LOS MANGOS ABAJO</t>
  </si>
  <si>
    <t xml:space="preserve">VUELTA DE JORCO SALITRAL DEL PUENTE RIO PITAL 225 METROS AL NORTE CALLE AL BENEFICIO </t>
  </si>
  <si>
    <t>1044801650</t>
  </si>
  <si>
    <t>MARIA DEL CARMEN</t>
  </si>
  <si>
    <t>VASQUEZ MADRIGAL</t>
  </si>
  <si>
    <t>83505107</t>
  </si>
  <si>
    <t>001094</t>
  </si>
  <si>
    <t>JOCOTAL</t>
  </si>
  <si>
    <t>25 M ESTE DEL PUENTE DE JOCOTAL</t>
  </si>
  <si>
    <t>0102140280</t>
  </si>
  <si>
    <t>TERESA</t>
  </si>
  <si>
    <t>NARANJO ARIAS</t>
  </si>
  <si>
    <t>24101339</t>
  </si>
  <si>
    <t>001095</t>
  </si>
  <si>
    <t>0107170205</t>
  </si>
  <si>
    <t>ROSIBEL</t>
  </si>
  <si>
    <t>RIVERA NARANJO</t>
  </si>
  <si>
    <t>89685755</t>
  </si>
  <si>
    <t>001096</t>
  </si>
  <si>
    <t>JOCOTAL ABAJO</t>
  </si>
  <si>
    <t>DIAGONAL AL NAR EL ZARPE</t>
  </si>
  <si>
    <t>0108130659</t>
  </si>
  <si>
    <t xml:space="preserve">HECTOR </t>
  </si>
  <si>
    <t>001097</t>
  </si>
  <si>
    <t>75 M OESTE DE LA ESCUELA DE VUELTA DE JORCO</t>
  </si>
  <si>
    <t>0103980021</t>
  </si>
  <si>
    <t>SIGIFREDO</t>
  </si>
  <si>
    <t>ARIAS MURCIA</t>
  </si>
  <si>
    <t>001100</t>
  </si>
  <si>
    <t>300 M NE DE LA ENTRADA A LA MANILLA</t>
  </si>
  <si>
    <t>0110300398</t>
  </si>
  <si>
    <t>MARJORIE</t>
  </si>
  <si>
    <t>001118</t>
  </si>
  <si>
    <t>OJO DE AGUA</t>
  </si>
  <si>
    <t xml:space="preserve">OJO DE AGUA  600 METROS SURESTE DE PULPERIA EL ALTO </t>
  </si>
  <si>
    <t>1088409030</t>
  </si>
  <si>
    <t>MAINOR</t>
  </si>
  <si>
    <t>ALVARADO PORRAS</t>
  </si>
  <si>
    <t>89317670</t>
  </si>
  <si>
    <t>001125</t>
  </si>
  <si>
    <t xml:space="preserve">CARRETERA MONTEREDONDO </t>
  </si>
  <si>
    <t>50 SUR DEK CEMENTERIO DE VUELTA DE JORCO</t>
  </si>
  <si>
    <t>1048805430</t>
  </si>
  <si>
    <t>RAFAEL ALCIDES</t>
  </si>
  <si>
    <t>HERNANDEZ MESEN</t>
  </si>
  <si>
    <t>88276233</t>
  </si>
  <si>
    <t>001126</t>
  </si>
  <si>
    <t xml:space="preserve">CALLE LOS QUESADA </t>
  </si>
  <si>
    <t>800 M S Y 300 M OE DEL PALI</t>
  </si>
  <si>
    <t>1138309880</t>
  </si>
  <si>
    <t>YAMBERLY SUSANA</t>
  </si>
  <si>
    <t>PICADO HERNANDEZ</t>
  </si>
  <si>
    <t>001127</t>
  </si>
  <si>
    <t>EL CEMENTERIO</t>
  </si>
  <si>
    <t>VUELTA DE JORCO 250 METROS SUR, DEL CEMENTERIO CALLE MONTEREDONDO</t>
  </si>
  <si>
    <t>1051103550</t>
  </si>
  <si>
    <t>MIRIAN</t>
  </si>
  <si>
    <t xml:space="preserve">ARAYA MORA </t>
  </si>
  <si>
    <t>86514447</t>
  </si>
  <si>
    <t>001758</t>
  </si>
  <si>
    <t xml:space="preserve">LAGUNILLAS </t>
  </si>
  <si>
    <t xml:space="preserve">500 MTS OESTE DE LA ESCUELA </t>
  </si>
  <si>
    <t>1158906990</t>
  </si>
  <si>
    <t xml:space="preserve">OLGER ANTONIO </t>
  </si>
  <si>
    <t xml:space="preserve">MONGE MONGE </t>
  </si>
  <si>
    <t>002167</t>
  </si>
  <si>
    <t>Legua Los Naranjo</t>
  </si>
  <si>
    <t>100m sur del Bar el golfo</t>
  </si>
  <si>
    <t>0106920501</t>
  </si>
  <si>
    <t xml:space="preserve">Gonzalo </t>
  </si>
  <si>
    <t>Naranjo Mora</t>
  </si>
  <si>
    <t>24164145</t>
  </si>
  <si>
    <t>002168</t>
  </si>
  <si>
    <t>100m sur del Bar el Golfo</t>
  </si>
  <si>
    <t>0104230553</t>
  </si>
  <si>
    <t>Evangelista</t>
  </si>
  <si>
    <t>Díaz Vargas</t>
  </si>
  <si>
    <t>84409509</t>
  </si>
  <si>
    <t>002169</t>
  </si>
  <si>
    <t>Frente al Bar el Golfo</t>
  </si>
  <si>
    <t>0109150456</t>
  </si>
  <si>
    <t>Davis</t>
  </si>
  <si>
    <t>Portugués Ceciliano</t>
  </si>
  <si>
    <t>84453780</t>
  </si>
  <si>
    <t>002170</t>
  </si>
  <si>
    <t>500m de la escuela</t>
  </si>
  <si>
    <t>0104250009</t>
  </si>
  <si>
    <t>Víctor Manuel</t>
  </si>
  <si>
    <t>García castro</t>
  </si>
  <si>
    <t>85125836</t>
  </si>
  <si>
    <t>002171</t>
  </si>
  <si>
    <t>Frente zona de descarga Palí</t>
  </si>
  <si>
    <t>0113130141</t>
  </si>
  <si>
    <t>Verónica</t>
  </si>
  <si>
    <t>Morales Segura</t>
  </si>
  <si>
    <t>60690309</t>
  </si>
  <si>
    <t>002180</t>
  </si>
  <si>
    <t>Frente zona de descarga del Palí</t>
  </si>
  <si>
    <t>0104550450</t>
  </si>
  <si>
    <t>Oscar</t>
  </si>
  <si>
    <t>Segura García</t>
  </si>
  <si>
    <t>88073972</t>
  </si>
  <si>
    <t>2212</t>
  </si>
  <si>
    <t>LOS MANGOS</t>
  </si>
  <si>
    <t>250 SUR OESTE DE LA ESCUELA LOS MANGOS</t>
  </si>
  <si>
    <t>0001642179</t>
  </si>
  <si>
    <t>JUAN CARLOS</t>
  </si>
  <si>
    <t>CORRALES JIMENEZ</t>
  </si>
  <si>
    <t>00000000</t>
  </si>
  <si>
    <t>002255</t>
  </si>
  <si>
    <t xml:space="preserve">25 Oeste del Bar Zurpe </t>
  </si>
  <si>
    <t>0900870332</t>
  </si>
  <si>
    <t xml:space="preserve">Delio </t>
  </si>
  <si>
    <t>Solis Castillo</t>
  </si>
  <si>
    <t>24101150</t>
  </si>
  <si>
    <t>002256</t>
  </si>
  <si>
    <t>Del puente de jocotal 300m norte con techo</t>
  </si>
  <si>
    <t>0901040094</t>
  </si>
  <si>
    <t xml:space="preserve">Denis Armando </t>
  </si>
  <si>
    <t xml:space="preserve">Naranjo Masis </t>
  </si>
  <si>
    <t>87217106</t>
  </si>
  <si>
    <t>002257</t>
  </si>
  <si>
    <t>de la escuela 350m Noroeste</t>
  </si>
  <si>
    <t xml:space="preserve">Sigifredo </t>
  </si>
  <si>
    <t>62602912</t>
  </si>
  <si>
    <t>002259</t>
  </si>
  <si>
    <t xml:space="preserve">Frente al Bar el Zarpe </t>
  </si>
  <si>
    <t>0181360659</t>
  </si>
  <si>
    <t xml:space="preserve">Hector </t>
  </si>
  <si>
    <t xml:space="preserve">Rivera Naranjo </t>
  </si>
  <si>
    <t>002260</t>
  </si>
  <si>
    <t>100 norte puente con techo jocotal</t>
  </si>
  <si>
    <t>0109000018</t>
  </si>
  <si>
    <t xml:space="preserve">Jesenia </t>
  </si>
  <si>
    <t xml:space="preserve">Mora Bonilla </t>
  </si>
  <si>
    <t>60927591</t>
  </si>
  <si>
    <t>002261</t>
  </si>
  <si>
    <t xml:space="preserve">Costado Norte puente </t>
  </si>
  <si>
    <t>0302040783</t>
  </si>
  <si>
    <t xml:space="preserve">Jose </t>
  </si>
  <si>
    <t xml:space="preserve">Gorabito </t>
  </si>
  <si>
    <t>84272222</t>
  </si>
  <si>
    <t>002262</t>
  </si>
  <si>
    <t xml:space="preserve">Bar el zarpe 200 Oeste </t>
  </si>
  <si>
    <t>0103920319</t>
  </si>
  <si>
    <t xml:space="preserve">Ceciliano Picado </t>
  </si>
  <si>
    <t>89055264</t>
  </si>
  <si>
    <t>002263</t>
  </si>
  <si>
    <t>Bar el Zarpe 300 Oeste</t>
  </si>
  <si>
    <t>0301910891</t>
  </si>
  <si>
    <t xml:space="preserve">Angel </t>
  </si>
  <si>
    <t>Rivera Naranjo</t>
  </si>
  <si>
    <t>24101091</t>
  </si>
  <si>
    <t>002264</t>
  </si>
  <si>
    <t xml:space="preserve">400m Oeste Bar Zarpe </t>
  </si>
  <si>
    <t>0104110488</t>
  </si>
  <si>
    <t xml:space="preserve">Eladio </t>
  </si>
  <si>
    <t>002265</t>
  </si>
  <si>
    <t>Del pte Techado 200 N</t>
  </si>
  <si>
    <t>0108140783</t>
  </si>
  <si>
    <t xml:space="preserve">Xamileth </t>
  </si>
  <si>
    <t>Ceciliano Padilla</t>
  </si>
  <si>
    <t>002266</t>
  </si>
  <si>
    <t>Del Puente con techo 300 Norte</t>
  </si>
  <si>
    <t>0103750005</t>
  </si>
  <si>
    <t>Rigo</t>
  </si>
  <si>
    <t>24101137</t>
  </si>
  <si>
    <t>002267</t>
  </si>
  <si>
    <t xml:space="preserve">400m Oeste del Bar Zarpe </t>
  </si>
  <si>
    <t>0104480529</t>
  </si>
  <si>
    <t xml:space="preserve">MArcos </t>
  </si>
  <si>
    <t xml:space="preserve">Garro Chinchilla </t>
  </si>
  <si>
    <t>2298</t>
  </si>
  <si>
    <t>300 m este del Abastecedor Ojo de Agua</t>
  </si>
  <si>
    <t>0106270205</t>
  </si>
  <si>
    <t>Olga de Lourdes</t>
  </si>
  <si>
    <t>Elizondo Vega</t>
  </si>
  <si>
    <t>62021692</t>
  </si>
  <si>
    <t>2299</t>
  </si>
  <si>
    <t>Por el tanque de agua</t>
  </si>
  <si>
    <t>0900370036</t>
  </si>
  <si>
    <t>Lucía Rita Angela</t>
  </si>
  <si>
    <t>Arias Arias</t>
  </si>
  <si>
    <t>002316</t>
  </si>
  <si>
    <t>25 norte de la plaza Los Mangos</t>
  </si>
  <si>
    <t>0112150362</t>
  </si>
  <si>
    <t>Ingrid Vannesa</t>
  </si>
  <si>
    <t>Fallas Godinez</t>
  </si>
  <si>
    <t>001757</t>
  </si>
  <si>
    <t xml:space="preserve">CALLE VALVERDE </t>
  </si>
  <si>
    <t xml:space="preserve">100ESTE CARNICERIA VERA CRUZ </t>
  </si>
  <si>
    <t xml:space="preserve">CABRERA VALVERDE </t>
  </si>
  <si>
    <t>22707296</t>
  </si>
  <si>
    <t>001751</t>
  </si>
  <si>
    <t xml:space="preserve">500SUR PARROQUIA FRAILES </t>
  </si>
  <si>
    <t>1061606720</t>
  </si>
  <si>
    <t xml:space="preserve">OLGER </t>
  </si>
  <si>
    <t xml:space="preserve">PICADO GARRO </t>
  </si>
  <si>
    <t>25442073</t>
  </si>
  <si>
    <t>001753</t>
  </si>
  <si>
    <t xml:space="preserve">CALLE LOS MARIN </t>
  </si>
  <si>
    <t xml:space="preserve">700 MTS OESTE DEL TEMPLO CATOLICO </t>
  </si>
  <si>
    <t>1020202350</t>
  </si>
  <si>
    <t>ARTURO</t>
  </si>
  <si>
    <t xml:space="preserve">PICADO JIMENEZ </t>
  </si>
  <si>
    <t>88984535</t>
  </si>
  <si>
    <t>1001755</t>
  </si>
  <si>
    <t xml:space="preserve">SAN FRANCISCO </t>
  </si>
  <si>
    <t xml:space="preserve">700OESTE 100NORTE PARROQUIA LOS FRAILES </t>
  </si>
  <si>
    <t>0108910262</t>
  </si>
  <si>
    <t xml:space="preserve">MARILYN </t>
  </si>
  <si>
    <t>ROJAS ROJAS</t>
  </si>
  <si>
    <t>84178747</t>
  </si>
  <si>
    <t>001756</t>
  </si>
  <si>
    <t xml:space="preserve">QUEBRADA HONDA </t>
  </si>
  <si>
    <t xml:space="preserve">DEL SALO COMUNAL 100 NORTE </t>
  </si>
  <si>
    <t>1069600180</t>
  </si>
  <si>
    <t xml:space="preserve">LAURA </t>
  </si>
  <si>
    <t xml:space="preserve">RIBERA FALLAS </t>
  </si>
  <si>
    <t>22300491</t>
  </si>
  <si>
    <t>001749</t>
  </si>
  <si>
    <t xml:space="preserve">CALLE  SALITRE </t>
  </si>
  <si>
    <t xml:space="preserve">RESTAURANTE BOSQUE 2 KM OESTE </t>
  </si>
  <si>
    <t>1107800090</t>
  </si>
  <si>
    <t xml:space="preserve">MARIO </t>
  </si>
  <si>
    <t xml:space="preserve">ROMERO YLUMA </t>
  </si>
  <si>
    <t>57173758</t>
  </si>
  <si>
    <t>001750</t>
  </si>
  <si>
    <t xml:space="preserve">CALLE SALITRE </t>
  </si>
  <si>
    <t xml:space="preserve">RESTAURANTE BOSQUE 2KM OESTE </t>
  </si>
  <si>
    <t>3027601570</t>
  </si>
  <si>
    <t xml:space="preserve">TERESA MARIA </t>
  </si>
  <si>
    <t>83838064</t>
  </si>
  <si>
    <t>001754</t>
  </si>
  <si>
    <t xml:space="preserve">TERRANOVA </t>
  </si>
  <si>
    <t xml:space="preserve">500 NORTE DE LA ENTRADA LA LUCHA </t>
  </si>
  <si>
    <t>1039300320</t>
  </si>
  <si>
    <t xml:space="preserve">AMELIA </t>
  </si>
  <si>
    <t xml:space="preserve">UREÑA VENEGAS </t>
  </si>
  <si>
    <t>10393003</t>
  </si>
  <si>
    <t>001752</t>
  </si>
  <si>
    <t xml:space="preserve">PULPERIA AGUILA 100 OESTE </t>
  </si>
  <si>
    <t>6013700320</t>
  </si>
  <si>
    <t xml:space="preserve">SILVIA </t>
  </si>
  <si>
    <t xml:space="preserve">SOLIS SEGURA </t>
  </si>
  <si>
    <t>000762</t>
  </si>
  <si>
    <t>400 noreste</t>
  </si>
  <si>
    <t>0113020116</t>
  </si>
  <si>
    <t>Diana</t>
  </si>
  <si>
    <t>Monge Camacho</t>
  </si>
  <si>
    <t>89665720</t>
  </si>
  <si>
    <t>774</t>
  </si>
  <si>
    <t>400 noroeste de la Escuela Río Blanco</t>
  </si>
  <si>
    <t>0104920578</t>
  </si>
  <si>
    <t>Martin</t>
  </si>
  <si>
    <t>Hernández Hernández</t>
  </si>
  <si>
    <t>84025019</t>
  </si>
  <si>
    <t>781</t>
  </si>
  <si>
    <t>San Gerado</t>
  </si>
  <si>
    <t>frente al campamento Cristiano, La Cumbre.</t>
  </si>
  <si>
    <t>0900700507</t>
  </si>
  <si>
    <t xml:space="preserve">Amalia </t>
  </si>
  <si>
    <t>Mora Camacho</t>
  </si>
  <si>
    <t>27401079</t>
  </si>
  <si>
    <t>000771</t>
  </si>
  <si>
    <t>500 mts noroeste de gasolinera el Empalme</t>
  </si>
  <si>
    <t>0303340810</t>
  </si>
  <si>
    <t>Edwin</t>
  </si>
  <si>
    <t>Araya Abarca</t>
  </si>
  <si>
    <t>83533013</t>
  </si>
  <si>
    <t>000761</t>
  </si>
  <si>
    <t>De suministros Coopedota. 300 mts este</t>
  </si>
  <si>
    <t>0303760476</t>
  </si>
  <si>
    <t>Xiomara</t>
  </si>
  <si>
    <t>Monge Chinchilla</t>
  </si>
  <si>
    <t>83663609</t>
  </si>
  <si>
    <t>000763</t>
  </si>
  <si>
    <t>calle San pedro</t>
  </si>
  <si>
    <t xml:space="preserve">130 oeste de la entrada San Pedro. Finca: 591268. Plano: SJ-1190462-2007
</t>
  </si>
  <si>
    <t>0109330910</t>
  </si>
  <si>
    <t>Graciela</t>
  </si>
  <si>
    <t>Contreras Peña</t>
  </si>
  <si>
    <t>89891778</t>
  </si>
  <si>
    <t>000764</t>
  </si>
  <si>
    <t>Calle San Marcos</t>
  </si>
  <si>
    <t>50 mts sur y 200 mts oeste del parque</t>
  </si>
  <si>
    <t>Manuel</t>
  </si>
  <si>
    <t>Carballo</t>
  </si>
  <si>
    <t>000765</t>
  </si>
  <si>
    <t>50 sur y 200 oeste del parque</t>
  </si>
  <si>
    <t>0602110017</t>
  </si>
  <si>
    <t>Misael</t>
  </si>
  <si>
    <t>Ugalde Rodríguez</t>
  </si>
  <si>
    <t>85282199</t>
  </si>
  <si>
    <t>000766</t>
  </si>
  <si>
    <t>250 mts oeste del parque</t>
  </si>
  <si>
    <t>0304050213</t>
  </si>
  <si>
    <t>Marcela</t>
  </si>
  <si>
    <t>Romero Fallas</t>
  </si>
  <si>
    <t>25412503</t>
  </si>
  <si>
    <t>000767</t>
  </si>
  <si>
    <t>Las Cumbres</t>
  </si>
  <si>
    <t xml:space="preserve">300 sur, 200 este de entrada calle Rivero.
</t>
  </si>
  <si>
    <t>0105430347</t>
  </si>
  <si>
    <t>Romilio</t>
  </si>
  <si>
    <t>Fonseca Elizondo</t>
  </si>
  <si>
    <t>86812893</t>
  </si>
  <si>
    <t>000768</t>
  </si>
  <si>
    <t>De albergue "casa de Parra", 50 metros hacia el fondo de la servidumbre.</t>
  </si>
  <si>
    <t>0107130481</t>
  </si>
  <si>
    <t>Juan Gerardo</t>
  </si>
  <si>
    <t>Cordero</t>
  </si>
  <si>
    <t>86808836</t>
  </si>
  <si>
    <t>000769</t>
  </si>
  <si>
    <t>1,5 km este del parque</t>
  </si>
  <si>
    <t>0106010332</t>
  </si>
  <si>
    <t xml:space="preserve">Olga </t>
  </si>
  <si>
    <t>Vargas Fallas</t>
  </si>
  <si>
    <t>61258529</t>
  </si>
  <si>
    <t>000770</t>
  </si>
  <si>
    <t>500 este y 500 sur del parque.</t>
  </si>
  <si>
    <t>0103390684</t>
  </si>
  <si>
    <t>Cordero Badilla</t>
  </si>
  <si>
    <t>86405823</t>
  </si>
  <si>
    <t>775</t>
  </si>
  <si>
    <t>1,5 km del Parque de Santa María al este</t>
  </si>
  <si>
    <t>Cordero Vargas</t>
  </si>
  <si>
    <t>60602853</t>
  </si>
  <si>
    <t>780</t>
  </si>
  <si>
    <t>350 m al oeste del antiguo centro de salud</t>
  </si>
  <si>
    <t>0103850669</t>
  </si>
  <si>
    <t>Jorge Mario</t>
  </si>
  <si>
    <t>Ureña Ureña</t>
  </si>
  <si>
    <t>25412292</t>
  </si>
  <si>
    <t>782</t>
  </si>
  <si>
    <t>800 m este 50 sureste del parque</t>
  </si>
  <si>
    <t>0102570194</t>
  </si>
  <si>
    <t>Evelia</t>
  </si>
  <si>
    <t>Romero Ceciliano</t>
  </si>
  <si>
    <t>25412374</t>
  </si>
  <si>
    <t>783</t>
  </si>
  <si>
    <t>2 km sur del Parque Cruce Rincón de los Solis</t>
  </si>
  <si>
    <t>0105350264</t>
  </si>
  <si>
    <t>Marlene</t>
  </si>
  <si>
    <t>Jiménez Chacón</t>
  </si>
  <si>
    <t>25411547</t>
  </si>
  <si>
    <t>000828</t>
  </si>
  <si>
    <t>CALLE SAN RAFAEL</t>
  </si>
  <si>
    <t>2.5 KM DEL CENTRO DE SANTA MARIA, ENTRADA SAN PEDRO (AL NORTE)</t>
  </si>
  <si>
    <t>0103300523</t>
  </si>
  <si>
    <t>JOAQUIN</t>
  </si>
  <si>
    <t>UREÑA NAVARRO</t>
  </si>
  <si>
    <t>87113799</t>
  </si>
  <si>
    <t>000829</t>
  </si>
  <si>
    <t>SAN RAFAEL CALLE SAN PEDRO</t>
  </si>
  <si>
    <t>200 METROS OESTE DE LA ESCUELA SAN RAFAEL, CASA COLOR ROSADO</t>
  </si>
  <si>
    <t>0304030250</t>
  </si>
  <si>
    <t>DANNY</t>
  </si>
  <si>
    <t>JIMENEZ HERNANDEZ</t>
  </si>
  <si>
    <t>83402016</t>
  </si>
  <si>
    <t>León Cortés Castro</t>
  </si>
  <si>
    <t>000832</t>
  </si>
  <si>
    <t>SAN DIEGO</t>
  </si>
  <si>
    <t>1 KM NORESTE DEL EBAIS DE LLANO BONITO</t>
  </si>
  <si>
    <t>0101390111</t>
  </si>
  <si>
    <t>ISMAELDA</t>
  </si>
  <si>
    <t>BONILLA CAMACHO</t>
  </si>
  <si>
    <t>83100266</t>
  </si>
  <si>
    <t>000833</t>
  </si>
  <si>
    <t>1 KM NORTE DEL EBAIS DE LLANO BONITO</t>
  </si>
  <si>
    <t>0304750474</t>
  </si>
  <si>
    <t>GUSTAVO</t>
  </si>
  <si>
    <t>ABARCA VALVERDE</t>
  </si>
  <si>
    <t>85485267</t>
  </si>
  <si>
    <t>000834</t>
  </si>
  <si>
    <t>LLANO BONITO</t>
  </si>
  <si>
    <t>600 METROS SUR DEL CEMENTERIO DE LLANO BONITO</t>
  </si>
  <si>
    <t>0304340094</t>
  </si>
  <si>
    <t>KENNETH ALFREDO</t>
  </si>
  <si>
    <t>ALVARADO MORA</t>
  </si>
  <si>
    <t>60120049</t>
  </si>
  <si>
    <t>000835</t>
  </si>
  <si>
    <t>DURAN BONILLA</t>
  </si>
  <si>
    <t>150 METROS NORTE DEL EBAIS</t>
  </si>
  <si>
    <t>0103470432</t>
  </si>
  <si>
    <t>CORNELIO</t>
  </si>
  <si>
    <t>ARAYA AGUILAR</t>
  </si>
  <si>
    <t>25462892</t>
  </si>
  <si>
    <t>000852</t>
  </si>
  <si>
    <t>Durán Bonilla</t>
  </si>
  <si>
    <t>400 metros noroeste del EBAIS</t>
  </si>
  <si>
    <t>0107440137</t>
  </si>
  <si>
    <t>Gravin</t>
  </si>
  <si>
    <t>Mora Durán</t>
  </si>
  <si>
    <t>85697105</t>
  </si>
  <si>
    <t>000853</t>
  </si>
  <si>
    <t>100 metros al norte de la ermita de San Gabriel</t>
  </si>
  <si>
    <t>0112320137</t>
  </si>
  <si>
    <t xml:space="preserve">Carlos </t>
  </si>
  <si>
    <t>García Valverde</t>
  </si>
  <si>
    <t>72172278</t>
  </si>
  <si>
    <t>000870</t>
  </si>
  <si>
    <t>I KM NORTE DEL EBAIS</t>
  </si>
  <si>
    <t>3047504740</t>
  </si>
  <si>
    <t>85985267</t>
  </si>
  <si>
    <t>000886</t>
  </si>
  <si>
    <t>300 SUR DE LA ESCUELA DE LLANO BONITO</t>
  </si>
  <si>
    <t>1038606960</t>
  </si>
  <si>
    <t>ALVARADO ABARCA</t>
  </si>
  <si>
    <t>57117991</t>
  </si>
  <si>
    <t>000888</t>
  </si>
  <si>
    <t>600 OESTE DE LA IGLESIA CATOLICA DE SAN GABRIEL</t>
  </si>
  <si>
    <t>1042605810</t>
  </si>
  <si>
    <t>ABARCA PORTUGUEZ</t>
  </si>
  <si>
    <t>25462643</t>
  </si>
  <si>
    <t>000894</t>
  </si>
  <si>
    <t>300 METROS NORTE DEL ANTIGUO LICEO DE LLANO BONITO</t>
  </si>
  <si>
    <t>1088903630</t>
  </si>
  <si>
    <t>LUIS</t>
  </si>
  <si>
    <t>CASTRO JIMENEZ</t>
  </si>
  <si>
    <t>85068595</t>
  </si>
  <si>
    <t>000897</t>
  </si>
  <si>
    <t>CENTRO</t>
  </si>
  <si>
    <t>600 MTS NORTE DEL CEMENTERIO</t>
  </si>
  <si>
    <t>3043400940</t>
  </si>
  <si>
    <t>ALFREDO</t>
  </si>
  <si>
    <t>86763603</t>
  </si>
  <si>
    <t>000846</t>
  </si>
  <si>
    <t>BAJO LOS ANGELES</t>
  </si>
  <si>
    <t>DEL PUENTE AZUL, 100 METROS AL ESTE</t>
  </si>
  <si>
    <t>0103670525</t>
  </si>
  <si>
    <t>GERARDO</t>
  </si>
  <si>
    <t>AMADOR MADRIZ</t>
  </si>
  <si>
    <t>25442086</t>
  </si>
  <si>
    <t>000847</t>
  </si>
  <si>
    <t>0103980174</t>
  </si>
  <si>
    <t>OMAR</t>
  </si>
  <si>
    <t>ROJAS GARRO</t>
  </si>
  <si>
    <t>86843698</t>
  </si>
  <si>
    <t>000848</t>
  </si>
  <si>
    <t>0305090900</t>
  </si>
  <si>
    <t>HILARY</t>
  </si>
  <si>
    <t>RIVERA MORA</t>
  </si>
  <si>
    <t>62309661</t>
  </si>
  <si>
    <t>000849</t>
  </si>
  <si>
    <t>Basilio Vega</t>
  </si>
  <si>
    <t>700 metros oeste de Caña Bar</t>
  </si>
  <si>
    <t>0113580388</t>
  </si>
  <si>
    <t>Laudencio</t>
  </si>
  <si>
    <t>Garro Bonilla</t>
  </si>
  <si>
    <t>83969101</t>
  </si>
  <si>
    <t>000850</t>
  </si>
  <si>
    <t>700 metros oeste del Caña Bar</t>
  </si>
  <si>
    <t>0106200108</t>
  </si>
  <si>
    <t>Juan</t>
  </si>
  <si>
    <t>Chacón Umaña</t>
  </si>
  <si>
    <t>87384663</t>
  </si>
  <si>
    <t>000869</t>
  </si>
  <si>
    <t>100 METROS ESTE ESCUELA BAJO LOS ANGELES</t>
  </si>
  <si>
    <t>3036902880</t>
  </si>
  <si>
    <t>MILDER</t>
  </si>
  <si>
    <t>ROJAS GAMBOA</t>
  </si>
  <si>
    <t>61563399</t>
  </si>
  <si>
    <t>000880</t>
  </si>
  <si>
    <t>800 MTS SURESTE DE LA ESCUELA BAJO LOS ANGELES</t>
  </si>
  <si>
    <t>9007606800</t>
  </si>
  <si>
    <t>WILBER</t>
  </si>
  <si>
    <t>NARANJO CHACON</t>
  </si>
  <si>
    <t>86283081</t>
  </si>
  <si>
    <t>000882</t>
  </si>
  <si>
    <t>HIGUERON</t>
  </si>
  <si>
    <t xml:space="preserve">300 OESTE DEL SALON COMUNAL DE HIGUERON </t>
  </si>
  <si>
    <t>1074807570</t>
  </si>
  <si>
    <t>WILLIAM</t>
  </si>
  <si>
    <t>BONILLA PIEDRA</t>
  </si>
  <si>
    <t>87291517</t>
  </si>
  <si>
    <t>000883</t>
  </si>
  <si>
    <t>DON BRAULIO</t>
  </si>
  <si>
    <t>250 SUROESTE DEL LICEO DE SAN ANDRES</t>
  </si>
  <si>
    <t>1091006980</t>
  </si>
  <si>
    <t>GEINER</t>
  </si>
  <si>
    <t>QUESADA ESPINOZA</t>
  </si>
  <si>
    <t>25442237</t>
  </si>
  <si>
    <t>0000884</t>
  </si>
  <si>
    <t>500 SUROESTE DE LA IGLESIA CATOLICA</t>
  </si>
  <si>
    <t>1080109670</t>
  </si>
  <si>
    <t>CARLOS ALBERTO</t>
  </si>
  <si>
    <t>BONILLA AMADOR</t>
  </si>
  <si>
    <t>84887116</t>
  </si>
  <si>
    <t>000885</t>
  </si>
  <si>
    <t>RASTROJALES</t>
  </si>
  <si>
    <t>300 OESTE DE CHEOS BAR, RASTROJALES</t>
  </si>
  <si>
    <t>1146003960</t>
  </si>
  <si>
    <t>ANA LIDEY</t>
  </si>
  <si>
    <t>ZUÑIGA BONILLA</t>
  </si>
  <si>
    <t>85405119</t>
  </si>
  <si>
    <t>779</t>
  </si>
  <si>
    <t>San Isidro, Camino Los Prado</t>
  </si>
  <si>
    <t>De la iglesia de San Isidro, del cementerio 150 m al este</t>
  </si>
  <si>
    <t>0102760001</t>
  </si>
  <si>
    <t xml:space="preserve">Clemencia </t>
  </si>
  <si>
    <t>Bonilla Mena</t>
  </si>
  <si>
    <t>25464610</t>
  </si>
  <si>
    <t>000830</t>
  </si>
  <si>
    <t>LOS CASTRO</t>
  </si>
  <si>
    <t>300 METROS OESTE DE COOPELLANOBONITO</t>
  </si>
  <si>
    <t>0114980266</t>
  </si>
  <si>
    <t>FRANCISCO JAVIER</t>
  </si>
  <si>
    <t>CASTRO BONILLA</t>
  </si>
  <si>
    <t>88607007</t>
  </si>
  <si>
    <t>000831</t>
  </si>
  <si>
    <t>300 METROS AL ESTE DE COOPE LLANO BONITO</t>
  </si>
  <si>
    <t>0105670927</t>
  </si>
  <si>
    <t>CASTRO ALVARADO</t>
  </si>
  <si>
    <t>83531393</t>
  </si>
  <si>
    <t>000854</t>
  </si>
  <si>
    <t>La Vuelta Morada</t>
  </si>
  <si>
    <t>1 km noroeste de la escuela</t>
  </si>
  <si>
    <t>0105550028</t>
  </si>
  <si>
    <t>José Efraín</t>
  </si>
  <si>
    <t>Mora Mora</t>
  </si>
  <si>
    <t>25465648</t>
  </si>
  <si>
    <t>000867</t>
  </si>
  <si>
    <t>Los Picado</t>
  </si>
  <si>
    <t>1,5 km de cementerio de San Isidro</t>
  </si>
  <si>
    <t>0303340720</t>
  </si>
  <si>
    <t>Armando</t>
  </si>
  <si>
    <t>Bonilla Alvarado</t>
  </si>
  <si>
    <t>88125296</t>
  </si>
  <si>
    <t>000879</t>
  </si>
  <si>
    <t>LOS PRADO</t>
  </si>
  <si>
    <t>500 MTS OESTE DEL TEMPLO CATOLICO</t>
  </si>
  <si>
    <t>1027600001</t>
  </si>
  <si>
    <t>CLEMENCIA</t>
  </si>
  <si>
    <t>BONILLA MENA</t>
  </si>
  <si>
    <t>000898</t>
  </si>
  <si>
    <t xml:space="preserve">300 METROS ESTE DE COOPELLANO BONITO </t>
  </si>
  <si>
    <t>1056709270</t>
  </si>
  <si>
    <t>25467734</t>
  </si>
  <si>
    <t>000462</t>
  </si>
  <si>
    <t>100 METROS ESTE DE LA OFICINA DE VOLCAFE</t>
  </si>
  <si>
    <t>0103270334</t>
  </si>
  <si>
    <t>ARAYA SANCHEZ</t>
  </si>
  <si>
    <t>84030776</t>
  </si>
  <si>
    <t>000842</t>
  </si>
  <si>
    <t>300 METROS NORESTE Y 250 METROS ESTE DE LA PLAZA DE DEPORTES CARRIZAL, SECTOR CAMINO VIEJO</t>
  </si>
  <si>
    <t>0115140389</t>
  </si>
  <si>
    <t>JUDITH</t>
  </si>
  <si>
    <t>CHAVARRIA TORRES</t>
  </si>
  <si>
    <t>84660647</t>
  </si>
  <si>
    <t>000843</t>
  </si>
  <si>
    <t>DEL EBAIS 100 METROS SUR Y 100 METROS ESTE</t>
  </si>
  <si>
    <t>0106270106</t>
  </si>
  <si>
    <t>ARIAS PORRAS</t>
  </si>
  <si>
    <t>86337587</t>
  </si>
  <si>
    <t>000844</t>
  </si>
  <si>
    <t>200 METROS NORESTE DE LA PLAZA DE CARRIZAL</t>
  </si>
  <si>
    <t>155813313005</t>
  </si>
  <si>
    <t>ADRIAN</t>
  </si>
  <si>
    <t>GONZALEZ MARTINEZ</t>
  </si>
  <si>
    <t>83858936</t>
  </si>
  <si>
    <t>000845</t>
  </si>
  <si>
    <t>PADRE PIO</t>
  </si>
  <si>
    <t>100 METROS ESTE DE LAS OFICINAS DEL VOLCAFE</t>
  </si>
  <si>
    <t>0104310511</t>
  </si>
  <si>
    <t>MAYELA</t>
  </si>
  <si>
    <t>25463952</t>
  </si>
  <si>
    <t>000859</t>
  </si>
  <si>
    <t>El Estadio</t>
  </si>
  <si>
    <t>300 metrosnoroeste del taller Acord, barrio El Estadio</t>
  </si>
  <si>
    <t>0303560551</t>
  </si>
  <si>
    <t>Carlos</t>
  </si>
  <si>
    <t>Cordero Mora</t>
  </si>
  <si>
    <t>84258716</t>
  </si>
  <si>
    <t>000861</t>
  </si>
  <si>
    <t>Finca La Florida, 200 metros norte de la entrada del acueducto de San Pablo</t>
  </si>
  <si>
    <t>0105150961</t>
  </si>
  <si>
    <t>Rigoberto</t>
  </si>
  <si>
    <t>Quesada Navarro</t>
  </si>
  <si>
    <t>85485063</t>
  </si>
  <si>
    <t>000862</t>
  </si>
  <si>
    <t>La virgen</t>
  </si>
  <si>
    <t>Finca La Florida, 200 metros norte de la entrada del Acueducto de San Pablo</t>
  </si>
  <si>
    <t>0401100221</t>
  </si>
  <si>
    <t>Enrique</t>
  </si>
  <si>
    <t>Vindas Meza</t>
  </si>
  <si>
    <t>000863</t>
  </si>
  <si>
    <t>Calle San Luis</t>
  </si>
  <si>
    <t>250 metros este del cementerio de Llano Bonito</t>
  </si>
  <si>
    <t>0113380280</t>
  </si>
  <si>
    <t>Cecilia María</t>
  </si>
  <si>
    <t>Mora Robles</t>
  </si>
  <si>
    <t>88481332</t>
  </si>
  <si>
    <t>000864</t>
  </si>
  <si>
    <t>300 mts este de beneficio Coopetarrazú</t>
  </si>
  <si>
    <t>0111710825</t>
  </si>
  <si>
    <t>José</t>
  </si>
  <si>
    <t>Cabalceta Sánchez</t>
  </si>
  <si>
    <t>84385490</t>
  </si>
  <si>
    <t>000865</t>
  </si>
  <si>
    <t>300 metros este beneficio Coopetarrazú</t>
  </si>
  <si>
    <t>0900970166</t>
  </si>
  <si>
    <t>Xinia</t>
  </si>
  <si>
    <t>Jiménez Castillo</t>
  </si>
  <si>
    <t>85422474</t>
  </si>
  <si>
    <t>000866</t>
  </si>
  <si>
    <t>0113170003</t>
  </si>
  <si>
    <t>Marcela Johana</t>
  </si>
  <si>
    <t>000871</t>
  </si>
  <si>
    <t>300 METROS ESTE DEL RECIBIDOR DE COOPETARRAZU</t>
  </si>
  <si>
    <t>6025305530</t>
  </si>
  <si>
    <t>ALFARO CHAVEZ</t>
  </si>
  <si>
    <t>84123806</t>
  </si>
  <si>
    <t>000872</t>
  </si>
  <si>
    <t>300 ESTE DEL RECIBIDOR DE COOPETARRAZU</t>
  </si>
  <si>
    <t>1144704280</t>
  </si>
  <si>
    <t>MAILYN</t>
  </si>
  <si>
    <t>ALFARO CHAVES</t>
  </si>
  <si>
    <t>84526678</t>
  </si>
  <si>
    <t>000873</t>
  </si>
  <si>
    <t>300 METROS SUR DEL RECIBIDOR DE COOPETARRAZU</t>
  </si>
  <si>
    <t>9009704360</t>
  </si>
  <si>
    <t>MARIA DE LOS ANGELES</t>
  </si>
  <si>
    <t xml:space="preserve">SANCHEZ AGUILAR </t>
  </si>
  <si>
    <t>86395488</t>
  </si>
  <si>
    <t>000874</t>
  </si>
  <si>
    <t xml:space="preserve">200 METROS ESTE PULPERIA EL PELON </t>
  </si>
  <si>
    <t>1062602480</t>
  </si>
  <si>
    <t>JUAN RAFAEL</t>
  </si>
  <si>
    <t>OLIVARES</t>
  </si>
  <si>
    <t>89884587</t>
  </si>
  <si>
    <t>000875</t>
  </si>
  <si>
    <t>200 METROS ESTE PULPERIA EL PELON</t>
  </si>
  <si>
    <t>1064904860</t>
  </si>
  <si>
    <t>MARIA MAYELA</t>
  </si>
  <si>
    <t>MENDEZ ARIAS</t>
  </si>
  <si>
    <t>84512343</t>
  </si>
  <si>
    <t>000877</t>
  </si>
  <si>
    <t>1029500400</t>
  </si>
  <si>
    <t>ROSARIO</t>
  </si>
  <si>
    <t>VALVERDE ORTIZ</t>
  </si>
  <si>
    <t>61032651</t>
  </si>
  <si>
    <t>000878</t>
  </si>
  <si>
    <t>350 MTS ESTE DEL RECIBIDOR DE COOPETARRAZU</t>
  </si>
  <si>
    <t>3044404190</t>
  </si>
  <si>
    <t>CRLOS ALBERTO</t>
  </si>
  <si>
    <t>VEGA AGUERO</t>
  </si>
  <si>
    <t>63877464</t>
  </si>
  <si>
    <t>000881</t>
  </si>
  <si>
    <t xml:space="preserve">300 MTS NORESTE RECIBIDOR COOPETARRAZU </t>
  </si>
  <si>
    <t>1062003100</t>
  </si>
  <si>
    <t xml:space="preserve">UREÑA ROBLES </t>
  </si>
  <si>
    <t>83014654</t>
  </si>
  <si>
    <t>000887</t>
  </si>
  <si>
    <t>SAN PABLO</t>
  </si>
  <si>
    <t>100 NORTE Y 50 OESTE DEL CEMENTERIO</t>
  </si>
  <si>
    <t>3033403620</t>
  </si>
  <si>
    <t>CARLOS FABIAN</t>
  </si>
  <si>
    <t>BLANCO MENDEZ</t>
  </si>
  <si>
    <t>83496633</t>
  </si>
  <si>
    <t>000889</t>
  </si>
  <si>
    <t>SAN MIGUEL</t>
  </si>
  <si>
    <t>300 ESTE Y 200 SUR DE ESTADIO DE SAN PABLO</t>
  </si>
  <si>
    <t>1066679500</t>
  </si>
  <si>
    <t>MARIA ISABEL</t>
  </si>
  <si>
    <t>SERRANO MENDEZ</t>
  </si>
  <si>
    <t>84899540</t>
  </si>
  <si>
    <t>000891</t>
  </si>
  <si>
    <t xml:space="preserve">300 OESTE Y 200 SUR DEL ESTADIO </t>
  </si>
  <si>
    <t>3043602530</t>
  </si>
  <si>
    <t>LEIDY</t>
  </si>
  <si>
    <t xml:space="preserve">MADRIGAL BLANCO </t>
  </si>
  <si>
    <t>86445019</t>
  </si>
  <si>
    <t>000892</t>
  </si>
  <si>
    <t>EL ESTADIO</t>
  </si>
  <si>
    <t>100 METROS ESTE DEL ANTIGUO TELEFONO PUBLICO</t>
  </si>
  <si>
    <t>1069204600</t>
  </si>
  <si>
    <t>MARY LIGIA</t>
  </si>
  <si>
    <t>VEGA MARIN</t>
  </si>
  <si>
    <t>89206051</t>
  </si>
  <si>
    <t>000893</t>
  </si>
  <si>
    <t xml:space="preserve">EL ESTADIO </t>
  </si>
  <si>
    <t xml:space="preserve">100 METROS OESTE DE LOS ANTIGUOS TELEFONOS PUBLICOS </t>
  </si>
  <si>
    <t>3045608830</t>
  </si>
  <si>
    <t>NAZARETH</t>
  </si>
  <si>
    <t xml:space="preserve">VEGA MARIN </t>
  </si>
  <si>
    <t>25465235</t>
  </si>
  <si>
    <t>000895</t>
  </si>
  <si>
    <t xml:space="preserve">600 OESTE HACIA CAMINO VIEJO LA MAQUINA </t>
  </si>
  <si>
    <t>6024040300</t>
  </si>
  <si>
    <t>JUANA JULIA</t>
  </si>
  <si>
    <t>MARTINEZ OPORTA</t>
  </si>
  <si>
    <t>83263153</t>
  </si>
  <si>
    <t>000855</t>
  </si>
  <si>
    <t>500 metros este del EBAIS, sector los Vargas</t>
  </si>
  <si>
    <t>0303870722</t>
  </si>
  <si>
    <t>Viviana</t>
  </si>
  <si>
    <t>Gamboa Jiménez</t>
  </si>
  <si>
    <t>83789934</t>
  </si>
  <si>
    <t>000856</t>
  </si>
  <si>
    <t>500 metros sur de la plaza de deportes</t>
  </si>
  <si>
    <t>0106720846</t>
  </si>
  <si>
    <t>Sonia</t>
  </si>
  <si>
    <t>Fuentes Ureña</t>
  </si>
  <si>
    <t>86730661</t>
  </si>
  <si>
    <t>000857</t>
  </si>
  <si>
    <t>Donde los Nardos</t>
  </si>
  <si>
    <t>300 metros sur de la iglesia</t>
  </si>
  <si>
    <t>0104140008</t>
  </si>
  <si>
    <t>Calvo Cordero</t>
  </si>
  <si>
    <t>83714730</t>
  </si>
  <si>
    <t>000858</t>
  </si>
  <si>
    <t>50 metros sur y 150 metros oeste de la iglesia.</t>
  </si>
  <si>
    <t>0304420457</t>
  </si>
  <si>
    <t>Jesús Felipe</t>
  </si>
  <si>
    <t>Jiménez Gamboa</t>
  </si>
  <si>
    <t>83287642</t>
  </si>
  <si>
    <t>000860</t>
  </si>
  <si>
    <t>1 km al noroeste de la escuela El Cedral</t>
  </si>
  <si>
    <t>0303210373</t>
  </si>
  <si>
    <t>Martín</t>
  </si>
  <si>
    <t>Navarro Jiménez</t>
  </si>
  <si>
    <t>87611414</t>
  </si>
  <si>
    <t>000890</t>
  </si>
  <si>
    <t>LA LUCHA</t>
  </si>
  <si>
    <t>500 NOROESTE DE LA ESCUELA CECILIA ORLICH FIGUERES</t>
  </si>
  <si>
    <t>3018909840</t>
  </si>
  <si>
    <t>ELADIO GERARDO</t>
  </si>
  <si>
    <t>HIDALGO FONSECA</t>
  </si>
  <si>
    <t>87765704</t>
  </si>
  <si>
    <t>000896</t>
  </si>
  <si>
    <t xml:space="preserve">SECTOR LOS VARGAS </t>
  </si>
  <si>
    <t>1 KM SUR DE LA ESCUELA DE SAN MARTIN CAMINO SANTA CRUZ</t>
  </si>
  <si>
    <t>3044202330</t>
  </si>
  <si>
    <t xml:space="preserve">YOLANDA </t>
  </si>
  <si>
    <t>ROMERO FALLAS</t>
  </si>
  <si>
    <t>86119860</t>
  </si>
  <si>
    <t>002518</t>
  </si>
  <si>
    <t>El Piñal</t>
  </si>
  <si>
    <t>800 Sur del Depósito La Granja</t>
  </si>
  <si>
    <t>0101800387</t>
  </si>
  <si>
    <t xml:space="preserve">Santos </t>
  </si>
  <si>
    <t>Parra Mena</t>
  </si>
  <si>
    <t>70996528</t>
  </si>
  <si>
    <t>002519</t>
  </si>
  <si>
    <t>Tirufres</t>
  </si>
  <si>
    <t>300 N. de la escuela de Tirufres, sobre calle principal</t>
  </si>
  <si>
    <t>0103770944</t>
  </si>
  <si>
    <t>Elia</t>
  </si>
  <si>
    <t>Rojas Chavarria</t>
  </si>
  <si>
    <t>87354553</t>
  </si>
  <si>
    <t>002522</t>
  </si>
  <si>
    <t>Altos de San Rafael</t>
  </si>
  <si>
    <t>200 E de la Escuela hacia el Bajo Los Rodríguez
Telefono: 64693624</t>
  </si>
  <si>
    <t>Efrain Isaias</t>
  </si>
  <si>
    <t>Acuña Amador</t>
  </si>
  <si>
    <t>62457572</t>
  </si>
  <si>
    <t>002523</t>
  </si>
  <si>
    <t>200 E de la Escuela, camino hacia Los Rodríguez</t>
  </si>
  <si>
    <t xml:space="preserve">Roberto Salomón </t>
  </si>
  <si>
    <t>Cruz Reyes</t>
  </si>
  <si>
    <t>60104567</t>
  </si>
  <si>
    <t>002524</t>
  </si>
  <si>
    <t>200 E. de la Escuela, hacia Bajo Los rodríguez</t>
  </si>
  <si>
    <t>0106890384</t>
  </si>
  <si>
    <t xml:space="preserve">Melida Rocío </t>
  </si>
  <si>
    <t>Fernandez Sosa</t>
  </si>
  <si>
    <t>88101439</t>
  </si>
  <si>
    <t>002525</t>
  </si>
  <si>
    <t>200E. de la Escuela, hacia Bajo Los Rodriguez</t>
  </si>
  <si>
    <t>Job Ezequiel</t>
  </si>
  <si>
    <t>Orozco Mayorga</t>
  </si>
  <si>
    <t>002526</t>
  </si>
  <si>
    <t>200 E. de la Escuela, hacia Bajo Los Rodriguez</t>
  </si>
  <si>
    <t>0801110214</t>
  </si>
  <si>
    <t>Juan Camilo</t>
  </si>
  <si>
    <t>Arango Ramírez</t>
  </si>
  <si>
    <t>002520</t>
  </si>
  <si>
    <t>Morado</t>
  </si>
  <si>
    <t>Del Bar Los Titanes, entrada de cemento a la derecha, al final  de la calle</t>
  </si>
  <si>
    <t>0112750930</t>
  </si>
  <si>
    <t>Silvia</t>
  </si>
  <si>
    <t>Montoya Calvo</t>
  </si>
  <si>
    <t>84005669</t>
  </si>
  <si>
    <t>002521</t>
  </si>
  <si>
    <t>Calle Marín, última casa</t>
  </si>
  <si>
    <t>0111540299</t>
  </si>
  <si>
    <t>Freddy</t>
  </si>
  <si>
    <t>Vargas Mena</t>
  </si>
  <si>
    <t>60354849</t>
  </si>
  <si>
    <t>001461</t>
  </si>
  <si>
    <t>LAS LAGUNAS</t>
  </si>
  <si>
    <t>DE LA PULPERIA MALI 400 SUR AL MARGEN IZQUIERDO, CONTIGUO A LA QUEBRADA CASA DE FIBROLIT COLOR VINO CON AMARILLO</t>
  </si>
  <si>
    <t>0601990473</t>
  </si>
  <si>
    <t>AMANDA</t>
  </si>
  <si>
    <t>DAVILA SOLANO</t>
  </si>
  <si>
    <t>87538674</t>
  </si>
  <si>
    <t>001467</t>
  </si>
  <si>
    <t>FINCA MUNICIPAL</t>
  </si>
  <si>
    <t>100 ESTE DEL PORTON DE LA FINCA MUNICIPAL. AL MARGEN DERECHO CONTIGUO AL PUENTE. CASA CON TAPIA COLOR TERRACOTA Y PORTON CAFE</t>
  </si>
  <si>
    <t>1137605140</t>
  </si>
  <si>
    <t>VINDAS CASTRO</t>
  </si>
  <si>
    <t>85570963</t>
  </si>
  <si>
    <t>001469</t>
  </si>
  <si>
    <t>PINAR DEL RIO</t>
  </si>
  <si>
    <t>FRENTE A LA PLAZA DE DEPORTES, CONTIGUO AL PUENTE, CASA DE ZOCALO, COLOR BLANCO CON ROSADO</t>
  </si>
  <si>
    <t>0502280977</t>
  </si>
  <si>
    <t>MARIA VICTORIA</t>
  </si>
  <si>
    <t>ARGUELLO PICADO</t>
  </si>
  <si>
    <t>62515560</t>
  </si>
  <si>
    <t>001706</t>
  </si>
  <si>
    <t>Palmas del Coco</t>
  </si>
  <si>
    <t>Río seco, contiguo al puente negro, casa verde</t>
  </si>
  <si>
    <t>David</t>
  </si>
  <si>
    <t>Venegas Naranjo</t>
  </si>
  <si>
    <t>87446977</t>
  </si>
  <si>
    <t>001707</t>
  </si>
  <si>
    <t>Del taller Garita 4ta casa a mano derehca</t>
  </si>
  <si>
    <t>0301560316</t>
  </si>
  <si>
    <t>Abel</t>
  </si>
  <si>
    <t>Abarca Segura</t>
  </si>
  <si>
    <t>86339403</t>
  </si>
  <si>
    <t>001709</t>
  </si>
  <si>
    <t>Aurora</t>
  </si>
  <si>
    <t>Contiguo a la Escuela La Aurora, detrás de la pulpería</t>
  </si>
  <si>
    <t>0105330410</t>
  </si>
  <si>
    <t xml:space="preserve">Katherine </t>
  </si>
  <si>
    <t>Hernández Solís</t>
  </si>
  <si>
    <t>86716486</t>
  </si>
  <si>
    <t>001710</t>
  </si>
  <si>
    <t>La Aurora</t>
  </si>
  <si>
    <t>Contiguo a la Escuela La Aurora detrás de la pulpería</t>
  </si>
  <si>
    <t>0104940307</t>
  </si>
  <si>
    <t xml:space="preserve">Marielos </t>
  </si>
  <si>
    <t>Fallas Ureña</t>
  </si>
  <si>
    <t>1733</t>
  </si>
  <si>
    <t>de la escuela 200 m norte, casa de zócalo color negro con mostaza al margen derecho, contiguo al puente</t>
  </si>
  <si>
    <t>0105230655</t>
  </si>
  <si>
    <t>Omar</t>
  </si>
  <si>
    <t>Fernández Fonseca</t>
  </si>
  <si>
    <t>27719616</t>
  </si>
  <si>
    <t>1734</t>
  </si>
  <si>
    <t>Palma Coco</t>
  </si>
  <si>
    <t>Del Abastecedor Palma Cocos 300 m sur camino a Peñas Blancas, al margen izquierdo casa de zócalo color naranja, última casa</t>
  </si>
  <si>
    <t>0201830917</t>
  </si>
  <si>
    <t>Evadina</t>
  </si>
  <si>
    <t>Fonseca Ovares</t>
  </si>
  <si>
    <t>70076916</t>
  </si>
  <si>
    <t>1735</t>
  </si>
  <si>
    <t>Del Abastecedor Palmas del Coco 300 m sur camino a Peñas Blancas, al margen izquierdo, casa de zócalo color café</t>
  </si>
  <si>
    <t>0105210195</t>
  </si>
  <si>
    <t>Cambronero Fonseca</t>
  </si>
  <si>
    <t>70076919</t>
  </si>
  <si>
    <t>1736</t>
  </si>
  <si>
    <t>Palma de Coco</t>
  </si>
  <si>
    <t>Del abastecedor Palma de Coco 300 m sur camino a Peñas Blancas, al margen izquierdo casa de zócalo sin pintar al final de la calle.</t>
  </si>
  <si>
    <t>0106160862</t>
  </si>
  <si>
    <t>1737</t>
  </si>
  <si>
    <t>Piñar del Río</t>
  </si>
  <si>
    <t>Contiguo al puente al margen izquierdo casa de zócalo colo blanca</t>
  </si>
  <si>
    <t>0105290360</t>
  </si>
  <si>
    <t>Norma</t>
  </si>
  <si>
    <t>Arias Mena</t>
  </si>
  <si>
    <t>85256473</t>
  </si>
  <si>
    <t>002174</t>
  </si>
  <si>
    <t>BARRIO LOS ANGELES</t>
  </si>
  <si>
    <t xml:space="preserve">CALLE 7, 300 SUR Y 50 OESTE, CONTIGUO A LA PULPERIA EL RECUERDO </t>
  </si>
  <si>
    <t>0111230056</t>
  </si>
  <si>
    <t>EVELYN MAYELA</t>
  </si>
  <si>
    <t>SANCHEZ OROZCO</t>
  </si>
  <si>
    <t>88646205</t>
  </si>
  <si>
    <t>002305</t>
  </si>
  <si>
    <t>BARRIO LA LUCHA, 800 MTS ESTE Y 150 NORTE DE LA UNA , CALLE MONTELIMAR</t>
  </si>
  <si>
    <t>1135306690</t>
  </si>
  <si>
    <t>ALEJANDRO</t>
  </si>
  <si>
    <t>HIDALGO ARIAS</t>
  </si>
  <si>
    <t>88596965</t>
  </si>
  <si>
    <t>002309</t>
  </si>
  <si>
    <t>LA LUCHA CALLE MONTELIMAR, SEGUNDA ENTRADA A LA IZQUIERDA</t>
  </si>
  <si>
    <t>0114210097</t>
  </si>
  <si>
    <t>CHAVARRIA FALLAS</t>
  </si>
  <si>
    <t>87897824</t>
  </si>
  <si>
    <t>002311</t>
  </si>
  <si>
    <t xml:space="preserve">CONCEPCION </t>
  </si>
  <si>
    <t>CONCEPCION, 300 MTS SUROESTE DE LA ESCUELA</t>
  </si>
  <si>
    <t>0106660444</t>
  </si>
  <si>
    <t>IVAN</t>
  </si>
  <si>
    <t>QUESADA NAVARRO</t>
  </si>
  <si>
    <t>86753133</t>
  </si>
  <si>
    <t>002328</t>
  </si>
  <si>
    <t>de la antigua plaza del pinar 125 m noroeste, al margen izquierdo</t>
  </si>
  <si>
    <t>0203160653</t>
  </si>
  <si>
    <t>Geovanny</t>
  </si>
  <si>
    <t>Nuñez Vasquez</t>
  </si>
  <si>
    <t>61451893</t>
  </si>
  <si>
    <t>002329</t>
  </si>
  <si>
    <t>pinar del río</t>
  </si>
  <si>
    <t>De la antigua plaza de futbol 125 metros noroeste al margen izquirdo</t>
  </si>
  <si>
    <t>0105030629</t>
  </si>
  <si>
    <t xml:space="preserve">Luis Orlando </t>
  </si>
  <si>
    <t>Sanchez Arias</t>
  </si>
  <si>
    <t>62456303</t>
  </si>
  <si>
    <t>002330</t>
  </si>
  <si>
    <t>pinar del rio</t>
  </si>
  <si>
    <t>de la antigua plaza de futbol 125 m noroeste al margin izquierdo</t>
  </si>
  <si>
    <t>0110530680</t>
  </si>
  <si>
    <t xml:space="preserve">Daniel </t>
  </si>
  <si>
    <t xml:space="preserve">Sanchez Arrieta </t>
  </si>
  <si>
    <t>64157015</t>
  </si>
  <si>
    <t>002331</t>
  </si>
  <si>
    <t>de la antigua plaza de futbol 125 noroeste al margen izquirdo</t>
  </si>
  <si>
    <t>0111680972</t>
  </si>
  <si>
    <t xml:space="preserve">Alejandro </t>
  </si>
  <si>
    <t>Sanchez Aririeta</t>
  </si>
  <si>
    <t>64247496</t>
  </si>
  <si>
    <t>002332</t>
  </si>
  <si>
    <t>De la antigua plaza de futbol</t>
  </si>
  <si>
    <t>0113100521</t>
  </si>
  <si>
    <t>Jessica</t>
  </si>
  <si>
    <t>Sanchez Arrieta</t>
  </si>
  <si>
    <t>62970664</t>
  </si>
  <si>
    <t>002333</t>
  </si>
  <si>
    <t xml:space="preserve">Pinar del Río </t>
  </si>
  <si>
    <t>De la antigua plaza de futbol 125 metros noroeste, al margen izquirdo</t>
  </si>
  <si>
    <t>0104520121</t>
  </si>
  <si>
    <t>Rodrigo</t>
  </si>
  <si>
    <t>Sanchez Mora</t>
  </si>
  <si>
    <t>002334</t>
  </si>
  <si>
    <t>De la antigua Plaza de futbol, 125 metros noroeste</t>
  </si>
  <si>
    <t>0105040974</t>
  </si>
  <si>
    <t>José Antonio</t>
  </si>
  <si>
    <t>64528025</t>
  </si>
  <si>
    <t>002335</t>
  </si>
  <si>
    <t xml:space="preserve">De la antigua plaza de futbol, 150 metros noroeste, al margen izquirdo </t>
  </si>
  <si>
    <t>0101010989</t>
  </si>
  <si>
    <t>Geovany</t>
  </si>
  <si>
    <t>Mendez Arias</t>
  </si>
  <si>
    <t>84070144</t>
  </si>
  <si>
    <t>002336</t>
  </si>
  <si>
    <t>Pinar del Rio</t>
  </si>
  <si>
    <t xml:space="preserve"> De la antigua plaza de futbol 200 metros nororeste, al margen izquierdo</t>
  </si>
  <si>
    <t>0203930851</t>
  </si>
  <si>
    <t xml:space="preserve">Juan Luis </t>
  </si>
  <si>
    <t>Castro Fonseca</t>
  </si>
  <si>
    <t>60756221</t>
  </si>
  <si>
    <t>002337</t>
  </si>
  <si>
    <t>De la antigua plaza de futbol, 200 metros noroeste, al margen izquierdo</t>
  </si>
  <si>
    <t>121400186433</t>
  </si>
  <si>
    <t>Felix Domingo</t>
  </si>
  <si>
    <t>Fajardo Jaques</t>
  </si>
  <si>
    <t>60907484</t>
  </si>
  <si>
    <t>002357</t>
  </si>
  <si>
    <t>QUEBRADA HONDA</t>
  </si>
  <si>
    <t>300 ESTE Y 300 SUR DE ESCUELA QUEBRADA HONDA CALLE CHALIO</t>
  </si>
  <si>
    <t>0115280318</t>
  </si>
  <si>
    <t>HIDALGO GARRO</t>
  </si>
  <si>
    <t>87623732</t>
  </si>
  <si>
    <t>002358</t>
  </si>
  <si>
    <t>LOS REYES, 150 SUR DEL BAR LOS CRIOLLOS</t>
  </si>
  <si>
    <t>0106240249</t>
  </si>
  <si>
    <t>RAFAEL</t>
  </si>
  <si>
    <t>FALLAS SANDI</t>
  </si>
  <si>
    <t>83365633</t>
  </si>
  <si>
    <t>002361</t>
  </si>
  <si>
    <t>QUEBRADA ONDA, CABINAS CHOZA 800 MTS OESTE</t>
  </si>
  <si>
    <t>0104290730</t>
  </si>
  <si>
    <t>JOSE ANGEL</t>
  </si>
  <si>
    <t>BEITA UMAÑA</t>
  </si>
  <si>
    <t>27718798</t>
  </si>
  <si>
    <t>EDUARDO</t>
  </si>
  <si>
    <t>BEITA UREÑA</t>
  </si>
  <si>
    <t>001705</t>
  </si>
  <si>
    <t>La Linda</t>
  </si>
  <si>
    <t>De la entrada a la Linda 700 mts al Este sobre cuesta encementada casa mano izquierda.</t>
  </si>
  <si>
    <t>0108070168</t>
  </si>
  <si>
    <t>Melvin</t>
  </si>
  <si>
    <t>Arguedas Cordero</t>
  </si>
  <si>
    <t>86654689</t>
  </si>
  <si>
    <t>001699</t>
  </si>
  <si>
    <t>Matasanos</t>
  </si>
  <si>
    <t>300 metros noreste de la escuela de matasanos</t>
  </si>
  <si>
    <t>0111900682</t>
  </si>
  <si>
    <t>Mario</t>
  </si>
  <si>
    <t>Solano Zúñiga</t>
  </si>
  <si>
    <t>87288022</t>
  </si>
  <si>
    <t>001700</t>
  </si>
  <si>
    <t>San Ramón N.</t>
  </si>
  <si>
    <t>500 metros este de la escuela de San Ramón Norte</t>
  </si>
  <si>
    <t>0104900542</t>
  </si>
  <si>
    <t>Barahona Carvajal</t>
  </si>
  <si>
    <t>27705544</t>
  </si>
  <si>
    <t>002182</t>
  </si>
  <si>
    <t>50 NOROESTE DE LA ESCUELA DE LAS DELICIAS</t>
  </si>
  <si>
    <t>0105830294</t>
  </si>
  <si>
    <t xml:space="preserve">JOSE </t>
  </si>
  <si>
    <t>BARRANTES NAVARRO</t>
  </si>
  <si>
    <t>86040783</t>
  </si>
  <si>
    <t>002173</t>
  </si>
  <si>
    <t>MOLLEJON</t>
  </si>
  <si>
    <t>DEL SUPER EL CRUCE 300 METROS AL SUR, CASA M DESECH POSADA</t>
  </si>
  <si>
    <t>0106170841</t>
  </si>
  <si>
    <t>FLOR</t>
  </si>
  <si>
    <t>MUÑOZ QUESADA</t>
  </si>
  <si>
    <t>002184</t>
  </si>
  <si>
    <t>1 KM 400 METROS DEL CEMENTERIO DE SAN PABLO, CARRETERA PEJIBAYE</t>
  </si>
  <si>
    <t>0107210095</t>
  </si>
  <si>
    <t xml:space="preserve">MARIA ROSA </t>
  </si>
  <si>
    <t>MOYA TENCIO</t>
  </si>
  <si>
    <t>88058599</t>
  </si>
  <si>
    <t>002307</t>
  </si>
  <si>
    <t>150 METROS OESTE DEL SUPERMERCADO LA CURVA</t>
  </si>
  <si>
    <t>1122407420</t>
  </si>
  <si>
    <t>YENDRY</t>
  </si>
  <si>
    <t>PALACIOS VILLALOBOS</t>
  </si>
  <si>
    <t>84093518</t>
  </si>
  <si>
    <t>002310</t>
  </si>
  <si>
    <t>MOLLEJONES</t>
  </si>
  <si>
    <t>1 KM AL SUR DEL SUPERMERCADO CRUCE MOLLEJONES</t>
  </si>
  <si>
    <t>002313</t>
  </si>
  <si>
    <t>1400 METROS DEL CEMENTERIO DE SAN PABLO CARRETERA PEJIBAYE</t>
  </si>
  <si>
    <t>0106640477</t>
  </si>
  <si>
    <t>EUGENIA</t>
  </si>
  <si>
    <t>002359</t>
  </si>
  <si>
    <t>1 KM NOROESTE DE ESCUELA DE MOLLEJONES</t>
  </si>
  <si>
    <t>0108110490</t>
  </si>
  <si>
    <t>WILBERT</t>
  </si>
  <si>
    <t>SUARES CASTRO</t>
  </si>
  <si>
    <t>83932298</t>
  </si>
  <si>
    <t>002326</t>
  </si>
  <si>
    <t>De la escuela 400 metros norte 100 m este y 300 m sobre la pasarela a margen izquierda.</t>
  </si>
  <si>
    <t>0106940938</t>
  </si>
  <si>
    <t>Hugo</t>
  </si>
  <si>
    <t>Quirós Ceciliano</t>
  </si>
  <si>
    <t>83883189</t>
  </si>
  <si>
    <t>001424</t>
  </si>
  <si>
    <t>PEDREGOSO</t>
  </si>
  <si>
    <t>DEL CRUCE DE SAN RAMON 150 HACIA SAN RAMON, FRENTE A RESIDENCIAL RODRIGUEZ SEGUNDA ENTRADA A MANO IZQUIERDA</t>
  </si>
  <si>
    <t>0193306790</t>
  </si>
  <si>
    <t>JOSE</t>
  </si>
  <si>
    <t>GARCIA RAMIREZ</t>
  </si>
  <si>
    <t>61020724</t>
  </si>
  <si>
    <t>001470</t>
  </si>
  <si>
    <t>LA CENIZA</t>
  </si>
  <si>
    <t>CONTIGUO AL BAR EL CARACOL</t>
  </si>
  <si>
    <t>0109230946</t>
  </si>
  <si>
    <t>OLMAN</t>
  </si>
  <si>
    <t xml:space="preserve">MARIN ELIZONDO </t>
  </si>
  <si>
    <t>64652451</t>
  </si>
  <si>
    <t>001682</t>
  </si>
  <si>
    <t xml:space="preserve">100 NORTE 50 OESTE Y 100 SUR DE LA PLAZA DE DEPORTES </t>
  </si>
  <si>
    <t>5013209600</t>
  </si>
  <si>
    <t xml:space="preserve">JUANITA  </t>
  </si>
  <si>
    <t xml:space="preserve">ALVARADO LEON </t>
  </si>
  <si>
    <t>87127757</t>
  </si>
  <si>
    <t>001683</t>
  </si>
  <si>
    <t xml:space="preserve">50 NORTE 80 OESTE 50 SUR DE LA PLAZA </t>
  </si>
  <si>
    <t xml:space="preserve">ROLANDO </t>
  </si>
  <si>
    <t xml:space="preserve">TORRES ARROYO </t>
  </si>
  <si>
    <t>84184066</t>
  </si>
  <si>
    <t>001684</t>
  </si>
  <si>
    <t xml:space="preserve">QUEBRADA </t>
  </si>
  <si>
    <t xml:space="preserve">1,300 METROS NOROESTE DE LA ANTIGUA IGLESIA QUEBRADA </t>
  </si>
  <si>
    <t>1126906070</t>
  </si>
  <si>
    <t xml:space="preserve">DEYSSLES JESUS </t>
  </si>
  <si>
    <t xml:space="preserve">MORALES FALLAS </t>
  </si>
  <si>
    <t>85967752</t>
  </si>
  <si>
    <t>001685</t>
  </si>
  <si>
    <t xml:space="preserve">CAMINO VUDEBIAL </t>
  </si>
  <si>
    <t xml:space="preserve">50 SUROESTE DE LA PULPERIA LA CABUYERA CAMINO VUDEBIAL </t>
  </si>
  <si>
    <t>1024307720</t>
  </si>
  <si>
    <t xml:space="preserve">ARNOLDO </t>
  </si>
  <si>
    <t xml:space="preserve">GRANADOS PADILLA </t>
  </si>
  <si>
    <t>27704772</t>
  </si>
  <si>
    <t>001686</t>
  </si>
  <si>
    <t xml:space="preserve">4 K NORTE DE ESCUELA QUEBRADA </t>
  </si>
  <si>
    <t>1040005690</t>
  </si>
  <si>
    <t xml:space="preserve">JESUS </t>
  </si>
  <si>
    <t xml:space="preserve">MORA ORTEGA </t>
  </si>
  <si>
    <t>85740852</t>
  </si>
  <si>
    <t>001687</t>
  </si>
  <si>
    <t xml:space="preserve">PUEBLO NUEVO </t>
  </si>
  <si>
    <t xml:space="preserve">FRENTE A LA ESCUELA DE PUEBLO NUEVO DE RIVAS </t>
  </si>
  <si>
    <t>1027406560</t>
  </si>
  <si>
    <t>TULIO RAFAEL</t>
  </si>
  <si>
    <t xml:space="preserve">UREÑA HIDALGO </t>
  </si>
  <si>
    <t>17701474</t>
  </si>
  <si>
    <t>001688</t>
  </si>
  <si>
    <t xml:space="preserve">MIRAFLORES </t>
  </si>
  <si>
    <t xml:space="preserve">250 NORTE DE LA IGLESIA CATOLICA DE MIRAFLORES </t>
  </si>
  <si>
    <t xml:space="preserve">ADELINA </t>
  </si>
  <si>
    <t xml:space="preserve">CORDERO VILLANUEVA </t>
  </si>
  <si>
    <t>83371477</t>
  </si>
  <si>
    <t>001689</t>
  </si>
  <si>
    <t xml:space="preserve">300 SUR DE LA PLAZA DE FUTBOL DE SAN MARTIN </t>
  </si>
  <si>
    <t>1048206050</t>
  </si>
  <si>
    <t xml:space="preserve">MARIA EUGENIA </t>
  </si>
  <si>
    <t xml:space="preserve">ROJAS SIBAJA </t>
  </si>
  <si>
    <t>84181988</t>
  </si>
  <si>
    <t>001690</t>
  </si>
  <si>
    <t xml:space="preserve">LA LINDA </t>
  </si>
  <si>
    <t xml:space="preserve">800 ESTE DE SUPER EL GENERAL </t>
  </si>
  <si>
    <t>1080701680</t>
  </si>
  <si>
    <t xml:space="preserve">MELVIN </t>
  </si>
  <si>
    <t xml:space="preserve">ARGUEDAS CORDERO </t>
  </si>
  <si>
    <t>001691</t>
  </si>
  <si>
    <t xml:space="preserve">SANTA CRUZ </t>
  </si>
  <si>
    <t xml:space="preserve">300 ESTE DE LA ESCUELA DE SANTA CRUZ GENERAL </t>
  </si>
  <si>
    <t>1071803170</t>
  </si>
  <si>
    <t xml:space="preserve">ELIONEL </t>
  </si>
  <si>
    <t xml:space="preserve">BADILLA JIMENEZ </t>
  </si>
  <si>
    <t>86364075</t>
  </si>
  <si>
    <t>001692</t>
  </si>
  <si>
    <t xml:space="preserve">SAN ANDRES </t>
  </si>
  <si>
    <t xml:space="preserve">100 OESTE Y 74 SUR DEL MINISUPER LA AMISTAD SAN ANDRES </t>
  </si>
  <si>
    <t>0601530067</t>
  </si>
  <si>
    <t>FELICIANA</t>
  </si>
  <si>
    <t>ARIAS LARA</t>
  </si>
  <si>
    <t>001693</t>
  </si>
  <si>
    <t xml:space="preserve">SAN ANDRES GRAVILIAS CALLE LA AMISTAS 300ESTE 50 NORTE DEL PUENTE </t>
  </si>
  <si>
    <t>1076000370</t>
  </si>
  <si>
    <t xml:space="preserve">BORIS </t>
  </si>
  <si>
    <t xml:space="preserve">GAMBOA VALLADARES </t>
  </si>
  <si>
    <t>83342129</t>
  </si>
  <si>
    <t>001694</t>
  </si>
  <si>
    <t xml:space="preserve">SAN ANDRES GRAVILIAS 100 ESTE 40 NORTE DEL PUENTE CALLE LA AMISTAD </t>
  </si>
  <si>
    <t>1061509890</t>
  </si>
  <si>
    <t xml:space="preserve">AURIA </t>
  </si>
  <si>
    <t xml:space="preserve">FONSECA ABARCA </t>
  </si>
  <si>
    <t>71061299</t>
  </si>
  <si>
    <t>001695</t>
  </si>
  <si>
    <t xml:space="preserve">GRAVILIAS </t>
  </si>
  <si>
    <t xml:space="preserve">CALLE LA AMISTAD 100 ESTE 50 NORTE DEL PUENTE SAN ANDRES GRAVILIAS </t>
  </si>
  <si>
    <t>1081206270</t>
  </si>
  <si>
    <t xml:space="preserve">VALVERDE ARIAS </t>
  </si>
  <si>
    <t>83866898</t>
  </si>
  <si>
    <t>001696</t>
  </si>
  <si>
    <t xml:space="preserve">SAN ANDRES LAS GRAVILIAS CALLE LA AMISTAD </t>
  </si>
  <si>
    <t>1100703550</t>
  </si>
  <si>
    <t xml:space="preserve">OSCAR </t>
  </si>
  <si>
    <t xml:space="preserve">PIEDRA MURILLO </t>
  </si>
  <si>
    <t>85548196</t>
  </si>
  <si>
    <t>001697</t>
  </si>
  <si>
    <t>8 de diciembre</t>
  </si>
  <si>
    <t>El Hoyon, Barrio 8 de Diciembre 200 sur de la Iglesia Católica</t>
  </si>
  <si>
    <t>0707550245</t>
  </si>
  <si>
    <t>María Elena</t>
  </si>
  <si>
    <t>Sandí Jara</t>
  </si>
  <si>
    <t>84160059</t>
  </si>
  <si>
    <t>001698</t>
  </si>
  <si>
    <t>800 norte de la escuela</t>
  </si>
  <si>
    <t>0111240569</t>
  </si>
  <si>
    <t>Angie</t>
  </si>
  <si>
    <t>Ceciliano Navarro</t>
  </si>
  <si>
    <t>87863260</t>
  </si>
  <si>
    <t>001701</t>
  </si>
  <si>
    <t>250 m oeste del abastecedor Norma, entrada a mano derecha antes de los apartamentos</t>
  </si>
  <si>
    <t>0107020475</t>
  </si>
  <si>
    <t>Guiselle</t>
  </si>
  <si>
    <t>Elizondo Fernández</t>
  </si>
  <si>
    <t>89548483</t>
  </si>
  <si>
    <t>001702</t>
  </si>
  <si>
    <t>El Chapulín</t>
  </si>
  <si>
    <t>800 m suroeste del Templo Católica de la Palma Camino Chupulúm, casa concreto mano derecha</t>
  </si>
  <si>
    <t>0115630602</t>
  </si>
  <si>
    <t>Jorge</t>
  </si>
  <si>
    <t>Montero Mena</t>
  </si>
  <si>
    <t>85653669</t>
  </si>
  <si>
    <t>001703</t>
  </si>
  <si>
    <t>Pedregoso</t>
  </si>
  <si>
    <t>Pedregoso, del cruce hacia San Ramón Sur 100 mts norte, segunda entrada mano izquierda frente a Residencial Rodríguez</t>
  </si>
  <si>
    <t>Shean</t>
  </si>
  <si>
    <t>Mc Quade</t>
  </si>
  <si>
    <t>87699221</t>
  </si>
  <si>
    <t>001704</t>
  </si>
  <si>
    <t>Frente a pulpería Emanuel, callejón de acceso a mano derecha, al fondo</t>
  </si>
  <si>
    <t>0107410627</t>
  </si>
  <si>
    <t>Arturo</t>
  </si>
  <si>
    <t>Campos Miranda</t>
  </si>
  <si>
    <t>88865387</t>
  </si>
  <si>
    <t>001708</t>
  </si>
  <si>
    <t>La ceniza</t>
  </si>
  <si>
    <t>Del cruce de la ceniza (plaza) 800 mts camino al bajo Los Esperanzas, casa de zócalo a mano izquierda</t>
  </si>
  <si>
    <t>0106420132</t>
  </si>
  <si>
    <t xml:space="preserve">Jorge </t>
  </si>
  <si>
    <t>Jiménez Valverde</t>
  </si>
  <si>
    <t>61554458</t>
  </si>
  <si>
    <t>001715</t>
  </si>
  <si>
    <t>Del templo católico 150m norte a mano izquierda, casa de block color amarilla. Entrando por el acceso de otra casa color beige.</t>
  </si>
  <si>
    <t>0112450748</t>
  </si>
  <si>
    <t>Victor</t>
  </si>
  <si>
    <t>Reyes Barboza</t>
  </si>
  <si>
    <t>71058461</t>
  </si>
  <si>
    <t>001716</t>
  </si>
  <si>
    <t>200 m Oeste del Templo Católico, al margen izquierdo, casa de block color rosada</t>
  </si>
  <si>
    <t>0102920659</t>
  </si>
  <si>
    <t>Chinchilla Sánchez</t>
  </si>
  <si>
    <t>27719700</t>
  </si>
  <si>
    <t>001717</t>
  </si>
  <si>
    <t>Del templo católico 200 oeste al margen izquierdo casa color beige</t>
  </si>
  <si>
    <t>0109120591</t>
  </si>
  <si>
    <t>María Delma</t>
  </si>
  <si>
    <t>Navas Morales</t>
  </si>
  <si>
    <t>84318603</t>
  </si>
  <si>
    <t>001718</t>
  </si>
  <si>
    <t>De la pulpería las Gaviotas 200 sur ultima casa de madera al margen derecho sin pintar.</t>
  </si>
  <si>
    <t>0601430716</t>
  </si>
  <si>
    <t>Morales Beita</t>
  </si>
  <si>
    <t>85818367</t>
  </si>
  <si>
    <t>001719</t>
  </si>
  <si>
    <t>De la pulpería Las Gaviotas 200 m sur por última casa de block sin pintar. Al margen derecho</t>
  </si>
  <si>
    <t>0901020800</t>
  </si>
  <si>
    <t>Luis Guillermo</t>
  </si>
  <si>
    <t>Vindas Godinez</t>
  </si>
  <si>
    <t>85319075</t>
  </si>
  <si>
    <t>001720</t>
  </si>
  <si>
    <t>De la pulpería las Gaviotas 200 metros al sur, al margen derecho casa de madera (madera)</t>
  </si>
  <si>
    <t>0106360034</t>
  </si>
  <si>
    <t>Vera</t>
  </si>
  <si>
    <t>Madrigal Gamboa</t>
  </si>
  <si>
    <t>84783036</t>
  </si>
  <si>
    <t>001721</t>
  </si>
  <si>
    <t>De la pulpería Las Gaviotas 200m sur, al margen derecho casa color naranja.</t>
  </si>
  <si>
    <t>0108040326</t>
  </si>
  <si>
    <t>Gilberto</t>
  </si>
  <si>
    <t>60920214</t>
  </si>
  <si>
    <t>001722</t>
  </si>
  <si>
    <t>De la pulpería Victoria 150m sur al margen derecho casa de zócalo sin pintar.</t>
  </si>
  <si>
    <t>Liliana María</t>
  </si>
  <si>
    <t>Torres Arroyo</t>
  </si>
  <si>
    <t>001723</t>
  </si>
  <si>
    <t>150m sur de la Pulpería Victoria al margen derecho, casa color palo rosa.</t>
  </si>
  <si>
    <t>0701070251</t>
  </si>
  <si>
    <t>Ulises</t>
  </si>
  <si>
    <t>Muñoz Beita</t>
  </si>
  <si>
    <t>72119650</t>
  </si>
  <si>
    <t>001724</t>
  </si>
  <si>
    <t>150m al Noreste de la Pulpería Victoria, al margen izquierdo casa de fibrolit color crema subiendo gradas en tierra.</t>
  </si>
  <si>
    <t>0114130272</t>
  </si>
  <si>
    <t>Lidieth</t>
  </si>
  <si>
    <t>Madrigal Vindas</t>
  </si>
  <si>
    <t>84696383</t>
  </si>
  <si>
    <t>001725</t>
  </si>
  <si>
    <t>Casa de madera color gris 150m noreste de la pulpería Victoria, al margen izquierdo subiendo gradas en tierra</t>
  </si>
  <si>
    <t>0115110819</t>
  </si>
  <si>
    <t>86657798</t>
  </si>
  <si>
    <t>001726</t>
  </si>
  <si>
    <t>De la pulpería Victoria 150m noroeste al margen izquierdo casa color rosada.</t>
  </si>
  <si>
    <t>0402180464</t>
  </si>
  <si>
    <t>Brenda</t>
  </si>
  <si>
    <t>Morales Abarca</t>
  </si>
  <si>
    <t>71524908</t>
  </si>
  <si>
    <t>1727</t>
  </si>
  <si>
    <t>100 norte de la Pulpería Victoria al margen izquierdo casa de madera color gris</t>
  </si>
  <si>
    <t>0106920327</t>
  </si>
  <si>
    <t>Miriam</t>
  </si>
  <si>
    <t>Robles Amador</t>
  </si>
  <si>
    <t>87339589</t>
  </si>
  <si>
    <t>1728</t>
  </si>
  <si>
    <t>10 este del templo católico al margen izquierdo casa color terracota con rosado</t>
  </si>
  <si>
    <t>0602330145</t>
  </si>
  <si>
    <t>María Virginia</t>
  </si>
  <si>
    <t>Hernández Herrera</t>
  </si>
  <si>
    <t>88657789</t>
  </si>
  <si>
    <t>1729</t>
  </si>
  <si>
    <t>casa color rosada 400 m sur de la iglesia católica, camino al bajo la Quebrada</t>
  </si>
  <si>
    <t>0101850235</t>
  </si>
  <si>
    <t>Hidalgo Rivera</t>
  </si>
  <si>
    <t>27717823</t>
  </si>
  <si>
    <t>1730</t>
  </si>
  <si>
    <t>40 m oeste y 100 m norte de la Pulpería Buen Precio, al margen derecho, casa de zócalo sin pintar.</t>
  </si>
  <si>
    <t>0302520912</t>
  </si>
  <si>
    <t>Quesada Corrales</t>
  </si>
  <si>
    <t>83831390</t>
  </si>
  <si>
    <t>1731</t>
  </si>
  <si>
    <t>300 m sur de la Pulpería la Victoria, al margen derecho casa de Fibrolit y madera gris con amarillo</t>
  </si>
  <si>
    <t>0107280403</t>
  </si>
  <si>
    <t>Fernández Mena</t>
  </si>
  <si>
    <t>86872630</t>
  </si>
  <si>
    <t>1732</t>
  </si>
  <si>
    <t>De la escuela 900 m sur, frente a la pulpería Emanuel, al margen izquierdo casa prefa color café con azul</t>
  </si>
  <si>
    <t>0114840277</t>
  </si>
  <si>
    <t>María Emileth</t>
  </si>
  <si>
    <t>Hernández Jiménez</t>
  </si>
  <si>
    <t>60356157</t>
  </si>
  <si>
    <t>002172</t>
  </si>
  <si>
    <t>ANGOSTURA</t>
  </si>
  <si>
    <t>150 METROS SUR DE LA IGLESIA CATOLICA DE LA ANGOSTURA</t>
  </si>
  <si>
    <t>0108800560</t>
  </si>
  <si>
    <t xml:space="preserve">ROXANA </t>
  </si>
  <si>
    <t>MIRANDA DURAN</t>
  </si>
  <si>
    <t>87533795</t>
  </si>
  <si>
    <t>114750957</t>
  </si>
  <si>
    <t>YIRLANA</t>
  </si>
  <si>
    <t>002258</t>
  </si>
  <si>
    <t>200 METROS ESTE DE LA ESCUELA ROSARIO PACUAR</t>
  </si>
  <si>
    <t>1139701080</t>
  </si>
  <si>
    <t xml:space="preserve">ALLAN </t>
  </si>
  <si>
    <t>MORA GAMBOA</t>
  </si>
  <si>
    <t>27701850</t>
  </si>
  <si>
    <t>002327</t>
  </si>
  <si>
    <t>tierra prometida</t>
  </si>
  <si>
    <t>200 metros oeste de pulpería la victoria</t>
  </si>
  <si>
    <t>0104020944</t>
  </si>
  <si>
    <t>Gilda</t>
  </si>
  <si>
    <t>Bonilla Gamboa</t>
  </si>
  <si>
    <t>83784977</t>
  </si>
  <si>
    <t>002356</t>
  </si>
  <si>
    <t>DEL PUENTE DE LA PALMA 200 MTS ESTE</t>
  </si>
  <si>
    <t>2022803850</t>
  </si>
  <si>
    <t>ROBLES MORERA</t>
  </si>
  <si>
    <t>72942270</t>
  </si>
  <si>
    <t>002360</t>
  </si>
  <si>
    <t>ALTO LOS NUÑEZ</t>
  </si>
  <si>
    <t>1 KM SUR DE LA PLAZA DE LAS RANAS, SAN ISIDRO</t>
  </si>
  <si>
    <t>CAMPOS MIRANDA</t>
  </si>
  <si>
    <t>000149</t>
  </si>
  <si>
    <t>PIEDADES</t>
  </si>
  <si>
    <t>220 SUR DE LA ESCUELA</t>
  </si>
  <si>
    <t>0110540022</t>
  </si>
  <si>
    <t>MIGUEL ADRIAN</t>
  </si>
  <si>
    <t>PORRAS MADRIGAL</t>
  </si>
  <si>
    <t>87851952</t>
  </si>
  <si>
    <t>000157</t>
  </si>
  <si>
    <t>DE LA ESCUELA MERCEDES SUR 50 MTS</t>
  </si>
  <si>
    <t>0104700611</t>
  </si>
  <si>
    <t xml:space="preserve">ELI </t>
  </si>
  <si>
    <t>VALVERDE ARLEY</t>
  </si>
  <si>
    <t>87625892</t>
  </si>
  <si>
    <t>000154</t>
  </si>
  <si>
    <t>100 NORTE 50 ESTE Y 25 NORTE DEL SALON MIRADOR</t>
  </si>
  <si>
    <t>0110620078</t>
  </si>
  <si>
    <t>FABIAN</t>
  </si>
  <si>
    <t>FLORES VALVERDE</t>
  </si>
  <si>
    <t>87025532</t>
  </si>
  <si>
    <t>000171</t>
  </si>
  <si>
    <t>GIRASOL</t>
  </si>
  <si>
    <t>PRIMERA ENTRADA A MANO DERECHA ULTIMA CASA</t>
  </si>
  <si>
    <t>0111340464</t>
  </si>
  <si>
    <t>CHAVARRIA SALAZAR</t>
  </si>
  <si>
    <t>87818930</t>
  </si>
  <si>
    <t>000158</t>
  </si>
  <si>
    <t>SAN RAFAEL ARRIBA</t>
  </si>
  <si>
    <t>50 SUR DEL PUENTE DEL RIO MARIN</t>
  </si>
  <si>
    <t>0103850948</t>
  </si>
  <si>
    <t xml:space="preserve">GERARDO </t>
  </si>
  <si>
    <t>ARCE CHAVEZ</t>
  </si>
  <si>
    <t>85902138</t>
  </si>
  <si>
    <t>000150</t>
  </si>
  <si>
    <t>JARAZAL</t>
  </si>
  <si>
    <t>CIUDADELA CONCEPCION CASA 15, 315 MTS NORTE DEL CORREO</t>
  </si>
  <si>
    <t>0106860106</t>
  </si>
  <si>
    <t>FLORY</t>
  </si>
  <si>
    <t>CASCANTE ZAMORA</t>
  </si>
  <si>
    <t>84330992</t>
  </si>
  <si>
    <t>000151</t>
  </si>
  <si>
    <t>CIUDADELA CONCEPCION</t>
  </si>
  <si>
    <t>0104380067</t>
  </si>
  <si>
    <t>TREJOS ROJAS</t>
  </si>
  <si>
    <t>86336885</t>
  </si>
  <si>
    <t>000152</t>
  </si>
  <si>
    <t>0202530531</t>
  </si>
  <si>
    <t>BLANCA</t>
  </si>
  <si>
    <t>SOLORZANO MOSCOSO</t>
  </si>
  <si>
    <t>85276090</t>
  </si>
  <si>
    <t>000153</t>
  </si>
  <si>
    <t>CIUDADELA CASA NUMERO 13</t>
  </si>
  <si>
    <t>0103450542</t>
  </si>
  <si>
    <t>CHAVARRIA AGUERO</t>
  </si>
  <si>
    <t>86896537</t>
  </si>
  <si>
    <t>000155</t>
  </si>
  <si>
    <t>CARIT</t>
  </si>
  <si>
    <t>DE LA ESCUELA 900 METROS S</t>
  </si>
  <si>
    <t>0112740151</t>
  </si>
  <si>
    <t>GEOVAN ESTEBAN</t>
  </si>
  <si>
    <t>SALAZAR MORA</t>
  </si>
  <si>
    <t>88482155</t>
  </si>
  <si>
    <t>000156</t>
  </si>
  <si>
    <t>CAÑALES</t>
  </si>
  <si>
    <t>100 MTS DESPUES DE LA PLAZA</t>
  </si>
  <si>
    <t>0114780611</t>
  </si>
  <si>
    <t xml:space="preserve">JASON </t>
  </si>
  <si>
    <t>PRADO PRADO</t>
  </si>
  <si>
    <t>83881481</t>
  </si>
  <si>
    <t>000159</t>
  </si>
  <si>
    <t>CIUDADELA CASA NUMERO 16</t>
  </si>
  <si>
    <t>0105720154</t>
  </si>
  <si>
    <t>CALDERON FERNANDEZ</t>
  </si>
  <si>
    <t>000160</t>
  </si>
  <si>
    <t>POZOS</t>
  </si>
  <si>
    <t>DE LA ESCUELA DE POZOS 600 MTS ESTE CASA MANO IZQUIERDA</t>
  </si>
  <si>
    <t>0101900318</t>
  </si>
  <si>
    <t>BETSABE</t>
  </si>
  <si>
    <t>BERMUDEZ FALLAS</t>
  </si>
  <si>
    <t>000161</t>
  </si>
  <si>
    <t>DE LA ESCUELQA DE POZOS 600 MTS ESTE CASA MANO IZQUIERDA ROSADA</t>
  </si>
  <si>
    <t>0109500755</t>
  </si>
  <si>
    <t>BERMUDEZ CHACON</t>
  </si>
  <si>
    <t>86558479</t>
  </si>
  <si>
    <t>000162</t>
  </si>
  <si>
    <t>LAS BRISAS</t>
  </si>
  <si>
    <t>300 OESTE DEL CEMENTERIO, SEGUNDA CASA MANO DERECHA</t>
  </si>
  <si>
    <t>0601720187</t>
  </si>
  <si>
    <t>LOPEZ RUBI</t>
  </si>
  <si>
    <t>83407563</t>
  </si>
  <si>
    <t>000163</t>
  </si>
  <si>
    <t>150 NOROESTE Y 13 SUROESTE DEL RECIBIDOR DEL CAFE</t>
  </si>
  <si>
    <t>0105780471</t>
  </si>
  <si>
    <t>ANA</t>
  </si>
  <si>
    <t>BUSTAMANTE JIMENEZ</t>
  </si>
  <si>
    <t>84845989</t>
  </si>
  <si>
    <t>000164</t>
  </si>
  <si>
    <t>150 SUROESTE DEL SUPER BELFORTH</t>
  </si>
  <si>
    <t>0109530109</t>
  </si>
  <si>
    <t xml:space="preserve">GRETEL </t>
  </si>
  <si>
    <t>BERMUDEZ ACUÑA</t>
  </si>
  <si>
    <t>86563636</t>
  </si>
  <si>
    <t>000165</t>
  </si>
  <si>
    <t>CIUDADELA IMAS</t>
  </si>
  <si>
    <t>0115810252</t>
  </si>
  <si>
    <t xml:space="preserve">JORDANNA </t>
  </si>
  <si>
    <t>GUTIERREZ MORA</t>
  </si>
  <si>
    <t>000166</t>
  </si>
  <si>
    <t>CIUDADELA CONCEPCIÓN</t>
  </si>
  <si>
    <t>0103710170</t>
  </si>
  <si>
    <t>HERRERA VALVERDE</t>
  </si>
  <si>
    <t>87618125</t>
  </si>
  <si>
    <t>000167</t>
  </si>
  <si>
    <t>300 NORTE DEL CRUCE DE SAN JUAN</t>
  </si>
  <si>
    <t>0112870140</t>
  </si>
  <si>
    <t>CLARITA</t>
  </si>
  <si>
    <t>FALLAS BADILLA</t>
  </si>
  <si>
    <t>88995463</t>
  </si>
  <si>
    <t>000168</t>
  </si>
  <si>
    <t>100 METROS SUR DE LA PULPERÍA LAS GAVIOTAS</t>
  </si>
  <si>
    <t>0107740395</t>
  </si>
  <si>
    <t>ELIETH</t>
  </si>
  <si>
    <t>CASTRO ACUÑA</t>
  </si>
  <si>
    <t>83704469</t>
  </si>
  <si>
    <t>000169</t>
  </si>
  <si>
    <t>100 SUROESTE DEL CEMENTERIO</t>
  </si>
  <si>
    <t>0502900888</t>
  </si>
  <si>
    <t xml:space="preserve">STEVEN </t>
  </si>
  <si>
    <t>RODRIGUEZ RODIGUEZ</t>
  </si>
  <si>
    <t>88162436</t>
  </si>
  <si>
    <t>000170</t>
  </si>
  <si>
    <t>CORAZON DE MARIA</t>
  </si>
  <si>
    <t>125 METROS SUROESTE DE LA MUTUAL</t>
  </si>
  <si>
    <t>0104380054</t>
  </si>
  <si>
    <t>GUILLEN LEON</t>
  </si>
  <si>
    <t>85562005</t>
  </si>
  <si>
    <t>001444</t>
  </si>
  <si>
    <t xml:space="preserve">San Rafael , Barrio Arias </t>
  </si>
  <si>
    <t>400m Este de la cooperativa las cabañas</t>
  </si>
  <si>
    <t>Irma</t>
  </si>
  <si>
    <t>Duran Jimenez</t>
  </si>
  <si>
    <t>84278927</t>
  </si>
  <si>
    <t>001452</t>
  </si>
  <si>
    <t xml:space="preserve">400m Este de la cooperativa las cabañas </t>
  </si>
  <si>
    <t>Indocumentado</t>
  </si>
  <si>
    <t xml:space="preserve">Eddy Antonio </t>
  </si>
  <si>
    <t xml:space="preserve">Lopez </t>
  </si>
  <si>
    <t>60325051</t>
  </si>
  <si>
    <t>002362</t>
  </si>
  <si>
    <t xml:space="preserve">San Rafael, los arias </t>
  </si>
  <si>
    <t xml:space="preserve">400m Este de la cooperativa Las cabañas </t>
  </si>
  <si>
    <t>0105030294</t>
  </si>
  <si>
    <t xml:space="preserve">Arias Perez </t>
  </si>
  <si>
    <t>84311546</t>
  </si>
  <si>
    <t>002363</t>
  </si>
  <si>
    <t>San Rafael "los Arias"</t>
  </si>
  <si>
    <t xml:space="preserve">400 Este de la cooperativa las cabañas </t>
  </si>
  <si>
    <t xml:space="preserve">Jose Pablo </t>
  </si>
  <si>
    <t xml:space="preserve">Arias Salas </t>
  </si>
  <si>
    <t>72812413</t>
  </si>
  <si>
    <t>002365</t>
  </si>
  <si>
    <t xml:space="preserve">Madre selva </t>
  </si>
  <si>
    <t xml:space="preserve">de la casa de pensiones 100sur , 75m Oeste , ultima casa , en la servidumbre </t>
  </si>
  <si>
    <t>0105200830</t>
  </si>
  <si>
    <t xml:space="preserve">Luis Guillermo </t>
  </si>
  <si>
    <t>Valverde  Castro</t>
  </si>
  <si>
    <t>85762015</t>
  </si>
  <si>
    <t>002517</t>
  </si>
  <si>
    <t>BARRIO LOS ARIAS</t>
  </si>
  <si>
    <t>0206700883</t>
  </si>
  <si>
    <t>JUAN LUIS</t>
  </si>
  <si>
    <t>ARGUEDAS CHACON</t>
  </si>
  <si>
    <t>87252886</t>
  </si>
  <si>
    <t>001426</t>
  </si>
  <si>
    <t>LA MINA</t>
  </si>
  <si>
    <t xml:space="preserve">DE LA ESCUELA LA MINA, 100 OESTE CONTIGHUO AL PUENTE </t>
  </si>
  <si>
    <t>1142303080</t>
  </si>
  <si>
    <t>JOSELY</t>
  </si>
  <si>
    <t>FERNANDEZ ORTIZ</t>
  </si>
  <si>
    <t>60515630</t>
  </si>
  <si>
    <t>001431</t>
  </si>
  <si>
    <t>0160609810</t>
  </si>
  <si>
    <t>SEYDI</t>
  </si>
  <si>
    <t>ORTIZ DURAN</t>
  </si>
  <si>
    <t>86950661</t>
  </si>
  <si>
    <t>002364</t>
  </si>
  <si>
    <t xml:space="preserve">Calle Chimba </t>
  </si>
  <si>
    <t>Uruca de la escuela la Mina 250m Oeste</t>
  </si>
  <si>
    <t xml:space="preserve">Carlos Alberto </t>
  </si>
  <si>
    <t xml:space="preserve">Ortiz </t>
  </si>
  <si>
    <t>88104138</t>
  </si>
  <si>
    <t>000786</t>
  </si>
  <si>
    <t>Ande</t>
  </si>
  <si>
    <t>200 E. y 50 Sur de la GAR.</t>
  </si>
  <si>
    <t>1038804010</t>
  </si>
  <si>
    <t>Rosa Maria</t>
  </si>
  <si>
    <t>Alvarado Fonseca</t>
  </si>
  <si>
    <t>25467468</t>
  </si>
  <si>
    <t>000787</t>
  </si>
  <si>
    <t>800 Este de la escuela Cuesta de Moras</t>
  </si>
  <si>
    <t>0303650361</t>
  </si>
  <si>
    <t>Andrea Isabel</t>
  </si>
  <si>
    <t>Ureña Jiménez</t>
  </si>
  <si>
    <t>86662944</t>
  </si>
  <si>
    <t>000788</t>
  </si>
  <si>
    <t>10 Km. al oeste de la Escuela</t>
  </si>
  <si>
    <t>1043703770</t>
  </si>
  <si>
    <t xml:space="preserve">Berta </t>
  </si>
  <si>
    <t>Cascante Rivera</t>
  </si>
  <si>
    <t>25462749</t>
  </si>
  <si>
    <t>000789</t>
  </si>
  <si>
    <t>1 Km. al sur de la Escuela</t>
  </si>
  <si>
    <t>1073603940</t>
  </si>
  <si>
    <t xml:space="preserve">Olidier </t>
  </si>
  <si>
    <t>Carrillo Jiménez</t>
  </si>
  <si>
    <t>86793005</t>
  </si>
  <si>
    <t>000790</t>
  </si>
  <si>
    <t>3036806990</t>
  </si>
  <si>
    <t xml:space="preserve">Alexander </t>
  </si>
  <si>
    <t>Sandi Cascante</t>
  </si>
  <si>
    <t>89309264</t>
  </si>
  <si>
    <t>000791</t>
  </si>
  <si>
    <t>3034202980</t>
  </si>
  <si>
    <t>Urman Gerardo</t>
  </si>
  <si>
    <t>000792</t>
  </si>
  <si>
    <t>2 Km. al Norte de la escuela</t>
  </si>
  <si>
    <t>0304620556</t>
  </si>
  <si>
    <t>Jose Eduardo</t>
  </si>
  <si>
    <t>Mora Cruz</t>
  </si>
  <si>
    <t>89018643</t>
  </si>
  <si>
    <t>000793</t>
  </si>
  <si>
    <t>San Carlos de Tarrazu</t>
  </si>
  <si>
    <t>0503390744</t>
  </si>
  <si>
    <t>Cesar</t>
  </si>
  <si>
    <t>Muñoz Mendoza</t>
  </si>
  <si>
    <t>87367014</t>
  </si>
  <si>
    <t>000794</t>
  </si>
  <si>
    <t>200 mts. al suroeste del Templo católico</t>
  </si>
  <si>
    <t>3034806470</t>
  </si>
  <si>
    <t xml:space="preserve">Raul </t>
  </si>
  <si>
    <t>Ulloa Mora</t>
  </si>
  <si>
    <t>85932967</t>
  </si>
  <si>
    <t>000795</t>
  </si>
  <si>
    <t>500 E. de la Iglesia Católica</t>
  </si>
  <si>
    <t>3033803570</t>
  </si>
  <si>
    <t>Vargas Salazar</t>
  </si>
  <si>
    <t>84222849</t>
  </si>
  <si>
    <t>000796</t>
  </si>
  <si>
    <t>Quebrada Seco</t>
  </si>
  <si>
    <t>1 Km. al oeste de la Iglesia de San Carlos
TELÉFONO: 88582723</t>
  </si>
  <si>
    <t>3032902710</t>
  </si>
  <si>
    <t>Walter</t>
  </si>
  <si>
    <t>Camacho Navarro</t>
  </si>
  <si>
    <t>84052931</t>
  </si>
  <si>
    <t>000797</t>
  </si>
  <si>
    <t>250 Noroeste de la Escuela Quebrada Seca</t>
  </si>
  <si>
    <t>1079206830</t>
  </si>
  <si>
    <t>Elvin</t>
  </si>
  <si>
    <t>Padilla Calderon</t>
  </si>
  <si>
    <t>86222515</t>
  </si>
  <si>
    <t>000798</t>
  </si>
  <si>
    <t>Los Cruz</t>
  </si>
  <si>
    <t>San Carlos, Barrio Los Cruz</t>
  </si>
  <si>
    <t>1049108390</t>
  </si>
  <si>
    <t>Marvin</t>
  </si>
  <si>
    <t>Cruz camacho</t>
  </si>
  <si>
    <t>84542710</t>
  </si>
  <si>
    <t>000799</t>
  </si>
  <si>
    <t>Barrio La Cruz</t>
  </si>
  <si>
    <t>San Carlos Barrio La Cruz</t>
  </si>
  <si>
    <t>3040306530</t>
  </si>
  <si>
    <t>Maria Johana</t>
  </si>
  <si>
    <t>Cruz Mora</t>
  </si>
  <si>
    <t>83670829</t>
  </si>
  <si>
    <t>000800</t>
  </si>
  <si>
    <t>800 Oeste de la Iglesia de San Carlos</t>
  </si>
  <si>
    <t>1069908230</t>
  </si>
  <si>
    <t>84811189</t>
  </si>
  <si>
    <t>000801</t>
  </si>
  <si>
    <t>San Carlos de Tarrazu Barrio San Cristobal</t>
  </si>
  <si>
    <t>1080308190</t>
  </si>
  <si>
    <t xml:space="preserve">Lilia </t>
  </si>
  <si>
    <t>Navarro Navarro</t>
  </si>
  <si>
    <t>85456325</t>
  </si>
  <si>
    <t>000802</t>
  </si>
  <si>
    <t>200 Noroeste de la Iglesia de San Carlos</t>
  </si>
  <si>
    <t>1059309980</t>
  </si>
  <si>
    <t xml:space="preserve">Margarita </t>
  </si>
  <si>
    <t>Padilla Navarro</t>
  </si>
  <si>
    <t>85562886</t>
  </si>
  <si>
    <t>000803</t>
  </si>
  <si>
    <t xml:space="preserve">ALTO SAN JUAN </t>
  </si>
  <si>
    <t>104500667</t>
  </si>
  <si>
    <t>NAVARRO BLANCO</t>
  </si>
  <si>
    <t>88187130</t>
  </si>
  <si>
    <t>000804</t>
  </si>
  <si>
    <t>1Km. al sur de la escuela San Carlos</t>
  </si>
  <si>
    <t>3036404270</t>
  </si>
  <si>
    <t>Marin Cruz</t>
  </si>
  <si>
    <t>85035549</t>
  </si>
  <si>
    <t>000805</t>
  </si>
  <si>
    <t>Los Sandí</t>
  </si>
  <si>
    <t>1 Km E. de la Escuela San Gerónimo</t>
  </si>
  <si>
    <t>1073103710</t>
  </si>
  <si>
    <t>Rosalia</t>
  </si>
  <si>
    <t>Camacho Castillo</t>
  </si>
  <si>
    <t>84631710</t>
  </si>
  <si>
    <t>000806</t>
  </si>
  <si>
    <t>50 mts N. del Recibidor el Coopetarrazú</t>
  </si>
  <si>
    <t>1581941902</t>
  </si>
  <si>
    <t>Gladys</t>
  </si>
  <si>
    <t>Lumbi Leiva</t>
  </si>
  <si>
    <t>000807</t>
  </si>
  <si>
    <t>1 Km al sur oeste de la Plaza de futbol de Nápoles</t>
  </si>
  <si>
    <t>1074904910</t>
  </si>
  <si>
    <t>Ester</t>
  </si>
  <si>
    <t>Cordero Blanco</t>
  </si>
  <si>
    <t>84599264</t>
  </si>
  <si>
    <t>000808</t>
  </si>
  <si>
    <t>50 E. de la Escuela</t>
  </si>
  <si>
    <t>3036805470</t>
  </si>
  <si>
    <t xml:space="preserve">Yolanda </t>
  </si>
  <si>
    <t>Cambronero Ureña</t>
  </si>
  <si>
    <t>86061690</t>
  </si>
  <si>
    <t>809</t>
  </si>
  <si>
    <t>Costado norte de la cancha de futbol</t>
  </si>
  <si>
    <t>0104590731</t>
  </si>
  <si>
    <t>Alfredo</t>
  </si>
  <si>
    <t>Fallas Camacho</t>
  </si>
  <si>
    <t>25465611</t>
  </si>
  <si>
    <t>810</t>
  </si>
  <si>
    <t>Calle Murillo</t>
  </si>
  <si>
    <t>0304620359</t>
  </si>
  <si>
    <t>Blanco Zúñiga</t>
  </si>
  <si>
    <t>84089144</t>
  </si>
  <si>
    <t>811</t>
  </si>
  <si>
    <t>Mata de caña</t>
  </si>
  <si>
    <t>400 m norte de la Escuela Mata de caña</t>
  </si>
  <si>
    <t>0304690683</t>
  </si>
  <si>
    <t>Alonso</t>
  </si>
  <si>
    <t>Rivera Castillo</t>
  </si>
  <si>
    <t>85504908</t>
  </si>
  <si>
    <t>000259</t>
  </si>
  <si>
    <t>1084508570</t>
  </si>
  <si>
    <t>MARCO TULIO</t>
  </si>
  <si>
    <t xml:space="preserve">NAVARRO UREÑA </t>
  </si>
  <si>
    <t>84890128</t>
  </si>
  <si>
    <t>000327</t>
  </si>
  <si>
    <t>700 NORTE, 125 ESTE DE LA BOMBA  SAN BOSCO</t>
  </si>
  <si>
    <t>0105040517</t>
  </si>
  <si>
    <t>EMILI ESTER</t>
  </si>
  <si>
    <t>CORDERO ZUMBADO</t>
  </si>
  <si>
    <t>83680205</t>
  </si>
  <si>
    <t>000354</t>
  </si>
  <si>
    <t>0112320235</t>
  </si>
  <si>
    <t>ROXANA</t>
  </si>
  <si>
    <t>MONGE PRADO</t>
  </si>
  <si>
    <t>86111576</t>
  </si>
  <si>
    <t>000560</t>
  </si>
  <si>
    <t>BARRIO ANDE</t>
  </si>
  <si>
    <t>0108890795</t>
  </si>
  <si>
    <t>ORTIZ MONGE</t>
  </si>
  <si>
    <t>86928699</t>
  </si>
  <si>
    <t>000567</t>
  </si>
  <si>
    <t>ANDE</t>
  </si>
  <si>
    <t>200 MTS AL ESTE DE LA GAR 50 SUR 100 OESTE</t>
  </si>
  <si>
    <t>0900540560</t>
  </si>
  <si>
    <t>VEGA SANCHEZ</t>
  </si>
  <si>
    <t>83839442</t>
  </si>
  <si>
    <t>000753</t>
  </si>
  <si>
    <t>200 este de pulpería Los Martínez</t>
  </si>
  <si>
    <t>0302910233</t>
  </si>
  <si>
    <t>Ureña Martínez</t>
  </si>
  <si>
    <t>25466192</t>
  </si>
  <si>
    <t>000754</t>
  </si>
  <si>
    <t>150 mts sur de la escuela, casa color papaya</t>
  </si>
  <si>
    <t>0304730760</t>
  </si>
  <si>
    <t>Raquel</t>
  </si>
  <si>
    <t>61841739</t>
  </si>
  <si>
    <t>000755</t>
  </si>
  <si>
    <t>Los MArtínez</t>
  </si>
  <si>
    <t>150 mts norte de escuela Bajo canet</t>
  </si>
  <si>
    <t>0303560144</t>
  </si>
  <si>
    <t>Yorleny</t>
  </si>
  <si>
    <t>84623928</t>
  </si>
  <si>
    <t>000756</t>
  </si>
  <si>
    <t>Los Jiménez</t>
  </si>
  <si>
    <t>1 km noreste de la escuela Bajo Canet</t>
  </si>
  <si>
    <t>0107840342</t>
  </si>
  <si>
    <t>Reyner</t>
  </si>
  <si>
    <t>50183145</t>
  </si>
  <si>
    <t>000757</t>
  </si>
  <si>
    <t>800 norte de escuela Bajo Canet, casa amarilla</t>
  </si>
  <si>
    <t>0114020346</t>
  </si>
  <si>
    <t>Joshua</t>
  </si>
  <si>
    <t>Martínez Madrigal</t>
  </si>
  <si>
    <t>85406999</t>
  </si>
  <si>
    <t>000758</t>
  </si>
  <si>
    <t>De la iglesia, 100 metros norte, casa color amarillo</t>
  </si>
  <si>
    <t>0302970432</t>
  </si>
  <si>
    <t>Ronald</t>
  </si>
  <si>
    <t>25461700</t>
  </si>
  <si>
    <t>000759</t>
  </si>
  <si>
    <t>De la iglesia, 75 mts norte, entrada a mano izquierda, 50 mts oeste, casa blanca.</t>
  </si>
  <si>
    <t>0107250186</t>
  </si>
  <si>
    <t>Marcos</t>
  </si>
  <si>
    <t>Sánchez Fallas</t>
  </si>
  <si>
    <t>62812429</t>
  </si>
  <si>
    <t>000760</t>
  </si>
  <si>
    <t>800 metros noroeste de escuela Bajo Canet</t>
  </si>
  <si>
    <t>0304440844</t>
  </si>
  <si>
    <t>Jose Manuel</t>
  </si>
  <si>
    <t>Nuñez Cerdas</t>
  </si>
  <si>
    <t>62337925</t>
  </si>
  <si>
    <t>772</t>
  </si>
  <si>
    <t>Bajo Canet, Los Jiménez</t>
  </si>
  <si>
    <t>2 km noroeste Bajo Canet</t>
  </si>
  <si>
    <t>0103630372</t>
  </si>
  <si>
    <t>Virginelia</t>
  </si>
  <si>
    <t>Jimenez Gamboa</t>
  </si>
  <si>
    <t>25461315</t>
  </si>
  <si>
    <t>773</t>
  </si>
  <si>
    <t>150 m sur y 50 oeste de la Escuela Bajo Canet</t>
  </si>
  <si>
    <t>0304680243</t>
  </si>
  <si>
    <t>Elvis</t>
  </si>
  <si>
    <t>Calvo Barahona</t>
  </si>
  <si>
    <t>85835090</t>
  </si>
  <si>
    <t>776</t>
  </si>
  <si>
    <t>Bajo Canet Los Jiménez</t>
  </si>
  <si>
    <t>0110140088</t>
  </si>
  <si>
    <t xml:space="preserve">Adriana </t>
  </si>
  <si>
    <t>61407069</t>
  </si>
  <si>
    <t>777</t>
  </si>
  <si>
    <t>0303200539</t>
  </si>
  <si>
    <t>Roberto</t>
  </si>
  <si>
    <t>84040910</t>
  </si>
  <si>
    <t>778</t>
  </si>
  <si>
    <t>1,5 noroeste de La Escuela Bajo Canet</t>
  </si>
  <si>
    <t>0303800345</t>
  </si>
  <si>
    <t>Juan Carlos</t>
  </si>
  <si>
    <t>61690102</t>
  </si>
  <si>
    <t>000784</t>
  </si>
  <si>
    <t>200 E. y 50 Sur de la GAR. SAN  MARCOS</t>
  </si>
  <si>
    <t>0106320175</t>
  </si>
  <si>
    <t>Ana Maria</t>
  </si>
  <si>
    <t>Valverde Arias</t>
  </si>
  <si>
    <t>86781515</t>
  </si>
  <si>
    <t>000785</t>
  </si>
  <si>
    <t>1 Km Sur del Hogar de Ancianos</t>
  </si>
  <si>
    <t>0106210536</t>
  </si>
  <si>
    <t>Emilia</t>
  </si>
  <si>
    <t>Chaves Quesada</t>
  </si>
  <si>
    <t>88508242</t>
  </si>
  <si>
    <t>812</t>
  </si>
  <si>
    <t>Guadalupe, Calle Vieja</t>
  </si>
  <si>
    <t>0102830947</t>
  </si>
  <si>
    <t>Flor María</t>
  </si>
  <si>
    <t>Ramírez Jiménez</t>
  </si>
  <si>
    <t>84913404</t>
  </si>
  <si>
    <t>813</t>
  </si>
  <si>
    <t>0108480212</t>
  </si>
  <si>
    <t>Granados Calvo</t>
  </si>
  <si>
    <t>88584839</t>
  </si>
  <si>
    <t>814</t>
  </si>
  <si>
    <t>Barrio el Estadio, San Marcos</t>
  </si>
  <si>
    <t>0107140557</t>
  </si>
  <si>
    <t>Willian</t>
  </si>
  <si>
    <t>Sánchez Abarca</t>
  </si>
  <si>
    <t>88146493</t>
  </si>
  <si>
    <t>815</t>
  </si>
  <si>
    <t>Bajo San Juan</t>
  </si>
  <si>
    <t>0110100300</t>
  </si>
  <si>
    <t>Gabriel</t>
  </si>
  <si>
    <t>Vargas Padilla</t>
  </si>
  <si>
    <t>83178874</t>
  </si>
  <si>
    <t>816</t>
  </si>
  <si>
    <t>2 km al noroeste de la Escuela de Bajo Canet de Tarrazú</t>
  </si>
  <si>
    <t>0900950086</t>
  </si>
  <si>
    <t>Marvey</t>
  </si>
  <si>
    <t>Jiménez Navarro</t>
  </si>
  <si>
    <t>84085103</t>
  </si>
  <si>
    <t>817</t>
  </si>
  <si>
    <t>Guadalupe Tarrazú entrada a San Luis San Pedro, antes del Puente</t>
  </si>
  <si>
    <t>0102900462</t>
  </si>
  <si>
    <t>Elida</t>
  </si>
  <si>
    <t>Castillo Quesada</t>
  </si>
  <si>
    <t>84758872</t>
  </si>
  <si>
    <t>819</t>
  </si>
  <si>
    <t>0603630390</t>
  </si>
  <si>
    <t>Marco</t>
  </si>
  <si>
    <t>Navarro Blanco</t>
  </si>
  <si>
    <t>85552812</t>
  </si>
  <si>
    <t>820</t>
  </si>
  <si>
    <t>200 m este de la GAR</t>
  </si>
  <si>
    <t>0105980373</t>
  </si>
  <si>
    <t>Marbel</t>
  </si>
  <si>
    <t>Calvo Rojas</t>
  </si>
  <si>
    <t>88874618</t>
  </si>
  <si>
    <t>821</t>
  </si>
  <si>
    <t>200 m al este de la GAR</t>
  </si>
  <si>
    <t>0110120160</t>
  </si>
  <si>
    <t>Wilmer</t>
  </si>
  <si>
    <t>83382392</t>
  </si>
  <si>
    <t>822</t>
  </si>
  <si>
    <t>0304000327</t>
  </si>
  <si>
    <t>Jose Arturo</t>
  </si>
  <si>
    <t>Valverde Blanco</t>
  </si>
  <si>
    <t>85911516</t>
  </si>
  <si>
    <t>823</t>
  </si>
  <si>
    <t>0104300722</t>
  </si>
  <si>
    <t>Jose Luis</t>
  </si>
  <si>
    <t>Ureña Prado</t>
  </si>
  <si>
    <t>83368766</t>
  </si>
  <si>
    <t>824</t>
  </si>
  <si>
    <t>La Sabana, el Salado</t>
  </si>
  <si>
    <t>0106270763</t>
  </si>
  <si>
    <t>Ureña Gamboa</t>
  </si>
  <si>
    <t>825</t>
  </si>
  <si>
    <t>25 m al norte de los tanques de agua</t>
  </si>
  <si>
    <t>0110500977</t>
  </si>
  <si>
    <t>Mora Amador</t>
  </si>
  <si>
    <t>86560534</t>
  </si>
  <si>
    <t>826</t>
  </si>
  <si>
    <t>Guadalupe a Dota</t>
  </si>
  <si>
    <t>0104940523</t>
  </si>
  <si>
    <t>Milagro</t>
  </si>
  <si>
    <t>Vega Sánchez</t>
  </si>
  <si>
    <t>83955889</t>
  </si>
  <si>
    <t>827</t>
  </si>
  <si>
    <t>0106270406</t>
  </si>
  <si>
    <t xml:space="preserve">Luis </t>
  </si>
  <si>
    <t>Vargas Calvo</t>
  </si>
  <si>
    <t>25466153</t>
  </si>
  <si>
    <t>Tibás</t>
  </si>
  <si>
    <t>001215</t>
  </si>
  <si>
    <t>DE LA ESCUELA JESUS JIMENEZ 250 M OESTE 100M NORTE 50M OESTE</t>
  </si>
  <si>
    <t>0103620998</t>
  </si>
  <si>
    <t>MARIA LUISA</t>
  </si>
  <si>
    <t>MURILLO CASTILLO</t>
  </si>
  <si>
    <t>60567890</t>
  </si>
  <si>
    <t>001216</t>
  </si>
  <si>
    <t>DE LA ESCUELA JESUS JIMENEZ 250 OESTE,  100 NORTE Y 50 OESTE</t>
  </si>
  <si>
    <t>0106950227</t>
  </si>
  <si>
    <t xml:space="preserve">ALEXANDER </t>
  </si>
  <si>
    <t>CASTILLO MURILLO</t>
  </si>
  <si>
    <t>89779411</t>
  </si>
  <si>
    <t>001217</t>
  </si>
  <si>
    <t>DE LA ESCUELA JESUS JIMENEZ, 250M OESTE, 100M NORTE Y 50 OESTE.</t>
  </si>
  <si>
    <t>0111880935</t>
  </si>
  <si>
    <t>LUIS GUILLERMO</t>
  </si>
  <si>
    <t>CASTRILLO MURILLO</t>
  </si>
  <si>
    <t>86010153</t>
  </si>
  <si>
    <t>001218</t>
  </si>
  <si>
    <t>SAN JERÓNIMO</t>
  </si>
  <si>
    <t>DE LA ESCUELA JESUS JIMENEZ, 250M OESTE 100M NORTE, 50M OESTE</t>
  </si>
  <si>
    <t>0107590427</t>
  </si>
  <si>
    <t>ALBERTO</t>
  </si>
  <si>
    <t>86404122</t>
  </si>
  <si>
    <t>001219</t>
  </si>
  <si>
    <t>DE LA ESCUELA JESUS JIMENEZ 250 OESTE, 100 M NORTE Y 50 OESTE</t>
  </si>
  <si>
    <t>0114160656</t>
  </si>
  <si>
    <t>DAVID</t>
  </si>
  <si>
    <t>RODRIGUEZ</t>
  </si>
  <si>
    <t>87021118</t>
  </si>
  <si>
    <t>001220</t>
  </si>
  <si>
    <t>SA JERONIMO</t>
  </si>
  <si>
    <t>DE LA ESCUELA JESUS JIMENEZ 250 METRO OESTE, 150 METROS NORTE</t>
  </si>
  <si>
    <t>0102920675</t>
  </si>
  <si>
    <t>EDGAR</t>
  </si>
  <si>
    <t>QUIROS ROJAS</t>
  </si>
  <si>
    <t>84961799</t>
  </si>
  <si>
    <t>001221</t>
  </si>
  <si>
    <t>DE LA ESCUELA JESUS JIMENEZ 250 METROS OESTE Y 150 METROS NORTE</t>
  </si>
  <si>
    <t>0111110503</t>
  </si>
  <si>
    <t>GEOVANNY</t>
  </si>
  <si>
    <t>QUIROS BRENES</t>
  </si>
  <si>
    <t>86601159</t>
  </si>
  <si>
    <t>001222</t>
  </si>
  <si>
    <t>DE LA ESCUELA JESUS JIMENEZ 250 METROS OESTE 150 METROS NORTE</t>
  </si>
  <si>
    <t>0108670720</t>
  </si>
  <si>
    <t xml:space="preserve">LUIS </t>
  </si>
  <si>
    <t>VILLALOBOS MORALES</t>
  </si>
  <si>
    <t>62284471</t>
  </si>
  <si>
    <t>001223</t>
  </si>
  <si>
    <t>0105320243</t>
  </si>
  <si>
    <t xml:space="preserve">WALTER </t>
  </si>
  <si>
    <t>CHACON CAMBRONERO</t>
  </si>
  <si>
    <t>87171986</t>
  </si>
  <si>
    <t>001224</t>
  </si>
  <si>
    <t>0109070621</t>
  </si>
  <si>
    <t>GODINEZ NUÑEZ</t>
  </si>
  <si>
    <t>88497687</t>
  </si>
  <si>
    <t>001225</t>
  </si>
  <si>
    <t>0203805200</t>
  </si>
  <si>
    <t>MARIA JOVITA</t>
  </si>
  <si>
    <t>ALVAREZ MIRANDA</t>
  </si>
  <si>
    <t>60693760</t>
  </si>
  <si>
    <t>001226</t>
  </si>
  <si>
    <t>LEANDRO SEBASTIAN</t>
  </si>
  <si>
    <t>ROJAS</t>
  </si>
  <si>
    <t>89513403</t>
  </si>
  <si>
    <t>001227</t>
  </si>
  <si>
    <t>DE LA ESCUELA JESUS JIMENEZ 250 OESTE 150 METROS NORTE</t>
  </si>
  <si>
    <t>0111490815</t>
  </si>
  <si>
    <t>JOSUE MANUEL</t>
  </si>
  <si>
    <t>MORA BRENES</t>
  </si>
  <si>
    <t>89533694</t>
  </si>
  <si>
    <t>001228</t>
  </si>
  <si>
    <t>DE LA ESCUELA JESUS JIMENEZ 250 METROS OESTE, 150 METROS NORTE</t>
  </si>
  <si>
    <t>0109800085</t>
  </si>
  <si>
    <t>LAURA</t>
  </si>
  <si>
    <t>89630594</t>
  </si>
  <si>
    <t>001229</t>
  </si>
  <si>
    <t>0401320383</t>
  </si>
  <si>
    <t>ANA LORENA</t>
  </si>
  <si>
    <t>BRENES</t>
  </si>
  <si>
    <t>85951973</t>
  </si>
  <si>
    <t>001230</t>
  </si>
  <si>
    <t>DE LA ESCUELA JESUS JIMENEZ 250 OESTE Y 150 NORTE</t>
  </si>
  <si>
    <t>0112810232</t>
  </si>
  <si>
    <t>ALEXANDRA</t>
  </si>
  <si>
    <t>87977522</t>
  </si>
  <si>
    <t>001231</t>
  </si>
  <si>
    <t>DE LA ESCUELA JESUS JIMENEZ 250 OESTE Y150 NORTE</t>
  </si>
  <si>
    <t>155808612632</t>
  </si>
  <si>
    <t>ELVIN SALVADOR</t>
  </si>
  <si>
    <t>MENDEZ MENDEZ</t>
  </si>
  <si>
    <t>87552520</t>
  </si>
  <si>
    <t>001232</t>
  </si>
  <si>
    <t>155802524624</t>
  </si>
  <si>
    <t>SANTOS GLORIA</t>
  </si>
  <si>
    <t>OBANDO RUIZ</t>
  </si>
  <si>
    <t>87990952</t>
  </si>
  <si>
    <t>001233</t>
  </si>
  <si>
    <t>0110080399</t>
  </si>
  <si>
    <t>GUISELLE</t>
  </si>
  <si>
    <t>AVILA ARIAS</t>
  </si>
  <si>
    <t>60832100</t>
  </si>
  <si>
    <t>001234</t>
  </si>
  <si>
    <t>0700670190</t>
  </si>
  <si>
    <t>MARIANO</t>
  </si>
  <si>
    <t>MILLET CERDAS</t>
  </si>
  <si>
    <t>86193600</t>
  </si>
  <si>
    <t>002083</t>
  </si>
  <si>
    <t>Neón Nieto</t>
  </si>
  <si>
    <t>75 N de Neón Nieto, Mano derecha, última casa</t>
  </si>
  <si>
    <t>0502290623</t>
  </si>
  <si>
    <t>José Alberto</t>
  </si>
  <si>
    <t>Rosales Arroyo</t>
  </si>
  <si>
    <t>89848356</t>
  </si>
  <si>
    <t>002084</t>
  </si>
  <si>
    <t>75 N. de la Neón Nieto, subir gradas y contiguas a muro de contención, última propiedad.
Teléfono 7165-6896</t>
  </si>
  <si>
    <t>0112540647</t>
  </si>
  <si>
    <t>Hazel Maria</t>
  </si>
  <si>
    <t>Arguedas Miranda</t>
  </si>
  <si>
    <t>85314585</t>
  </si>
  <si>
    <t>Bolívar</t>
  </si>
  <si>
    <t>002125</t>
  </si>
  <si>
    <t>RIO SARCHI</t>
  </si>
  <si>
    <t>LADERA CONTIGUO AL PUENTE SARCHI A MANO DERECHA</t>
  </si>
  <si>
    <t>PEREZ LOPEZ</t>
  </si>
  <si>
    <t>002129</t>
  </si>
  <si>
    <t>400 M ANTES DE LA IGLESIA DE SAN LUIS SUBIENDO, CASA A MANO DERECHA</t>
  </si>
  <si>
    <t>0801200992</t>
  </si>
  <si>
    <t>ARIS</t>
  </si>
  <si>
    <t>GUZMAN LANEZ</t>
  </si>
  <si>
    <t>002130</t>
  </si>
  <si>
    <t>400 M ANTES DE LA IGLESIA DE SAN LUIS SUBIENDO CASA A MANO DERECHA</t>
  </si>
  <si>
    <t>0602410800</t>
  </si>
  <si>
    <t xml:space="preserve">JONNY </t>
  </si>
  <si>
    <t>HIDALGO SEGURA</t>
  </si>
  <si>
    <t>002134</t>
  </si>
  <si>
    <t>JORDAN</t>
  </si>
  <si>
    <t>LOPEZ BARAHONA</t>
  </si>
  <si>
    <t>002135</t>
  </si>
  <si>
    <t>LADERA CONTIGUO AL PUENTE SARCHI, A MANO DERECHA</t>
  </si>
  <si>
    <t>0205770518</t>
  </si>
  <si>
    <t>JOSE DAVID</t>
  </si>
  <si>
    <t>AMADOR ULATE</t>
  </si>
  <si>
    <t>24541713</t>
  </si>
  <si>
    <t>002138</t>
  </si>
  <si>
    <t xml:space="preserve">EDGAR </t>
  </si>
  <si>
    <t>AMADOR JIMENEZ</t>
  </si>
  <si>
    <t>002142</t>
  </si>
  <si>
    <t>SAN JUAN</t>
  </si>
  <si>
    <t>100 M NORTE DEL RIO SAN JUAN, CALLE YUCA AL LADO DEL RIO</t>
  </si>
  <si>
    <t>0104520213</t>
  </si>
  <si>
    <t xml:space="preserve">MIRELLA </t>
  </si>
  <si>
    <t>CARRANZA CHAVERRI</t>
  </si>
  <si>
    <t>89481641</t>
  </si>
  <si>
    <t>002144</t>
  </si>
  <si>
    <t>LADERA CONTIGUIO AL PUENTE SARCHI A MANO DERECHA</t>
  </si>
  <si>
    <t xml:space="preserve">ANA DELIA </t>
  </si>
  <si>
    <t>ULATE ULATE</t>
  </si>
  <si>
    <t>002145</t>
  </si>
  <si>
    <t>EL CAJON</t>
  </si>
  <si>
    <t>175 M SURESTE DEL TEMPLO CATOLICO CASA COLOR AMARILLO</t>
  </si>
  <si>
    <t>0203610811</t>
  </si>
  <si>
    <t>MARIA JULIA</t>
  </si>
  <si>
    <t>MATAMOROS PICADO</t>
  </si>
  <si>
    <t>002149</t>
  </si>
  <si>
    <t>CARRETERA A CAJON FRENTE A TALLER TIM</t>
  </si>
  <si>
    <t>0206220281</t>
  </si>
  <si>
    <t xml:space="preserve">ISABLE </t>
  </si>
  <si>
    <t>ZAMORA ROMAN</t>
  </si>
  <si>
    <t>61455835</t>
  </si>
  <si>
    <t>002150</t>
  </si>
  <si>
    <t>CALLE MOLINA CUARTA CASA A MANO DERECHA</t>
  </si>
  <si>
    <t>0203820175</t>
  </si>
  <si>
    <t>LUSI ALFONSO</t>
  </si>
  <si>
    <t>BARRANTES ALFARO</t>
  </si>
  <si>
    <t>24943370</t>
  </si>
  <si>
    <t>002151</t>
  </si>
  <si>
    <t>100 M NORTE DEL RIO  SAN JUAN, CALLE YUCA AL LADO DEL RIO</t>
  </si>
  <si>
    <t>0204180827</t>
  </si>
  <si>
    <t xml:space="preserve">GUISELLE </t>
  </si>
  <si>
    <t>GONZALEZ BARQUERO</t>
  </si>
  <si>
    <t>62830488</t>
  </si>
  <si>
    <t>002153</t>
  </si>
  <si>
    <t>1 KM NORTE DEL PUENTE DE SARCHI FRENTE A SEGUNDO TANQUE, ACCESO POR SERVIDUMBRE SEGUNDA CASA</t>
  </si>
  <si>
    <t>0202330463</t>
  </si>
  <si>
    <t xml:space="preserve">HAYDE </t>
  </si>
  <si>
    <t>BOGANTES HIDALGO</t>
  </si>
  <si>
    <t>04950274</t>
  </si>
  <si>
    <t>002157</t>
  </si>
  <si>
    <t>CRUCE CALLE BAMBU CAMINO A SAN JUAN</t>
  </si>
  <si>
    <t>0202790497</t>
  </si>
  <si>
    <t>SOLEDAD</t>
  </si>
  <si>
    <t>MONTERO MUÑOS</t>
  </si>
  <si>
    <t>24441874</t>
  </si>
  <si>
    <t>002158</t>
  </si>
  <si>
    <t>CALLE PARRITA, 500 ESTE DEL SUPER LA PACIFICA</t>
  </si>
  <si>
    <t>0202750828</t>
  </si>
  <si>
    <t>JUAN DANIEL</t>
  </si>
  <si>
    <t>ZAMORA BOLAÑOS</t>
  </si>
  <si>
    <t>86753108</t>
  </si>
  <si>
    <t>002165</t>
  </si>
  <si>
    <t>SAN JUAN DE LA ESCUELA 1 KM HACIA SAN LUIS, EN LAS CASAS DE LOS OVIEDO</t>
  </si>
  <si>
    <t>ADELAIDA</t>
  </si>
  <si>
    <t>ROMERO ROSALES</t>
  </si>
  <si>
    <t>002132</t>
  </si>
  <si>
    <t>SAN VICENTE</t>
  </si>
  <si>
    <t>SECTOR 5</t>
  </si>
  <si>
    <t>0203120666</t>
  </si>
  <si>
    <t>MIRIAM</t>
  </si>
  <si>
    <t>ESPINOZA CRUZ</t>
  </si>
  <si>
    <t>002152</t>
  </si>
  <si>
    <t>RINCON DE ARIAS</t>
  </si>
  <si>
    <t>ENTRANDO A URBANIZACION VALLE AZUL, CALEE LASTRE A MANO IZQUIERDA (PRIMERA CASA)</t>
  </si>
  <si>
    <t>ALONSO</t>
  </si>
  <si>
    <t>ARCE VALERIO</t>
  </si>
  <si>
    <t>002162</t>
  </si>
  <si>
    <t xml:space="preserve">CALLE ALAMEDA </t>
  </si>
  <si>
    <t>RINCON DE ARIAS. CALLE ALAMEDA, ULTIMA CASA A MANO IZQUIERDA</t>
  </si>
  <si>
    <t>NOILY</t>
  </si>
  <si>
    <t xml:space="preserve">RIVAS VARGAS </t>
  </si>
  <si>
    <t>87856170</t>
  </si>
  <si>
    <t>002268</t>
  </si>
  <si>
    <t xml:space="preserve">San Vicente </t>
  </si>
  <si>
    <t xml:space="preserve">Sector  6, precario </t>
  </si>
  <si>
    <t>155819837019</t>
  </si>
  <si>
    <t xml:space="preserve">Geoconda </t>
  </si>
  <si>
    <t xml:space="preserve">Hernandez Palma </t>
  </si>
  <si>
    <t>002269</t>
  </si>
  <si>
    <t xml:space="preserve">Sector 6, precario </t>
  </si>
  <si>
    <t xml:space="preserve">Pedro Osmar </t>
  </si>
  <si>
    <t>Palma Hernandez</t>
  </si>
  <si>
    <t>002270</t>
  </si>
  <si>
    <t>0302710336</t>
  </si>
  <si>
    <t xml:space="preserve">Maria Leticia </t>
  </si>
  <si>
    <t xml:space="preserve">Alvarado Pereira </t>
  </si>
  <si>
    <t>002271</t>
  </si>
  <si>
    <t>0205650934</t>
  </si>
  <si>
    <t xml:space="preserve">Jose antonio </t>
  </si>
  <si>
    <t xml:space="preserve">Ramirez Alvarado </t>
  </si>
  <si>
    <t>61117320</t>
  </si>
  <si>
    <t>002272</t>
  </si>
  <si>
    <t xml:space="preserve">sector 6, precario </t>
  </si>
  <si>
    <t>0204430868</t>
  </si>
  <si>
    <t xml:space="preserve">Jose Francisco </t>
  </si>
  <si>
    <t xml:space="preserve">Marin araya </t>
  </si>
  <si>
    <t>89219236</t>
  </si>
  <si>
    <t>002273</t>
  </si>
  <si>
    <t xml:space="preserve">Sector 6, Precario </t>
  </si>
  <si>
    <t>0207170912</t>
  </si>
  <si>
    <t xml:space="preserve">Angie Marcela </t>
  </si>
  <si>
    <t xml:space="preserve">Marín Loria </t>
  </si>
  <si>
    <t>002274</t>
  </si>
  <si>
    <t>0602650954</t>
  </si>
  <si>
    <t xml:space="preserve">Maria Einin </t>
  </si>
  <si>
    <t xml:space="preserve">Miranda Solano </t>
  </si>
  <si>
    <t>002275</t>
  </si>
  <si>
    <t>Sector 6, precario</t>
  </si>
  <si>
    <t>0602630021</t>
  </si>
  <si>
    <t xml:space="preserve">Mainor </t>
  </si>
  <si>
    <t xml:space="preserve">Villalobos Barahona </t>
  </si>
  <si>
    <t>002276</t>
  </si>
  <si>
    <t>0110550650</t>
  </si>
  <si>
    <t xml:space="preserve">Vianey de los Angeles </t>
  </si>
  <si>
    <t xml:space="preserve">Quesada Alvarado </t>
  </si>
  <si>
    <t>002277</t>
  </si>
  <si>
    <t>0202630320</t>
  </si>
  <si>
    <t xml:space="preserve">Gerardo Gabino </t>
  </si>
  <si>
    <t>Alvarado Ovares</t>
  </si>
  <si>
    <t>62615827</t>
  </si>
  <si>
    <t>002278</t>
  </si>
  <si>
    <t>0110160330</t>
  </si>
  <si>
    <t xml:space="preserve">Alvaro Enrique </t>
  </si>
  <si>
    <t>86164716</t>
  </si>
  <si>
    <t>002279</t>
  </si>
  <si>
    <t>0304160671</t>
  </si>
  <si>
    <t xml:space="preserve">Israel Jesus </t>
  </si>
  <si>
    <t xml:space="preserve">Morales Alvarado </t>
  </si>
  <si>
    <t>002280</t>
  </si>
  <si>
    <t xml:space="preserve">Sector 5, </t>
  </si>
  <si>
    <t>0205440265</t>
  </si>
  <si>
    <t>Hanzi</t>
  </si>
  <si>
    <t xml:space="preserve">Alvarado Ulate </t>
  </si>
  <si>
    <t>002281</t>
  </si>
  <si>
    <t>Sector 5</t>
  </si>
  <si>
    <t>155806616634</t>
  </si>
  <si>
    <t xml:space="preserve">Juan </t>
  </si>
  <si>
    <t xml:space="preserve">Murillo Diaz </t>
  </si>
  <si>
    <t>002282</t>
  </si>
  <si>
    <t xml:space="preserve">Guillermo </t>
  </si>
  <si>
    <t>002283</t>
  </si>
  <si>
    <t>0204650904</t>
  </si>
  <si>
    <t xml:space="preserve">Mario Enrique </t>
  </si>
  <si>
    <t xml:space="preserve">Ruiz Solis </t>
  </si>
  <si>
    <t>002284</t>
  </si>
  <si>
    <t>0206610198</t>
  </si>
  <si>
    <t xml:space="preserve">Josue </t>
  </si>
  <si>
    <t xml:space="preserve">Madriz Arce </t>
  </si>
  <si>
    <t>2285</t>
  </si>
  <si>
    <t>0203430058</t>
  </si>
  <si>
    <t>Rafael Angel</t>
  </si>
  <si>
    <t>Madriz Alvarado</t>
  </si>
  <si>
    <t>2286</t>
  </si>
  <si>
    <t>0201830318</t>
  </si>
  <si>
    <t>Blanca Silvia</t>
  </si>
  <si>
    <t>Alvarado Arce</t>
  </si>
  <si>
    <t>2287</t>
  </si>
  <si>
    <t>0204360096</t>
  </si>
  <si>
    <t>Mauricio</t>
  </si>
  <si>
    <t>Avila Molina</t>
  </si>
  <si>
    <t>60383060</t>
  </si>
  <si>
    <t>2288</t>
  </si>
  <si>
    <t>0203750146</t>
  </si>
  <si>
    <t>Germania Zoraida</t>
  </si>
  <si>
    <t>Arce Alvarado</t>
  </si>
  <si>
    <t>84885979</t>
  </si>
  <si>
    <t>2289</t>
  </si>
  <si>
    <t>Sector 2</t>
  </si>
  <si>
    <t>0201660467</t>
  </si>
  <si>
    <t>Morera Rodríguez</t>
  </si>
  <si>
    <t>2290</t>
  </si>
  <si>
    <t>0109550240</t>
  </si>
  <si>
    <t>Hilda</t>
  </si>
  <si>
    <t>Jiménez Peña</t>
  </si>
  <si>
    <t>2291</t>
  </si>
  <si>
    <t>0203080424</t>
  </si>
  <si>
    <t>Austelina</t>
  </si>
  <si>
    <t>Chavez Espinoza</t>
  </si>
  <si>
    <t>83305667</t>
  </si>
  <si>
    <t>2292</t>
  </si>
  <si>
    <t>0206280575</t>
  </si>
  <si>
    <t>Espinoza Chavez</t>
  </si>
  <si>
    <t>87240587</t>
  </si>
  <si>
    <t>2293</t>
  </si>
  <si>
    <t>0202830337</t>
  </si>
  <si>
    <t>Ruiz Solís</t>
  </si>
  <si>
    <t>2294</t>
  </si>
  <si>
    <t>0204490713</t>
  </si>
  <si>
    <t>2295</t>
  </si>
  <si>
    <t>0206820680</t>
  </si>
  <si>
    <t>Yendry</t>
  </si>
  <si>
    <t>Navarro Miranda</t>
  </si>
  <si>
    <t>2296</t>
  </si>
  <si>
    <t>0204750538</t>
  </si>
  <si>
    <t>Marta</t>
  </si>
  <si>
    <t>Miranda Cambronero</t>
  </si>
  <si>
    <t>2297</t>
  </si>
  <si>
    <t>0204700100</t>
  </si>
  <si>
    <t>Jaime</t>
  </si>
  <si>
    <t>Barquero Rodríguez</t>
  </si>
  <si>
    <t>Puente de Piedra</t>
  </si>
  <si>
    <t>002128</t>
  </si>
  <si>
    <t>GATO NEGRO</t>
  </si>
  <si>
    <t>0204530127</t>
  </si>
  <si>
    <t>CHINCHILLA CHAVEZ</t>
  </si>
  <si>
    <t>002136</t>
  </si>
  <si>
    <t>RAICERO</t>
  </si>
  <si>
    <t>DEL CRUCE "Y" ENTRE EL RAICERO Y RONCON DE SALAS, 100 M SOBRE LA CARRETERA A RAICERO ENTRADA A MANO IZQUIERDA</t>
  </si>
  <si>
    <t>0204700951</t>
  </si>
  <si>
    <t>MARIA PATRICIA</t>
  </si>
  <si>
    <t>UGALDE VENEGAS</t>
  </si>
  <si>
    <t>24440874</t>
  </si>
  <si>
    <t>002143</t>
  </si>
  <si>
    <t>CALLE LOMAS</t>
  </si>
  <si>
    <t>CALLE LOMAS 50 M SUR Y 25 M OESTE DE LA PULPERIA EL ALMENDRO</t>
  </si>
  <si>
    <t>0204990768</t>
  </si>
  <si>
    <t>MELENDEZ MEJIA</t>
  </si>
  <si>
    <t>86278194</t>
  </si>
  <si>
    <t>002146</t>
  </si>
  <si>
    <t>EL PORO, CALLE ROSALES</t>
  </si>
  <si>
    <t>25 M SUR Y 50 M SURESTE DE LA PULPERIA TANI</t>
  </si>
  <si>
    <t xml:space="preserve">JAVIER </t>
  </si>
  <si>
    <t>SOLANO MORA</t>
  </si>
  <si>
    <t>87614974</t>
  </si>
  <si>
    <t>002147</t>
  </si>
  <si>
    <t>25 M SUR 50 M SURESTE DE LA PULPERIA TANI</t>
  </si>
  <si>
    <t>0201700094</t>
  </si>
  <si>
    <t xml:space="preserve">BENITO </t>
  </si>
  <si>
    <t>HERNANDEZ CUBERO</t>
  </si>
  <si>
    <t>85248220</t>
  </si>
  <si>
    <t>002148</t>
  </si>
  <si>
    <t>25 M SUR Y 50 SURESTE DE LA PULPERIA TANI</t>
  </si>
  <si>
    <t>0205190285</t>
  </si>
  <si>
    <t xml:space="preserve">YEIMI </t>
  </si>
  <si>
    <t>002154</t>
  </si>
  <si>
    <t>CALLE RAICERO</t>
  </si>
  <si>
    <t>800 M SURESTE DEL ANTIGUO INGENIO LA ARGENTINA Y 25 M SUR DE LA ENTRADA A CALLE RAICERO, CASA DETRAS DEL MINI SUPER LA CRIOLLITA</t>
  </si>
  <si>
    <t>0202930182</t>
  </si>
  <si>
    <t>LEON GERARDO</t>
  </si>
  <si>
    <t>PORRAS QUESADA</t>
  </si>
  <si>
    <t>24448150</t>
  </si>
  <si>
    <t>002155</t>
  </si>
  <si>
    <t>800 M SUR DEL ANTIGUO INGENIO LA ARGENTINA Y 25 M SUR DE LA ENTRADA A CALLE RAICERO CASA DETRAS DEL MINI SUPER LA CRIOLLITA</t>
  </si>
  <si>
    <t>0202410697</t>
  </si>
  <si>
    <t>JOSE FERNANDO</t>
  </si>
  <si>
    <t>VENEGAS SANABRIA</t>
  </si>
  <si>
    <t>24442473</t>
  </si>
  <si>
    <t>002156</t>
  </si>
  <si>
    <t>800 MTS SURETE DEL ANTIGUO INGENIO LA ARGENTINA Y 25 MTS SUR DE LA ENTGRADA A CALLE RAICERO, CASA DETRAS DEL MINI SUPER LA CRIOLLITA</t>
  </si>
  <si>
    <t>0205390054</t>
  </si>
  <si>
    <t>FRANCISCO</t>
  </si>
  <si>
    <t>CONEJO PICADO</t>
  </si>
  <si>
    <t>84288960</t>
  </si>
  <si>
    <t>002163</t>
  </si>
  <si>
    <t xml:space="preserve">CALLE RAICERO </t>
  </si>
  <si>
    <t>900 METROS  ESTE DEL MINI SUPER LA CRIOLLITA, CASA A MANO DERECHA</t>
  </si>
  <si>
    <t>0203420133</t>
  </si>
  <si>
    <t>BRUNILDA</t>
  </si>
  <si>
    <t xml:space="preserve">GUTIERREZ VENEGAS </t>
  </si>
  <si>
    <t>24444635</t>
  </si>
  <si>
    <t>002131</t>
  </si>
  <si>
    <t>ACHIOTE</t>
  </si>
  <si>
    <t>50 M ANTES DEL RESTAURANTE SOL Y LUNA</t>
  </si>
  <si>
    <t>0205140083</t>
  </si>
  <si>
    <t>JENY</t>
  </si>
  <si>
    <t>UGALDE</t>
  </si>
  <si>
    <t>88931016</t>
  </si>
  <si>
    <t>002137</t>
  </si>
  <si>
    <t>150 M ESTE DE LA BOMBA DE SANTA GERTRUDIS, A MANO DERECHA.</t>
  </si>
  <si>
    <t>0900820837</t>
  </si>
  <si>
    <t>RUTH MARIA</t>
  </si>
  <si>
    <t>AGUERO VALVERDE</t>
  </si>
  <si>
    <t>24945369</t>
  </si>
  <si>
    <t>002141</t>
  </si>
  <si>
    <t>EL MESON</t>
  </si>
  <si>
    <t>100 M NORTE Y 25 M OESTE DEL TELEFONO PUBLICO</t>
  </si>
  <si>
    <t>0205330273</t>
  </si>
  <si>
    <t>FRAN</t>
  </si>
  <si>
    <t>PICADO RODRIGUEZ</t>
  </si>
  <si>
    <t>002164</t>
  </si>
  <si>
    <t xml:space="preserve">CALLE MOLINA DE LA ENTRADA 100 METROS NORTE,CAS A MANO DERECHA SIN PINTAR </t>
  </si>
  <si>
    <t>0205810061</t>
  </si>
  <si>
    <t>BERNAL</t>
  </si>
  <si>
    <t>QUIROS ZAMORA</t>
  </si>
  <si>
    <t>85301234</t>
  </si>
  <si>
    <t>002133</t>
  </si>
  <si>
    <t>SANTA GERTRUDIS NORTE</t>
  </si>
  <si>
    <t>50 M ANTES DE LA ANTIGUA CHICHARRONERA EN LA VUELTA DEL DIABLO, ENTRADA A MANO IZQUIERDA.</t>
  </si>
  <si>
    <t>0205100261</t>
  </si>
  <si>
    <t>YAHAIRA MARA</t>
  </si>
  <si>
    <t>QUESADA ROJAS</t>
  </si>
  <si>
    <t>89643982</t>
  </si>
  <si>
    <t>002139</t>
  </si>
  <si>
    <t>EL CEDRO</t>
  </si>
  <si>
    <t>700 M NORTE DE LA ESCUELA SAN RAFAEL</t>
  </si>
  <si>
    <t>0205470560</t>
  </si>
  <si>
    <t>HELLEN</t>
  </si>
  <si>
    <t>BOLAÑOS BALLESTERO</t>
  </si>
  <si>
    <t>88691812</t>
  </si>
  <si>
    <t>002140</t>
  </si>
  <si>
    <t>0204250719</t>
  </si>
  <si>
    <t>MIGUEL JESUS</t>
  </si>
  <si>
    <t>CALVO ZAMORA</t>
  </si>
  <si>
    <t>86222206</t>
  </si>
  <si>
    <t>002166</t>
  </si>
  <si>
    <t>LA ARENA</t>
  </si>
  <si>
    <t>72 METROS ESTE DEL PUENTE RIO ROSALES CAMINO A LA ARENA</t>
  </si>
  <si>
    <t>2030006210</t>
  </si>
  <si>
    <t>JULIO CESAR</t>
  </si>
  <si>
    <t xml:space="preserve">RIVAS CAMPOS </t>
  </si>
  <si>
    <t>002126</t>
  </si>
  <si>
    <t>LATINO</t>
  </si>
  <si>
    <t>CALLE REAINIER 400 M CASA A MANO DERECHA DE COLOR TERRACOTA</t>
  </si>
  <si>
    <t>0205600784</t>
  </si>
  <si>
    <t>IVAN DANIEL</t>
  </si>
  <si>
    <t>SANCHEZ BRICEÑO</t>
  </si>
  <si>
    <t>62454656</t>
  </si>
  <si>
    <t>002127</t>
  </si>
  <si>
    <t>CALLE REAINIER, 400 M CASA A MANO DERECHA DE COLOR TERRACOTA</t>
  </si>
  <si>
    <t>0207040775</t>
  </si>
  <si>
    <t>NATANAEL STEVEN</t>
  </si>
  <si>
    <t>Tacares</t>
  </si>
  <si>
    <t>002159</t>
  </si>
  <si>
    <t>EDUARDO PINTO</t>
  </si>
  <si>
    <t>ULTIMAS CASAS DE LA URBANIZACION EDUARO PINTO</t>
  </si>
  <si>
    <t>0401680220</t>
  </si>
  <si>
    <t>DINIA</t>
  </si>
  <si>
    <t>MASIS MEJIA</t>
  </si>
  <si>
    <t>62455604</t>
  </si>
  <si>
    <t>002160</t>
  </si>
  <si>
    <t>URBANIZACION EDUARDO PINTO</t>
  </si>
  <si>
    <t>ULTIMAS CASAS DE LA URBANIZACION EDUARDO PINTO</t>
  </si>
  <si>
    <t>0204920253</t>
  </si>
  <si>
    <t>RUTH</t>
  </si>
  <si>
    <t>PORRAS ARTAVIA</t>
  </si>
  <si>
    <t>002161</t>
  </si>
  <si>
    <t xml:space="preserve">ULTIMAS CASAS DE LA URBANCIACION EDUARDO PINTO </t>
  </si>
  <si>
    <t>0206500022</t>
  </si>
  <si>
    <t>YUBER</t>
  </si>
  <si>
    <t>VILLALOBOS HERRERA</t>
  </si>
  <si>
    <t>61681993</t>
  </si>
  <si>
    <t>000565</t>
  </si>
  <si>
    <t xml:space="preserve">800 MTS ESTE DE LA ENTRADA PRINCIPAL DE LA PASTORA DE LA ANTIGUA TELEFONO PUBLICO, SEGUNDA ALAMEDA CASAS N 9 PROYECTO LILLIANA SALAS </t>
  </si>
  <si>
    <t>0205800650</t>
  </si>
  <si>
    <t>PATRICIA</t>
  </si>
  <si>
    <t>VENEGAS AGUILAR</t>
  </si>
  <si>
    <t>85238747</t>
  </si>
  <si>
    <t>000098</t>
  </si>
  <si>
    <t>1 KM AL SO DE LA ESCUELA DE CORRALILLO</t>
  </si>
  <si>
    <t>0302450398</t>
  </si>
  <si>
    <t>EGIDIA</t>
  </si>
  <si>
    <t>BRENES CAMACHO</t>
  </si>
  <si>
    <t>86398897</t>
  </si>
  <si>
    <t>000099</t>
  </si>
  <si>
    <t>RIO CONEJO</t>
  </si>
  <si>
    <t>DETRAS TEMPLO CATOLICO RIO CONEJO, CORRALILLO</t>
  </si>
  <si>
    <t>0108490772</t>
  </si>
  <si>
    <t>ALVIN</t>
  </si>
  <si>
    <t>AMADOR SOLANO</t>
  </si>
  <si>
    <t>62295949</t>
  </si>
  <si>
    <t>000100</t>
  </si>
  <si>
    <t>75 MTS OESTE DEL PUENTE RIO CONEJO</t>
  </si>
  <si>
    <t>302620622</t>
  </si>
  <si>
    <t>FERNANDO</t>
  </si>
  <si>
    <t>HIDALGO CASTRO</t>
  </si>
  <si>
    <t>000101</t>
  </si>
  <si>
    <t>SAN JOAQUIN</t>
  </si>
  <si>
    <t>300 SUR OESTE DEL RECIBIDOR JUAN VIÑAS</t>
  </si>
  <si>
    <t>301940487</t>
  </si>
  <si>
    <t>VIRGILIO</t>
  </si>
  <si>
    <t xml:space="preserve">NAVARRO JIMENEZ </t>
  </si>
  <si>
    <t>84239692</t>
  </si>
  <si>
    <t>000102</t>
  </si>
  <si>
    <t>75 ESTE DEL PUENTE RIO CONEJO</t>
  </si>
  <si>
    <t>0112230255</t>
  </si>
  <si>
    <t>YULIANA</t>
  </si>
  <si>
    <t>HIDALGO AMADOR</t>
  </si>
  <si>
    <t>60404908</t>
  </si>
  <si>
    <t>000103</t>
  </si>
  <si>
    <t>NA</t>
  </si>
  <si>
    <t>600 SUR EL ANTIGUO MIRADOR</t>
  </si>
  <si>
    <t>0105110427</t>
  </si>
  <si>
    <t>MIGUEL</t>
  </si>
  <si>
    <t xml:space="preserve">FONSECA VALVERDE </t>
  </si>
  <si>
    <t>25481890</t>
  </si>
  <si>
    <t>001711</t>
  </si>
  <si>
    <t>contiguo a la Escuela de Casa Mata, casa color papaya</t>
  </si>
  <si>
    <t>0103580566</t>
  </si>
  <si>
    <t>Romero Padilla</t>
  </si>
  <si>
    <t>85579641</t>
  </si>
  <si>
    <t>001712</t>
  </si>
  <si>
    <t>Contiguo a la escuela de Casa Mata, casa prefa sin pintar</t>
  </si>
  <si>
    <t>0109750821</t>
  </si>
  <si>
    <t>Jhony</t>
  </si>
  <si>
    <t>Romero Cordero</t>
  </si>
  <si>
    <t>001713</t>
  </si>
  <si>
    <t>Contiguo a la escuela de Casa Mata, casa color terracota</t>
  </si>
  <si>
    <t>0115270549</t>
  </si>
  <si>
    <t>Javier</t>
  </si>
  <si>
    <t>Romero Cerdas</t>
  </si>
  <si>
    <t>001714</t>
  </si>
  <si>
    <t>Contiguo a la Escuela de Casa Mata, última casa de block sin pintar</t>
  </si>
  <si>
    <t>0107400674</t>
  </si>
  <si>
    <t>002469</t>
  </si>
  <si>
    <t>NO SE SABE</t>
  </si>
  <si>
    <t>GUTIERREZ HERNANDEZ</t>
  </si>
  <si>
    <t>002468</t>
  </si>
  <si>
    <t>LA PALMITA</t>
  </si>
  <si>
    <t>LA TRAMPA/ RIO CAÑAMERO CONTIGUO</t>
  </si>
  <si>
    <t>0501740618</t>
  </si>
  <si>
    <t>MANUEL</t>
  </si>
  <si>
    <t>SOLANO CARRANZA</t>
  </si>
  <si>
    <t>84384610</t>
  </si>
  <si>
    <t>002470</t>
  </si>
  <si>
    <t>LA GLORIA</t>
  </si>
  <si>
    <t>LA GLORIA, 700 METROS ESTE LUBRICENTRO FU</t>
  </si>
  <si>
    <t>0502010154</t>
  </si>
  <si>
    <t>ANA VICTORIA</t>
  </si>
  <si>
    <t>PANIAGUA SANCHEZ</t>
  </si>
  <si>
    <t>83852038</t>
  </si>
  <si>
    <t>002473</t>
  </si>
  <si>
    <t>BARRIO SAN FRANCISCO, FRENTE A PLAZA</t>
  </si>
  <si>
    <t>0503190953</t>
  </si>
  <si>
    <t>YENNIS DE LOS ANGELES</t>
  </si>
  <si>
    <t>RODRIGUEZ CHEVES</t>
  </si>
  <si>
    <t>84621709</t>
  </si>
  <si>
    <t>002476</t>
  </si>
  <si>
    <t>100 METROS ESTE DE PIEDRA EN SAN ANTONIO</t>
  </si>
  <si>
    <t>0503500316</t>
  </si>
  <si>
    <t>ROYNER ELOY</t>
  </si>
  <si>
    <t>GUTIERREZ VILLALOBOS</t>
  </si>
  <si>
    <t>89686356</t>
  </si>
  <si>
    <t>002477</t>
  </si>
  <si>
    <t>800 METROS ESTE DEL RESTAURANTE CABALLO BLANCO, O 125 METROS OESTE DE LA PRESA</t>
  </si>
  <si>
    <t>0501990283</t>
  </si>
  <si>
    <t>GERMAN</t>
  </si>
  <si>
    <t>MORERA SOLANO</t>
  </si>
  <si>
    <t>88017315</t>
  </si>
  <si>
    <t>002478</t>
  </si>
  <si>
    <t>125 MESTROS OESTE DE LA PIEDRA DE SAN ANTONIO</t>
  </si>
  <si>
    <t>0500410361</t>
  </si>
  <si>
    <t>CLAUDIA AMADA</t>
  </si>
  <si>
    <t>GONZALEZ GONZALEZ</t>
  </si>
  <si>
    <t>002479</t>
  </si>
  <si>
    <t>COSTADO SUR DE LA ESCUELA DE SAN FRANCISCO</t>
  </si>
  <si>
    <t>0602590651</t>
  </si>
  <si>
    <t>ZENEYDA MARIA</t>
  </si>
  <si>
    <t>VINDAS BOLIVAR</t>
  </si>
  <si>
    <t>87652458</t>
  </si>
  <si>
    <t>002480</t>
  </si>
  <si>
    <t>1 KM AL ESTE DEL LUBRICENTRO FUENTES (50 METROS ESTE DE LA PRESA)</t>
  </si>
  <si>
    <t>0604260517</t>
  </si>
  <si>
    <t>JORGE ALBERTO</t>
  </si>
  <si>
    <t>DURAN ESPINOZA</t>
  </si>
  <si>
    <t>84087357</t>
  </si>
  <si>
    <t>002481</t>
  </si>
  <si>
    <t>SAN JUAN CHIQUITO</t>
  </si>
  <si>
    <t>SAN JUAN CHIQUITO, 100 METROS SUR Y 200 METROS OESTE DE LA ESCUELA</t>
  </si>
  <si>
    <t>0201380436</t>
  </si>
  <si>
    <t>CESPEDEZ CESPEDEZ</t>
  </si>
  <si>
    <t>26620662</t>
  </si>
  <si>
    <t>002482</t>
  </si>
  <si>
    <t>FRENTE A CABINAS EL ENCANTO</t>
  </si>
  <si>
    <t>0500580493</t>
  </si>
  <si>
    <t>RAMON GREGORIO</t>
  </si>
  <si>
    <t>VARGAS QUIROS</t>
  </si>
  <si>
    <t>86061097</t>
  </si>
  <si>
    <t>002486</t>
  </si>
  <si>
    <t>PALO HUECO</t>
  </si>
  <si>
    <t>300 METROS ESTE DE LA BLOQUERA EN PALO HUECO</t>
  </si>
  <si>
    <t>0603560189</t>
  </si>
  <si>
    <t>CESAR AUGUSTO</t>
  </si>
  <si>
    <t>BARRIOS SANDOVAL</t>
  </si>
  <si>
    <t>64197420</t>
  </si>
  <si>
    <t>002487</t>
  </si>
  <si>
    <t>DE PULPERIA LA GLORIA DIAGONAL</t>
  </si>
  <si>
    <t>0601070771</t>
  </si>
  <si>
    <t>SOLANO JIMENEZ</t>
  </si>
  <si>
    <t>62379621</t>
  </si>
  <si>
    <t>002488</t>
  </si>
  <si>
    <t>DIAGONAL A LA PULPERIA LA GLORIA</t>
  </si>
  <si>
    <t>0501670733</t>
  </si>
  <si>
    <t>CARLOS LUIS GERARDO</t>
  </si>
  <si>
    <t>RAMIREZ RAMIREZ</t>
  </si>
  <si>
    <t>85321620</t>
  </si>
  <si>
    <t>002483</t>
  </si>
  <si>
    <t>ENTRADA A POZO AZUL</t>
  </si>
  <si>
    <t>400 METROS ESTE DE LA ENTRADA A POZO AZUL</t>
  </si>
  <si>
    <t>0502340592</t>
  </si>
  <si>
    <t>MATA SEGURA</t>
  </si>
  <si>
    <t>002484</t>
  </si>
  <si>
    <t>ENTRADA DE POZO AZUL</t>
  </si>
  <si>
    <t>400 METROS ESTE DE LA ENTRADA PRINCIPAL A POZO AZUL</t>
  </si>
  <si>
    <t>155813195729</t>
  </si>
  <si>
    <t>PEDRO</t>
  </si>
  <si>
    <t>CENTENO VANEGAS</t>
  </si>
  <si>
    <t>002485</t>
  </si>
  <si>
    <t>DE LA ENTRADA PRINCIPAL A POZO AZUL, 400 METROS ESTE</t>
  </si>
  <si>
    <t>0603500663</t>
  </si>
  <si>
    <t>ALICIA JOHANNA</t>
  </si>
  <si>
    <t>VEGA BONILLA</t>
  </si>
  <si>
    <t>86118071</t>
  </si>
  <si>
    <t>002467</t>
  </si>
  <si>
    <t>300 METRSO SUR DE LA ESCUELA DE LA CRUZ</t>
  </si>
  <si>
    <t>0603270794</t>
  </si>
  <si>
    <t>OSVALDO</t>
  </si>
  <si>
    <t>TREJOS CORRALES</t>
  </si>
  <si>
    <t>26456936</t>
  </si>
  <si>
    <t>002471</t>
  </si>
  <si>
    <t>LA SIERRA ABAJO, LOS FILTROS</t>
  </si>
  <si>
    <t>CAMINO ECOMUSEO, CALLE A MANO DERECHA AL FONDO</t>
  </si>
  <si>
    <t>0503060494</t>
  </si>
  <si>
    <t>ZENEIDA</t>
  </si>
  <si>
    <t>NAVARRO DIAZ</t>
  </si>
  <si>
    <t>002472</t>
  </si>
  <si>
    <t>EL DOS</t>
  </si>
  <si>
    <t>DIAGONAL A LA ESCUELA EL DOS</t>
  </si>
  <si>
    <t>0113390385</t>
  </si>
  <si>
    <t xml:space="preserve">SONIA </t>
  </si>
  <si>
    <t>VEGA RODRIGUEZ</t>
  </si>
  <si>
    <t>002474</t>
  </si>
  <si>
    <t>500 METROS OESTE DEL EBAIS DE EL DOS, CASA AMARILLA</t>
  </si>
  <si>
    <t>JUAN ELISEO</t>
  </si>
  <si>
    <t>GARCIA</t>
  </si>
  <si>
    <t>87760501</t>
  </si>
  <si>
    <t>002475</t>
  </si>
  <si>
    <t>300 METROS SUR DE LA ESCUELA LA CRUZ</t>
  </si>
  <si>
    <t>0601680873</t>
  </si>
  <si>
    <t>CORRALES ALFARO</t>
  </si>
  <si>
    <t>26459904</t>
  </si>
  <si>
    <t>002489</t>
  </si>
  <si>
    <t>LOS TORNOS</t>
  </si>
  <si>
    <t>400 METROS OESTE DE LA ESCUELA</t>
  </si>
  <si>
    <t>0602960577</t>
  </si>
  <si>
    <t>WILSON</t>
  </si>
  <si>
    <t>PEREZ ARTAVIA</t>
  </si>
  <si>
    <t>83547342</t>
  </si>
  <si>
    <t>002490</t>
  </si>
  <si>
    <t>200 METROS ANTES DEL SALON COMUNAL LA SIERRA LOS MOLINOS.</t>
  </si>
  <si>
    <t>0501320093</t>
  </si>
  <si>
    <t>ADEMAR</t>
  </si>
  <si>
    <t>SALAZAR ACOSTA</t>
  </si>
  <si>
    <t>83171284</t>
  </si>
  <si>
    <t>002491</t>
  </si>
  <si>
    <t>CAMPOS DE ORO</t>
  </si>
  <si>
    <t>525 METROS NORTE DEL EBAIS DE CAMPOS DE ORO</t>
  </si>
  <si>
    <t>0502790701</t>
  </si>
  <si>
    <t>FREDDY RAFAEL</t>
  </si>
  <si>
    <t>GRANADOS ANCHIA</t>
  </si>
  <si>
    <t>87600245</t>
  </si>
  <si>
    <t>002492</t>
  </si>
  <si>
    <t>DEL EBAIS DE CAMPOS DE ORO 525 METROS AL NORTE</t>
  </si>
  <si>
    <t>0502640221</t>
  </si>
  <si>
    <t>ARGUEDAS VILLALOBOS</t>
  </si>
  <si>
    <t>84783812</t>
  </si>
  <si>
    <t>002493</t>
  </si>
  <si>
    <t>500 METROS ESTE DE LA ESCUELA</t>
  </si>
  <si>
    <t>0502490098</t>
  </si>
  <si>
    <t>XENIA MARIA</t>
  </si>
  <si>
    <t>SANDOVAL PRENDAS</t>
  </si>
  <si>
    <t>84230602</t>
  </si>
  <si>
    <t>002494</t>
  </si>
  <si>
    <t>DE BAR LA FUENTE 150 METROS AL NORTE SAN RAFAEL</t>
  </si>
  <si>
    <t>0503040701</t>
  </si>
  <si>
    <t>SUNIA</t>
  </si>
  <si>
    <t>LEAL GUTIERREZ</t>
  </si>
  <si>
    <t>87436130</t>
  </si>
  <si>
    <t>000001</t>
  </si>
  <si>
    <t>200 METRSO SUR DEL INA, CONTIGUO AL RIO SAN GERONIMO</t>
  </si>
  <si>
    <t>155821428519</t>
  </si>
  <si>
    <t>GREGORINA ANTONIA</t>
  </si>
  <si>
    <t>JUAREZ</t>
  </si>
  <si>
    <t>89243326</t>
  </si>
  <si>
    <t>000002</t>
  </si>
  <si>
    <t>AGUA CALIENTE</t>
  </si>
  <si>
    <t>300 METROS SUR DEL SALON COMUNAL</t>
  </si>
  <si>
    <t>ISRAEL ADONIS</t>
  </si>
  <si>
    <t>LAZO GARCIA</t>
  </si>
  <si>
    <t>84298735</t>
  </si>
  <si>
    <t>000003</t>
  </si>
  <si>
    <t>BAGATZI</t>
  </si>
  <si>
    <t>BAGATZI, 400 METROS DE LA ESCUELA Y 250 METROS ESTE</t>
  </si>
  <si>
    <t>JACINTO</t>
  </si>
  <si>
    <t>GUTIERREZ LOPEZ</t>
  </si>
  <si>
    <t>000004</t>
  </si>
  <si>
    <t>300 METROS DEL SALON COMUNAL DE AGUA CALIENTE</t>
  </si>
  <si>
    <t>0502460158</t>
  </si>
  <si>
    <t>MARCOS</t>
  </si>
  <si>
    <t>CAMPOS QUIROS</t>
  </si>
  <si>
    <t>84852670</t>
  </si>
  <si>
    <t>000005</t>
  </si>
  <si>
    <t>300 METROS SUR DEL SALON COMUNAL, CASA DE BLOCK Y MADERA</t>
  </si>
  <si>
    <t>0501100552</t>
  </si>
  <si>
    <t>MARIA CRUZ</t>
  </si>
  <si>
    <t>QUIROS QUIROS</t>
  </si>
  <si>
    <t>87205462</t>
  </si>
  <si>
    <t>000006</t>
  </si>
  <si>
    <t>150 METROS SUR Y 1200 METROS OESTE DEL INA</t>
  </si>
  <si>
    <t>0600460141</t>
  </si>
  <si>
    <t>MODESTO</t>
  </si>
  <si>
    <t>GARCIA GONZALEZ</t>
  </si>
  <si>
    <t>86137469</t>
  </si>
  <si>
    <t>000007</t>
  </si>
  <si>
    <t>ASENTAMIENTO LA SOGA, AGUA CALIENTE, LOTE 235</t>
  </si>
  <si>
    <t>0501940378</t>
  </si>
  <si>
    <t>MARTINEZ MARTINEZ</t>
  </si>
  <si>
    <t>83543789</t>
  </si>
  <si>
    <t>000008</t>
  </si>
  <si>
    <t>DEL SALON COMUNAL 300 METROS AL SUR, CASA DE BLOCKS Y MADERA</t>
  </si>
  <si>
    <t>0501920338</t>
  </si>
  <si>
    <t>VALENTIN</t>
  </si>
  <si>
    <t>83929705</t>
  </si>
  <si>
    <t>000009</t>
  </si>
  <si>
    <t>ASENTAMIENTO LA SOGA, AGUA CALIENTE LOTE 233</t>
  </si>
  <si>
    <t>0503190138</t>
  </si>
  <si>
    <t>XINIA MARIA</t>
  </si>
  <si>
    <t>RODRIGUEZ BARAHONA</t>
  </si>
  <si>
    <t>89524161</t>
  </si>
  <si>
    <t>000010</t>
  </si>
  <si>
    <t>DEL SALON COMUNAL 300 METROS SUR, CASA COLOR BLANCA PARTE DE ATRAS</t>
  </si>
  <si>
    <t>0504140271</t>
  </si>
  <si>
    <t>CANALES CAMPOS</t>
  </si>
  <si>
    <t>83052244</t>
  </si>
  <si>
    <t>000011</t>
  </si>
  <si>
    <t>1 KM AL OSTE DEL CANAL, CONTIGUO A LA REPRESA</t>
  </si>
  <si>
    <t>155823801001</t>
  </si>
  <si>
    <t>INOCENTE RICARDO</t>
  </si>
  <si>
    <t>GARCIA ANGULO</t>
  </si>
  <si>
    <t>89782715</t>
  </si>
  <si>
    <t>000062</t>
  </si>
  <si>
    <t>BEBEDERO</t>
  </si>
  <si>
    <t xml:space="preserve">200 MTS ESTE DEL PUENTE DE HAMACA, CASA CON PILOTES DE MADERA MANO IZQUIERDA
</t>
  </si>
  <si>
    <t>5026006500</t>
  </si>
  <si>
    <t>VICTOR JULIO</t>
  </si>
  <si>
    <t>87931550</t>
  </si>
  <si>
    <t>000063</t>
  </si>
  <si>
    <t>DEL PUENTE HAMACA, 150 METROS ESTE MANO IZQUIERDA, CASA COLOR BEIGE</t>
  </si>
  <si>
    <t>AUGUSTO</t>
  </si>
  <si>
    <t>MOLINA JUAREZ</t>
  </si>
  <si>
    <t>000064</t>
  </si>
  <si>
    <t xml:space="preserve">75 NORTE Y 50 OESTE DEL SALON COMUNAL, CASA COLOR VEREDE, MANO DERECHA </t>
  </si>
  <si>
    <t>155802115808</t>
  </si>
  <si>
    <t>EMILIO</t>
  </si>
  <si>
    <t>MARTINEZ LOPEZ</t>
  </si>
  <si>
    <t>000065</t>
  </si>
  <si>
    <t>75 MTS NORTE Y 50 ESTE DEL SALON COMUNAL CASA COLOR VERDE LADO DRECHO 2 PLANTAS</t>
  </si>
  <si>
    <t>MASIS ABURTO</t>
  </si>
  <si>
    <t>000066</t>
  </si>
  <si>
    <t>100 MTS NORTE DE LA PLAZA DE FUTBOL DE BEBEDERO</t>
  </si>
  <si>
    <t>5033908080</t>
  </si>
  <si>
    <t>ARGENIS</t>
  </si>
  <si>
    <t>ESPINOZA ESPINOZA</t>
  </si>
  <si>
    <t>000067</t>
  </si>
  <si>
    <t>25 MTS CONTIGUO A LA PLAZA DE DEPORTES BEBEDERO, PULPERIA CHICO PEREZ</t>
  </si>
  <si>
    <t>9008503050</t>
  </si>
  <si>
    <t>PEREZ MENDOZA</t>
  </si>
  <si>
    <t>62426564</t>
  </si>
  <si>
    <t>000068</t>
  </si>
  <si>
    <t>50 MTS NORTE DE LA PLAZA DE FUTBOL BEBEDERO, CASA COLOR VERDE</t>
  </si>
  <si>
    <t>5028904360</t>
  </si>
  <si>
    <t>JORGE ANDRES</t>
  </si>
  <si>
    <t>QUIROS FONSECA</t>
  </si>
  <si>
    <t>86941055</t>
  </si>
  <si>
    <t>000069</t>
  </si>
  <si>
    <t xml:space="preserve">COSTADO SUR DE LA PLAZA DE DEPORTES DE BEBEDERO CASA COLOR VERDE CON ROJO </t>
  </si>
  <si>
    <t>5025807780</t>
  </si>
  <si>
    <t>RODRIGUEZ CHAVARRIA</t>
  </si>
  <si>
    <t>88667980</t>
  </si>
  <si>
    <t>000070</t>
  </si>
  <si>
    <t>250 MTS AL NORTE DEL PUENTE DE HAMACA</t>
  </si>
  <si>
    <t>5023507210</t>
  </si>
  <si>
    <t>DANIEL ARTURO</t>
  </si>
  <si>
    <t xml:space="preserve">MARCHENA GODINEZ </t>
  </si>
  <si>
    <t>88881832</t>
  </si>
  <si>
    <t>000071</t>
  </si>
  <si>
    <t xml:space="preserve">BEBEDERO </t>
  </si>
  <si>
    <t xml:space="preserve">DEL PUENTE DE HAMACA 250 METOS AL ESTE,CASA VERDE CLARO </t>
  </si>
  <si>
    <t>5015808780</t>
  </si>
  <si>
    <t>YANINA</t>
  </si>
  <si>
    <t>QUIROS ALVARADO</t>
  </si>
  <si>
    <t>86056086</t>
  </si>
  <si>
    <t>000072</t>
  </si>
  <si>
    <t>SALON COMUNAL 75 MTS AL SUR, CAS COLOR VERDE</t>
  </si>
  <si>
    <t>5021307300</t>
  </si>
  <si>
    <t>MATARRITA ENRIQUEZ</t>
  </si>
  <si>
    <t>64204370</t>
  </si>
  <si>
    <t>000073</t>
  </si>
  <si>
    <t>250 MTS AL ESTE DEL PUNETE DE HAMACA BEBEDERO</t>
  </si>
  <si>
    <t>5020600930</t>
  </si>
  <si>
    <t xml:space="preserve">ANA MARIA </t>
  </si>
  <si>
    <t>62056497</t>
  </si>
  <si>
    <t>000074</t>
  </si>
  <si>
    <t>BEBEDRO</t>
  </si>
  <si>
    <t xml:space="preserve">75 MTS NORTE DE LA PLAZA DE BEBEDERO CASA COLOR BLANCO </t>
  </si>
  <si>
    <t>5006304710</t>
  </si>
  <si>
    <t>DOMINGA</t>
  </si>
  <si>
    <t>FONSECA MORAGA</t>
  </si>
  <si>
    <t>86477534</t>
  </si>
  <si>
    <t>000075</t>
  </si>
  <si>
    <t>FRENTE A LA PLAZA DE FUTBOL DE BEBEDERO</t>
  </si>
  <si>
    <t>5033902040</t>
  </si>
  <si>
    <t>HARVER</t>
  </si>
  <si>
    <t>SUAREZ SOLIS</t>
  </si>
  <si>
    <t>89536820</t>
  </si>
  <si>
    <t>000076</t>
  </si>
  <si>
    <t>DEL SALON COMUNAL 200 METS SURESTE</t>
  </si>
  <si>
    <t>5017002660</t>
  </si>
  <si>
    <t>LUIS ANTONIO</t>
  </si>
  <si>
    <t>QUIRÓS QUIRÓS</t>
  </si>
  <si>
    <t>000077</t>
  </si>
  <si>
    <t>150 MTS ESTE DEL PUENTE DE HAMACA BEBEDERO</t>
  </si>
  <si>
    <t>5038107420</t>
  </si>
  <si>
    <t>ABIGAIL</t>
  </si>
  <si>
    <t>HERNANDEZ MEJIA</t>
  </si>
  <si>
    <t>88403552</t>
  </si>
  <si>
    <t>000078</t>
  </si>
  <si>
    <t>5028909950</t>
  </si>
  <si>
    <t>DECIO ANTONIO</t>
  </si>
  <si>
    <t xml:space="preserve">MARTINEZ MORALES </t>
  </si>
  <si>
    <t>60197035</t>
  </si>
  <si>
    <t>000079</t>
  </si>
  <si>
    <t>FRENTE A LA PLAZA DE BEBEDERO</t>
  </si>
  <si>
    <t>5016409250</t>
  </si>
  <si>
    <t>CANDIDO</t>
  </si>
  <si>
    <t xml:space="preserve">PEREZ FAJARDO </t>
  </si>
  <si>
    <t>85859763</t>
  </si>
  <si>
    <t>000080</t>
  </si>
  <si>
    <t xml:space="preserve">DEL PUENTE DE HAMACA 250 MTS ESTE A ORILLAS DEL RIO </t>
  </si>
  <si>
    <t>5029706030</t>
  </si>
  <si>
    <t>LUIS ENRIQUE</t>
  </si>
  <si>
    <t>QUIROS SALGADO</t>
  </si>
  <si>
    <t>000081</t>
  </si>
  <si>
    <t>BEBEDERI</t>
  </si>
  <si>
    <t>DEL PUENTE DE HAMACA 200 MTS AL ESTE</t>
  </si>
  <si>
    <t>5036005070</t>
  </si>
  <si>
    <t>JUAN DIEGO</t>
  </si>
  <si>
    <t>VARGAS ARGUEDAS</t>
  </si>
  <si>
    <t>86020592</t>
  </si>
  <si>
    <t>000082</t>
  </si>
  <si>
    <t>150 MTS NORTE DEL PUENTE DE HAMACA. BEBEDERO</t>
  </si>
  <si>
    <t>5037800660</t>
  </si>
  <si>
    <t>KEINERTH</t>
  </si>
  <si>
    <t>MORALES MORALES</t>
  </si>
  <si>
    <t>61604229</t>
  </si>
  <si>
    <t>000083</t>
  </si>
  <si>
    <t>FRENTE A LA PLAZA, COSTADO DE PULPERIA</t>
  </si>
  <si>
    <t>2047306810</t>
  </si>
  <si>
    <t>ELENA</t>
  </si>
  <si>
    <t>DUARTE BARILLA</t>
  </si>
  <si>
    <t>62794671</t>
  </si>
  <si>
    <t>000084</t>
  </si>
  <si>
    <t xml:space="preserve">50 MTS OESTE DEL SALON COMUNAL </t>
  </si>
  <si>
    <t>2049704690</t>
  </si>
  <si>
    <t>87362300</t>
  </si>
  <si>
    <t>0000085</t>
  </si>
  <si>
    <t>CONTIGUO AL SALON COMUNAL BEBEDERO</t>
  </si>
  <si>
    <t>NIDIA</t>
  </si>
  <si>
    <t>ULLOA BLANDON</t>
  </si>
  <si>
    <t>86638482</t>
  </si>
  <si>
    <t>000086</t>
  </si>
  <si>
    <t>75 MTS SUR DLE SALON COMUNAL</t>
  </si>
  <si>
    <t>0503480968</t>
  </si>
  <si>
    <t>LORENZO ANTONIO</t>
  </si>
  <si>
    <t>62094590</t>
  </si>
  <si>
    <t>000087</t>
  </si>
  <si>
    <t>BEBEDERO, 75 OESTE DEL PUENTE COLGANTE COSTADO SUR DE LA PLAZA DE FUTBOL</t>
  </si>
  <si>
    <t>0110030905</t>
  </si>
  <si>
    <t>MICHAEL VINICIO</t>
  </si>
  <si>
    <t>DUARTE CASCANTE</t>
  </si>
  <si>
    <t>63625267</t>
  </si>
  <si>
    <t>000088</t>
  </si>
  <si>
    <t>75 MTS SUR DEL SALON COMUNAL DE BEBEDERO</t>
  </si>
  <si>
    <t>155809490534</t>
  </si>
  <si>
    <t>JUAN</t>
  </si>
  <si>
    <t>FONSECA ESPINOZA</t>
  </si>
  <si>
    <t>76740015</t>
  </si>
  <si>
    <t>000089</t>
  </si>
  <si>
    <t>COSTADO SUR DE LA PLAZA DE FUTBOL DE BEBEDERO</t>
  </si>
  <si>
    <t>0502210658</t>
  </si>
  <si>
    <t>XINIA</t>
  </si>
  <si>
    <t>86072397</t>
  </si>
  <si>
    <t>000090</t>
  </si>
  <si>
    <t xml:space="preserve">DE LA PLAZA DE BEBEDERO 100 MTS AL ESTE </t>
  </si>
  <si>
    <t>155821147326</t>
  </si>
  <si>
    <t>JESENIA</t>
  </si>
  <si>
    <t>RIVAS BRICEÑO</t>
  </si>
  <si>
    <t>86647460</t>
  </si>
  <si>
    <t>0000091</t>
  </si>
  <si>
    <t>DE LA PLAZA DE BEBEDERO 75 MTS AL ESTE</t>
  </si>
  <si>
    <t>155808395317</t>
  </si>
  <si>
    <t>GUTIERREZ LAZO</t>
  </si>
  <si>
    <t>61603940</t>
  </si>
  <si>
    <t>000092</t>
  </si>
  <si>
    <t>300 MTS AL SUR DEL SALON COMUNAL DE AGUA CALIENTE</t>
  </si>
  <si>
    <t>0504340621</t>
  </si>
  <si>
    <t>BRAYAN ANTONIO</t>
  </si>
  <si>
    <t>QUIROS CORTES</t>
  </si>
  <si>
    <t>83314801</t>
  </si>
  <si>
    <t>000093</t>
  </si>
  <si>
    <t xml:space="preserve">DEL SALON COMUNAL 30 MTS NORTE, CASA COLOR ROJO MANO DERECHA </t>
  </si>
  <si>
    <t>155813359414</t>
  </si>
  <si>
    <t>AMMER VACILIO</t>
  </si>
  <si>
    <t>LOPEZ RIVERA</t>
  </si>
  <si>
    <t>63739638</t>
  </si>
  <si>
    <t>172</t>
  </si>
  <si>
    <t>De la pulpería de memo, detrás de la iglesia Pentecostal</t>
  </si>
  <si>
    <t>0501440881</t>
  </si>
  <si>
    <t>Borges Hernández</t>
  </si>
  <si>
    <t>87125744</t>
  </si>
  <si>
    <t>173</t>
  </si>
  <si>
    <t>Kattia</t>
  </si>
  <si>
    <t>Vallejos Espinoza</t>
  </si>
  <si>
    <t>175</t>
  </si>
  <si>
    <t>de la entrada de la pulperia de memo, detras de la iglesia Pentecostal</t>
  </si>
  <si>
    <t>Orlando</t>
  </si>
  <si>
    <t>Ruiz Rocha</t>
  </si>
  <si>
    <t>176</t>
  </si>
  <si>
    <t>0503220448</t>
  </si>
  <si>
    <t>Marvin Arnulfo</t>
  </si>
  <si>
    <t>Noguera Chavarría</t>
  </si>
  <si>
    <t>178</t>
  </si>
  <si>
    <t>Atrás de la casa de Felipe</t>
  </si>
  <si>
    <t>Castillo</t>
  </si>
  <si>
    <t>179</t>
  </si>
  <si>
    <t>Frente al Salon Chinior's Bar</t>
  </si>
  <si>
    <t>Dinarte Cerdas</t>
  </si>
  <si>
    <t>180</t>
  </si>
  <si>
    <t>Frente a Chinior Bar</t>
  </si>
  <si>
    <t>155807490816</t>
  </si>
  <si>
    <t>María Teresa</t>
  </si>
  <si>
    <t>Rojas Pérez</t>
  </si>
  <si>
    <t>86656969</t>
  </si>
  <si>
    <t>181</t>
  </si>
  <si>
    <t>Contiguo a la Tienda Carla Fabiana</t>
  </si>
  <si>
    <t>155812570424</t>
  </si>
  <si>
    <t>Elizabeth</t>
  </si>
  <si>
    <t>Alfred Lincoln</t>
  </si>
  <si>
    <t>83649568</t>
  </si>
  <si>
    <t>183</t>
  </si>
  <si>
    <t>Frente al ciclo Bici repuestos y más</t>
  </si>
  <si>
    <t>0604320206</t>
  </si>
  <si>
    <t>Marian</t>
  </si>
  <si>
    <t>Centeno Rodríguez</t>
  </si>
  <si>
    <t>184</t>
  </si>
  <si>
    <t>del Senior's Bar 100 metros norte</t>
  </si>
  <si>
    <t>0504100534</t>
  </si>
  <si>
    <t>Eliécer</t>
  </si>
  <si>
    <t>Morales Palma</t>
  </si>
  <si>
    <t>86440101</t>
  </si>
  <si>
    <t>185</t>
  </si>
  <si>
    <t>Contiguo a los Pooles de Felipito</t>
  </si>
  <si>
    <t>155815209003</t>
  </si>
  <si>
    <t>Jose</t>
  </si>
  <si>
    <t>Tijerino Torres</t>
  </si>
  <si>
    <t>86481816</t>
  </si>
  <si>
    <t>186</t>
  </si>
  <si>
    <t>0103970658</t>
  </si>
  <si>
    <t>187</t>
  </si>
  <si>
    <t>Costado Noroeste de la Escuela</t>
  </si>
  <si>
    <t>0503060314</t>
  </si>
  <si>
    <t>Moisés Ramón</t>
  </si>
  <si>
    <t>Herrera Marchena</t>
  </si>
  <si>
    <t>84085980</t>
  </si>
  <si>
    <t>188</t>
  </si>
  <si>
    <t>Costado oeste de la Escuela Bebedero</t>
  </si>
  <si>
    <t>Innes</t>
  </si>
  <si>
    <t>Matarrita Lopez</t>
  </si>
  <si>
    <t>84519065</t>
  </si>
  <si>
    <t>189</t>
  </si>
  <si>
    <t>100 m sur del Senior's Bar</t>
  </si>
  <si>
    <t>0503910493</t>
  </si>
  <si>
    <t xml:space="preserve">Andrea </t>
  </si>
  <si>
    <t>Mena Mairena</t>
  </si>
  <si>
    <t>190</t>
  </si>
  <si>
    <t>0253400100</t>
  </si>
  <si>
    <t xml:space="preserve">Emilena </t>
  </si>
  <si>
    <t>Reyes Mairena</t>
  </si>
  <si>
    <t>89078955</t>
  </si>
  <si>
    <t>191</t>
  </si>
  <si>
    <t>25 metros sur del Bar Cabuya</t>
  </si>
  <si>
    <t>155802210703</t>
  </si>
  <si>
    <t>Encarnación</t>
  </si>
  <si>
    <t>Masís Aburto</t>
  </si>
  <si>
    <t>86344324</t>
  </si>
  <si>
    <t>192</t>
  </si>
  <si>
    <t>Contigua al puente de hamaca a mano izquierda</t>
  </si>
  <si>
    <t>5652409500001R</t>
  </si>
  <si>
    <t>Mercedes Gerardo</t>
  </si>
  <si>
    <t>85367462</t>
  </si>
  <si>
    <t>193</t>
  </si>
  <si>
    <t>150 metros suroeste del Bar Cabuya</t>
  </si>
  <si>
    <t xml:space="preserve">Gloria </t>
  </si>
  <si>
    <t>Espinoza</t>
  </si>
  <si>
    <t>194</t>
  </si>
  <si>
    <t>150 m sur del Bar Cayuga</t>
  </si>
  <si>
    <t xml:space="preserve">Paulina </t>
  </si>
  <si>
    <t>Espinoza Duarte</t>
  </si>
  <si>
    <t>000195</t>
  </si>
  <si>
    <t>150 suroeste bar Cayuga</t>
  </si>
  <si>
    <t>0503400323</t>
  </si>
  <si>
    <t xml:space="preserve">Deiby </t>
  </si>
  <si>
    <t>Castillo Salgado</t>
  </si>
  <si>
    <t>000200</t>
  </si>
  <si>
    <t>Junto al puente, mano izquierda</t>
  </si>
  <si>
    <t>0107450934</t>
  </si>
  <si>
    <t>Obando López</t>
  </si>
  <si>
    <t>000201</t>
  </si>
  <si>
    <t>Bar la Pista, 50 mts oeste</t>
  </si>
  <si>
    <t>Badilla Blandón</t>
  </si>
  <si>
    <t>000202</t>
  </si>
  <si>
    <t>0503800586</t>
  </si>
  <si>
    <t>Milady Mariam</t>
  </si>
  <si>
    <t>Hernández Araya</t>
  </si>
  <si>
    <t>000203</t>
  </si>
  <si>
    <t>Frente Aventura Arenal, casa verde</t>
  </si>
  <si>
    <t>Pedro</t>
  </si>
  <si>
    <t>Guzmán</t>
  </si>
  <si>
    <t>83941940</t>
  </si>
  <si>
    <t>000204</t>
  </si>
  <si>
    <t>Frente aventura arenal, casa verde</t>
  </si>
  <si>
    <t>Ruben Agustín</t>
  </si>
  <si>
    <t>Guzmán Bonilla</t>
  </si>
  <si>
    <t>000205</t>
  </si>
  <si>
    <t>0604030783</t>
  </si>
  <si>
    <t>Karolay</t>
  </si>
  <si>
    <t>Álvarez Obando</t>
  </si>
  <si>
    <t>64082869</t>
  </si>
  <si>
    <t>000206</t>
  </si>
  <si>
    <t>25 mts sur de Bar Cayuga, 15 mts oeste atrás</t>
  </si>
  <si>
    <t>0503750220</t>
  </si>
  <si>
    <t>Rocío</t>
  </si>
  <si>
    <t>López López</t>
  </si>
  <si>
    <t>85554184</t>
  </si>
  <si>
    <t>000207</t>
  </si>
  <si>
    <t>Del bar Caguya 75 sur</t>
  </si>
  <si>
    <t>0503320982</t>
  </si>
  <si>
    <t>Elier</t>
  </si>
  <si>
    <t>84415562</t>
  </si>
  <si>
    <t>000208</t>
  </si>
  <si>
    <t>Frente a la Delegación Rural nueva</t>
  </si>
  <si>
    <t>0503890580</t>
  </si>
  <si>
    <t>Luis Antonio</t>
  </si>
  <si>
    <t xml:space="preserve">López Miranda </t>
  </si>
  <si>
    <t>85768583</t>
  </si>
  <si>
    <t>000209</t>
  </si>
  <si>
    <t>30 mts antes del puente de hamacas</t>
  </si>
  <si>
    <t>0503140552</t>
  </si>
  <si>
    <t>Ervin Alfonso</t>
  </si>
  <si>
    <t>Marín Chavarría</t>
  </si>
  <si>
    <t>26740500</t>
  </si>
  <si>
    <t>000210</t>
  </si>
  <si>
    <t>Del Cayuga, 100 metros norte, casa rosada</t>
  </si>
  <si>
    <t>155801661104</t>
  </si>
  <si>
    <t>84108291</t>
  </si>
  <si>
    <t>000211</t>
  </si>
  <si>
    <t>75 sur 100 oeste Bar Cayuga</t>
  </si>
  <si>
    <t>0503040638</t>
  </si>
  <si>
    <t xml:space="preserve">Kattia </t>
  </si>
  <si>
    <t>Chavarría López</t>
  </si>
  <si>
    <t>86093316</t>
  </si>
  <si>
    <t>000212</t>
  </si>
  <si>
    <t>Contigua a Catatur</t>
  </si>
  <si>
    <t>0603000522</t>
  </si>
  <si>
    <t>Irene</t>
  </si>
  <si>
    <t>Morales Mejía</t>
  </si>
  <si>
    <t>86128149</t>
  </si>
  <si>
    <t>000214</t>
  </si>
  <si>
    <t>Del Caruga 75 sur y 25 oeste</t>
  </si>
  <si>
    <t>155810429516</t>
  </si>
  <si>
    <t>Hernández Mendoza</t>
  </si>
  <si>
    <t>85025025</t>
  </si>
  <si>
    <t>000215</t>
  </si>
  <si>
    <t>200 oeste de la escuela. Chinios Bar</t>
  </si>
  <si>
    <t>0107280306</t>
  </si>
  <si>
    <t>García García</t>
  </si>
  <si>
    <t>88228490</t>
  </si>
  <si>
    <t>000216</t>
  </si>
  <si>
    <t>25 sur del Bar Cayuga</t>
  </si>
  <si>
    <t>0604270128</t>
  </si>
  <si>
    <t>Deiver</t>
  </si>
  <si>
    <t>Campos Masis</t>
  </si>
  <si>
    <t>84599203</t>
  </si>
  <si>
    <t>000217</t>
  </si>
  <si>
    <t>155809600414</t>
  </si>
  <si>
    <t>Bartolo</t>
  </si>
  <si>
    <t>Ruiz Serrato</t>
  </si>
  <si>
    <t>85975087</t>
  </si>
  <si>
    <t>000219</t>
  </si>
  <si>
    <t xml:space="preserve">30 mts al Sur del Bar Cayuga </t>
  </si>
  <si>
    <t>0501950628</t>
  </si>
  <si>
    <t xml:space="preserve">Arnulfo </t>
  </si>
  <si>
    <t>Fuentes Alvarez</t>
  </si>
  <si>
    <t>85094642</t>
  </si>
  <si>
    <t>000220</t>
  </si>
  <si>
    <t xml:space="preserve">30 mts sur del Bar Cayuga </t>
  </si>
  <si>
    <t>0503670276</t>
  </si>
  <si>
    <t>Adrian de Jesus</t>
  </si>
  <si>
    <t>Fuentes Henriquez</t>
  </si>
  <si>
    <t>000221</t>
  </si>
  <si>
    <t>Frente a Cata Tours</t>
  </si>
  <si>
    <t>0501090300</t>
  </si>
  <si>
    <t xml:space="preserve">Daisy </t>
  </si>
  <si>
    <t xml:space="preserve">Miranda Miranda </t>
  </si>
  <si>
    <t>84127486</t>
  </si>
  <si>
    <t>000222</t>
  </si>
  <si>
    <t xml:space="preserve">250m al sur del bar la pista </t>
  </si>
  <si>
    <t>0601650550</t>
  </si>
  <si>
    <t>Lopez Palacios</t>
  </si>
  <si>
    <t>86122833</t>
  </si>
  <si>
    <t>000223</t>
  </si>
  <si>
    <t>centro</t>
  </si>
  <si>
    <t xml:space="preserve">del bar la pista 200m sur </t>
  </si>
  <si>
    <t>0502880357</t>
  </si>
  <si>
    <t xml:space="preserve">Robert  Antonio </t>
  </si>
  <si>
    <t xml:space="preserve">Lopez Espinoza </t>
  </si>
  <si>
    <t>85623053</t>
  </si>
  <si>
    <t>000224</t>
  </si>
  <si>
    <t xml:space="preserve">De la pista 250 sur </t>
  </si>
  <si>
    <t xml:space="preserve">Marin Marin </t>
  </si>
  <si>
    <t>86122823</t>
  </si>
  <si>
    <t>000225</t>
  </si>
  <si>
    <t>Del bar la pista 250m sur y 30m oeste.</t>
  </si>
  <si>
    <t>0502820050</t>
  </si>
  <si>
    <t xml:space="preserve">Juver </t>
  </si>
  <si>
    <t xml:space="preserve">Ruiz Espinoza </t>
  </si>
  <si>
    <t>86869237</t>
  </si>
  <si>
    <t>000226</t>
  </si>
  <si>
    <t xml:space="preserve">Del Bar la pista 250 sur </t>
  </si>
  <si>
    <t>0600720557</t>
  </si>
  <si>
    <t xml:space="preserve">Octavia </t>
  </si>
  <si>
    <t>Palacios Alvarado</t>
  </si>
  <si>
    <t>000227</t>
  </si>
  <si>
    <t xml:space="preserve">200m sur del Bar la pista </t>
  </si>
  <si>
    <t>0501090255</t>
  </si>
  <si>
    <t>Flores Lopez</t>
  </si>
  <si>
    <t>000228</t>
  </si>
  <si>
    <t>Del Bar la Pista 200 sur y 50 Este</t>
  </si>
  <si>
    <t>0501150825</t>
  </si>
  <si>
    <t xml:space="preserve">Maria Salomé </t>
  </si>
  <si>
    <t>Lopez Molina</t>
  </si>
  <si>
    <t>000229</t>
  </si>
  <si>
    <t>Dela iglesia católica 500m Oeste , 50m Norte</t>
  </si>
  <si>
    <t>0501640295</t>
  </si>
  <si>
    <t xml:space="preserve">Manuel </t>
  </si>
  <si>
    <t>Martinez Muñoz</t>
  </si>
  <si>
    <t>88328514</t>
  </si>
  <si>
    <t>000230</t>
  </si>
  <si>
    <t>del bar Cayuga 200m suroeste</t>
  </si>
  <si>
    <t>89610645</t>
  </si>
  <si>
    <t>000231</t>
  </si>
  <si>
    <t xml:space="preserve">del bar cayuca 200m suroeste, casa verde </t>
  </si>
  <si>
    <t>0502120270</t>
  </si>
  <si>
    <t xml:space="preserve">Jairo </t>
  </si>
  <si>
    <t>Jimenez Herrera</t>
  </si>
  <si>
    <t>000232</t>
  </si>
  <si>
    <t>85m norte y 75m Este de la escuela</t>
  </si>
  <si>
    <t>0501850890</t>
  </si>
  <si>
    <t xml:space="preserve">Quiros Quiros </t>
  </si>
  <si>
    <t>87918605</t>
  </si>
  <si>
    <t>000233</t>
  </si>
  <si>
    <t>75mts al sur del Bar Cayuga</t>
  </si>
  <si>
    <t>0503750682</t>
  </si>
  <si>
    <t xml:space="preserve">Carlos Andres </t>
  </si>
  <si>
    <t>Alvarado Barquero</t>
  </si>
  <si>
    <t>88323658</t>
  </si>
  <si>
    <t>000234</t>
  </si>
  <si>
    <t>bebedero</t>
  </si>
  <si>
    <t>75 sur y 50 Oeste del bar Cayuga</t>
  </si>
  <si>
    <t>155824507629</t>
  </si>
  <si>
    <t xml:space="preserve">Victoria </t>
  </si>
  <si>
    <t>Lara Flores</t>
  </si>
  <si>
    <t>89920443</t>
  </si>
  <si>
    <t>000235</t>
  </si>
  <si>
    <t>del bar la pista 125 noroeste</t>
  </si>
  <si>
    <t>0503850393</t>
  </si>
  <si>
    <t xml:space="preserve">Doris </t>
  </si>
  <si>
    <t>Rodriguez Chavarria</t>
  </si>
  <si>
    <t>86492274</t>
  </si>
  <si>
    <t>000236</t>
  </si>
  <si>
    <t xml:space="preserve">25m suroeste Bar la pista </t>
  </si>
  <si>
    <t>0502740009</t>
  </si>
  <si>
    <t xml:space="preserve">Rafael </t>
  </si>
  <si>
    <t xml:space="preserve">Rodriguez Chavarria </t>
  </si>
  <si>
    <t>88384544</t>
  </si>
  <si>
    <t>000237</t>
  </si>
  <si>
    <t>100m sur y 50 Oeste Escuela</t>
  </si>
  <si>
    <t>0203730687</t>
  </si>
  <si>
    <t xml:space="preserve">Alexis </t>
  </si>
  <si>
    <t>Navarro Mendez</t>
  </si>
  <si>
    <t>26740110</t>
  </si>
  <si>
    <t>000238</t>
  </si>
  <si>
    <t xml:space="preserve">125 m sur de la escuela </t>
  </si>
  <si>
    <t>0501471251</t>
  </si>
  <si>
    <t xml:space="preserve">Claudio </t>
  </si>
  <si>
    <t xml:space="preserve">Mejias Mejias </t>
  </si>
  <si>
    <t>69740270</t>
  </si>
  <si>
    <t>000239</t>
  </si>
  <si>
    <t>No se especifica</t>
  </si>
  <si>
    <t xml:space="preserve">Del Bar la Pista 75m noreste </t>
  </si>
  <si>
    <t>0602960541</t>
  </si>
  <si>
    <t xml:space="preserve">Denis Olger </t>
  </si>
  <si>
    <t>Soto Rodriguez</t>
  </si>
  <si>
    <t>87098151</t>
  </si>
  <si>
    <t>000240</t>
  </si>
  <si>
    <t>No se mencionana</t>
  </si>
  <si>
    <t xml:space="preserve">25 mts sur de la escuela de bebedero </t>
  </si>
  <si>
    <t>0500880928</t>
  </si>
  <si>
    <t>Maria Flora</t>
  </si>
  <si>
    <t xml:space="preserve">Mejia Mejia </t>
  </si>
  <si>
    <t>88792537</t>
  </si>
  <si>
    <t>000241</t>
  </si>
  <si>
    <t>50 METROS SUR DEL SALON LA PISTA Y 50 METROS OESTE</t>
  </si>
  <si>
    <t>FRANCISCO GUADALUPE</t>
  </si>
  <si>
    <t>AGUIRRE AGUIRRE</t>
  </si>
  <si>
    <t>83374373</t>
  </si>
  <si>
    <t>000242</t>
  </si>
  <si>
    <t>BAR LA PISTA 125 NORESTE</t>
  </si>
  <si>
    <t>0601390159</t>
  </si>
  <si>
    <t>ESPELETA VILLALOBOS</t>
  </si>
  <si>
    <t>26740452</t>
  </si>
  <si>
    <t>000243</t>
  </si>
  <si>
    <t>125 METROS SUR  DEL BAR CAYUGA, CASA AL FONDO, DETRAS DE LA CASA CELESTE CON NARANJA</t>
  </si>
  <si>
    <t>0503750155</t>
  </si>
  <si>
    <t>ELIZABETH</t>
  </si>
  <si>
    <t>HENRIQUEZ VILCHEZ</t>
  </si>
  <si>
    <t>60082347</t>
  </si>
  <si>
    <t>000244</t>
  </si>
  <si>
    <t>125 METROS SUR DEL BAR CAYUGA, CASA CELESTE CON NARANJA</t>
  </si>
  <si>
    <t>155813687121</t>
  </si>
  <si>
    <t>FRANCISCO ELIS</t>
  </si>
  <si>
    <t>HENRIQUEZ HOLMAN</t>
  </si>
  <si>
    <t>000245</t>
  </si>
  <si>
    <t>DEL BAR CAYUGA 150 METROS SUR OESTE, CASA AL FONDO</t>
  </si>
  <si>
    <t>155810028524</t>
  </si>
  <si>
    <t>LUIS ALBERTO</t>
  </si>
  <si>
    <t>IBARRA ROJAS</t>
  </si>
  <si>
    <t>88468557</t>
  </si>
  <si>
    <t>000246</t>
  </si>
  <si>
    <t>150 METRO SUR OESTE DEL BAR CAYUGA</t>
  </si>
  <si>
    <t>0603950669</t>
  </si>
  <si>
    <t>ESPINOZA LOPEZ</t>
  </si>
  <si>
    <t>000247</t>
  </si>
  <si>
    <t>150 METROS SUR OESTE DEL BAR CAYUGA, CASA CELESTE</t>
  </si>
  <si>
    <t>0502390477</t>
  </si>
  <si>
    <t>ESPINOZA DUARTES</t>
  </si>
  <si>
    <t>000248</t>
  </si>
  <si>
    <t>150 METROS SUROESTE DEL BAR CAYUGA, CASA AL FONDO DE ALTO</t>
  </si>
  <si>
    <t>0503060482</t>
  </si>
  <si>
    <t>NOHEMY</t>
  </si>
  <si>
    <t>CASTILLO SALGADO</t>
  </si>
  <si>
    <t>85377325</t>
  </si>
  <si>
    <t>000250</t>
  </si>
  <si>
    <t>50 METROS SUR DEL PUENTE DE HAMACA</t>
  </si>
  <si>
    <t>0503460721</t>
  </si>
  <si>
    <t>MANZANARES MARIN</t>
  </si>
  <si>
    <t>26740219</t>
  </si>
  <si>
    <t>000251</t>
  </si>
  <si>
    <t>DEL BAR CAYUGA 75 METROS SUR 50 METROS AL OESTE</t>
  </si>
  <si>
    <t>SANCHEZ BUSTOS</t>
  </si>
  <si>
    <t>000252</t>
  </si>
  <si>
    <t>DEL CAYUGA 75 METROS SUR Y 25 METROS OESTE</t>
  </si>
  <si>
    <t>0501410347</t>
  </si>
  <si>
    <t>FIDEL</t>
  </si>
  <si>
    <t>86401556</t>
  </si>
  <si>
    <t>000253</t>
  </si>
  <si>
    <t>0503160269</t>
  </si>
  <si>
    <t>ESPINOZA ALVARADO</t>
  </si>
  <si>
    <t>000254</t>
  </si>
  <si>
    <t>75 METROS SURESTE DE LA ESCUELA DE BEBEDERO</t>
  </si>
  <si>
    <t>LA CHINA</t>
  </si>
  <si>
    <t>000255</t>
  </si>
  <si>
    <t>0503940685</t>
  </si>
  <si>
    <t>RODRIGUEZ MIRANDA</t>
  </si>
  <si>
    <t>64055490</t>
  </si>
  <si>
    <t>000256</t>
  </si>
  <si>
    <t>HAZEL</t>
  </si>
  <si>
    <t>LOPEZ SALGUERA</t>
  </si>
  <si>
    <t>000257</t>
  </si>
  <si>
    <t>100 METROS SUR DEL BAR EL CAYUGA</t>
  </si>
  <si>
    <t>0503500079</t>
  </si>
  <si>
    <t>FULBIO MAURICIO</t>
  </si>
  <si>
    <t>83207961</t>
  </si>
  <si>
    <t>000258</t>
  </si>
  <si>
    <t>DEL BAR CAYUGA 125 METROS SUR / CASA ESQUINERA A LA IZQUIERDA</t>
  </si>
  <si>
    <t>0603550962</t>
  </si>
  <si>
    <t>WIMAR</t>
  </si>
  <si>
    <t>MATARRITA MEDINA</t>
  </si>
  <si>
    <t>86421159</t>
  </si>
  <si>
    <t>000260</t>
  </si>
  <si>
    <t>75 METROS ESTE DEL BAR CAYUGA</t>
  </si>
  <si>
    <t>0502390852</t>
  </si>
  <si>
    <t>EVER</t>
  </si>
  <si>
    <t>BONILLA CASCANTE</t>
  </si>
  <si>
    <t>86666431</t>
  </si>
  <si>
    <t>000261</t>
  </si>
  <si>
    <t>FRENTE A LA NUEVA DELEGACION DE BEBEDERO</t>
  </si>
  <si>
    <t>0501000967</t>
  </si>
  <si>
    <t>EDDIE</t>
  </si>
  <si>
    <t>MIRANDA MIRANDA</t>
  </si>
  <si>
    <t>000262</t>
  </si>
  <si>
    <t>50 METROS OESTE DE LA TIENDA KARLA FABIANA</t>
  </si>
  <si>
    <t>155807888812</t>
  </si>
  <si>
    <t>MARINA</t>
  </si>
  <si>
    <t>CORTES QUEDO</t>
  </si>
  <si>
    <t>26740113</t>
  </si>
  <si>
    <t>000263</t>
  </si>
  <si>
    <t>DEL BAR PISTA 250 METROS OESTE CASA ESQUINERA</t>
  </si>
  <si>
    <t>0501860750</t>
  </si>
  <si>
    <t>HILDA</t>
  </si>
  <si>
    <t>85808510</t>
  </si>
  <si>
    <t>000264</t>
  </si>
  <si>
    <t>FRENTE A LA PULPERIA EL ALMENDRO CASA ROSADA</t>
  </si>
  <si>
    <t>0502310298</t>
  </si>
  <si>
    <t>YAMILETH</t>
  </si>
  <si>
    <t>RODRIGUEZ OBANDO</t>
  </si>
  <si>
    <t>84338259</t>
  </si>
  <si>
    <t>000265</t>
  </si>
  <si>
    <t>FRENTE A TIENDA  KARLA FABIANA</t>
  </si>
  <si>
    <t>0501450109</t>
  </si>
  <si>
    <t xml:space="preserve">ELDER </t>
  </si>
  <si>
    <t>BEJARANO MIRANDA</t>
  </si>
  <si>
    <t>26740146</t>
  </si>
  <si>
    <t>000266</t>
  </si>
  <si>
    <t>FRENTE TIENDA KARLA FABIANA CEDULA 60360366.  TELÉFONO: 26740070</t>
  </si>
  <si>
    <t>0202790401</t>
  </si>
  <si>
    <t>NAVARRO GARCIA</t>
  </si>
  <si>
    <t>86705812</t>
  </si>
  <si>
    <t>000267</t>
  </si>
  <si>
    <t>75 SUR DEL BAR CAYUGA CASA COLOR FUXIA</t>
  </si>
  <si>
    <t>0502560853</t>
  </si>
  <si>
    <t>FLORES LOPEZ</t>
  </si>
  <si>
    <t>85510225</t>
  </si>
  <si>
    <t>000268</t>
  </si>
  <si>
    <t xml:space="preserve">DEL BAR CAYUGA 25 AL SUR </t>
  </si>
  <si>
    <t>0110470143</t>
  </si>
  <si>
    <t>ERICK</t>
  </si>
  <si>
    <t>BRICEÑO ROJAS</t>
  </si>
  <si>
    <t>83209242</t>
  </si>
  <si>
    <t>000269</t>
  </si>
  <si>
    <t>BAR LA PISTA 100 OESTE</t>
  </si>
  <si>
    <t>0502730733</t>
  </si>
  <si>
    <t>ANGEL EDDIE</t>
  </si>
  <si>
    <t>MIRANDA RODRIGUEZ</t>
  </si>
  <si>
    <t>89666692</t>
  </si>
  <si>
    <t>000270</t>
  </si>
  <si>
    <t>20 AL OESTE DEL BAR CAYUGA</t>
  </si>
  <si>
    <t>0800540779</t>
  </si>
  <si>
    <t>AUGUSTO CESAR</t>
  </si>
  <si>
    <t>SILVA ACEVEDO</t>
  </si>
  <si>
    <t>83583601</t>
  </si>
  <si>
    <t>000271</t>
  </si>
  <si>
    <t>BAR CAYUGA 20 AL OESTE</t>
  </si>
  <si>
    <t>0503420732</t>
  </si>
  <si>
    <t>CESAR RUBEN</t>
  </si>
  <si>
    <t>HENRIQUEZ FUENTES</t>
  </si>
  <si>
    <t>84758026</t>
  </si>
  <si>
    <t>000272</t>
  </si>
  <si>
    <t>50 METROS SUR DEL BAR CAYUGA</t>
  </si>
  <si>
    <t>0602660854</t>
  </si>
  <si>
    <t>DAMIAN</t>
  </si>
  <si>
    <t>ROMERO LOPEZ</t>
  </si>
  <si>
    <t>83720861</t>
  </si>
  <si>
    <t>000273</t>
  </si>
  <si>
    <t>DEL CAYUGA BAR 75 ESTE Y 25 SUR. TELEFONO AILYN: 84227487</t>
  </si>
  <si>
    <t>0502100116</t>
  </si>
  <si>
    <t>85170986</t>
  </si>
  <si>
    <t>000274</t>
  </si>
  <si>
    <t>CONTIGUO BAR CAYUGA</t>
  </si>
  <si>
    <t>0601090046</t>
  </si>
  <si>
    <t>ROMERO GONZALEZ</t>
  </si>
  <si>
    <t>85808275</t>
  </si>
  <si>
    <t>000275</t>
  </si>
  <si>
    <t>25 SUR DEL CARUGA BAR</t>
  </si>
  <si>
    <t>155811475919</t>
  </si>
  <si>
    <t xml:space="preserve">MANUEL </t>
  </si>
  <si>
    <t>85861032</t>
  </si>
  <si>
    <t>000276</t>
  </si>
  <si>
    <t>DEL BAR CARUGA 10 SUR Y 50 OESTE</t>
  </si>
  <si>
    <t>0503900777</t>
  </si>
  <si>
    <t>OLIVER GUSTAVO</t>
  </si>
  <si>
    <t>26740192</t>
  </si>
  <si>
    <t>000277</t>
  </si>
  <si>
    <t>CONTIGUO A COTOTUR</t>
  </si>
  <si>
    <t>0501540108</t>
  </si>
  <si>
    <t>ELIAS</t>
  </si>
  <si>
    <t>84732281</t>
  </si>
  <si>
    <t>000278</t>
  </si>
  <si>
    <t>CONTIGUO A COTATUR</t>
  </si>
  <si>
    <t>0502910241</t>
  </si>
  <si>
    <t>DONI</t>
  </si>
  <si>
    <t>MORALES MEJIA</t>
  </si>
  <si>
    <t>85157932</t>
  </si>
  <si>
    <t>000279</t>
  </si>
  <si>
    <t>FRENTE A  CATATUR</t>
  </si>
  <si>
    <t>0503830508</t>
  </si>
  <si>
    <t>KATHERINE</t>
  </si>
  <si>
    <t>QUEDO PEREZ</t>
  </si>
  <si>
    <t>85400637</t>
  </si>
  <si>
    <t>000280</t>
  </si>
  <si>
    <t>DEL BAR CAYUGA 75 SUR Y 50 OESTE CASA CELESTE CON BLANCO. TELEFONO DE JUAN:84925612</t>
  </si>
  <si>
    <t>0508040439</t>
  </si>
  <si>
    <t xml:space="preserve">JUAN </t>
  </si>
  <si>
    <t>LOPEZ MOLINA</t>
  </si>
  <si>
    <t>84454309</t>
  </si>
  <si>
    <t>000281</t>
  </si>
  <si>
    <t>DEL BAR CAYUGA 75 SUR Y 500 OESTE ATRAS DE CASA</t>
  </si>
  <si>
    <t xml:space="preserve">FABIAN </t>
  </si>
  <si>
    <t>LOPEZ BUSTOS</t>
  </si>
  <si>
    <t>84976864</t>
  </si>
  <si>
    <t>000282</t>
  </si>
  <si>
    <t>25 SUR DEL BAR CAYUGA 15 AL OESTE, CASA DE ATRAS</t>
  </si>
  <si>
    <t>0503070224</t>
  </si>
  <si>
    <t xml:space="preserve">CESAR </t>
  </si>
  <si>
    <t>CHACON CHACON</t>
  </si>
  <si>
    <t>85036330</t>
  </si>
  <si>
    <t>000283</t>
  </si>
  <si>
    <t>BAR LA PISTA 200 SUR Y 25 ESTE CASA VERDE</t>
  </si>
  <si>
    <t>0502660514</t>
  </si>
  <si>
    <t>RICHARD</t>
  </si>
  <si>
    <t>VILLEGAS LOPEZ</t>
  </si>
  <si>
    <t>84815139</t>
  </si>
  <si>
    <t>000284</t>
  </si>
  <si>
    <t>DEL BAR LA PISTA 200 SUR Y 25 SURESTE</t>
  </si>
  <si>
    <t>0500730813</t>
  </si>
  <si>
    <t>LUIS VENTURA</t>
  </si>
  <si>
    <t>26740416</t>
  </si>
  <si>
    <t>DEL BAR LA PISTA 200 SUR Y 25 SUR ESTE. TELEFONO VECINA JENNY MARIN: 84923941</t>
  </si>
  <si>
    <t>0502410414</t>
  </si>
  <si>
    <t>JORGE LUIS</t>
  </si>
  <si>
    <t>MARIN LOPEZ</t>
  </si>
  <si>
    <t>000285</t>
  </si>
  <si>
    <t>DEL BAR LA PISTA 200 SSUR Y 50 ESTE</t>
  </si>
  <si>
    <t>0501470073</t>
  </si>
  <si>
    <t>GENARINA</t>
  </si>
  <si>
    <t>86867873</t>
  </si>
  <si>
    <t>000286</t>
  </si>
  <si>
    <t>BAR LA PISTA 250 SURESTE Y 50 ESTE</t>
  </si>
  <si>
    <t>KENNETH MARTIN</t>
  </si>
  <si>
    <t>BONILLA LOPEZ</t>
  </si>
  <si>
    <t>86867875</t>
  </si>
  <si>
    <t>000287</t>
  </si>
  <si>
    <t>del bar la pista 300 sur y 50 oeste</t>
  </si>
  <si>
    <t>0602990372</t>
  </si>
  <si>
    <t>Viviana de Los Angeles</t>
  </si>
  <si>
    <t>Lopez Ruiz</t>
  </si>
  <si>
    <t>87607199</t>
  </si>
  <si>
    <t>000288</t>
  </si>
  <si>
    <t xml:space="preserve">Del bar la pista 250 mts sury 30 oeste </t>
  </si>
  <si>
    <t>Isabel Adelaida</t>
  </si>
  <si>
    <t>Lopez Lopez</t>
  </si>
  <si>
    <t>84713529</t>
  </si>
  <si>
    <t>000289</t>
  </si>
  <si>
    <t>250 mts al sur y 3o oeste del bar la pista</t>
  </si>
  <si>
    <t>0502660528</t>
  </si>
  <si>
    <t>Molina Lopez</t>
  </si>
  <si>
    <t>000290</t>
  </si>
  <si>
    <t xml:space="preserve">del bar la pista 250 mts sur y 25 oeste </t>
  </si>
  <si>
    <t>0504060498</t>
  </si>
  <si>
    <t>Junior</t>
  </si>
  <si>
    <t>86595262</t>
  </si>
  <si>
    <t>000291</t>
  </si>
  <si>
    <t>Del bar la pista 250 nts sur y 25 oeste, entrada a aventuras</t>
  </si>
  <si>
    <t>Elsa</t>
  </si>
  <si>
    <t>Alvarado Urbina</t>
  </si>
  <si>
    <t>83936100</t>
  </si>
  <si>
    <t>000292</t>
  </si>
  <si>
    <t>Bar la pista 250 mts sur y 30 al oeste</t>
  </si>
  <si>
    <t>0602710819</t>
  </si>
  <si>
    <t>Liliana</t>
  </si>
  <si>
    <t>Ruiz Espinoza</t>
  </si>
  <si>
    <t>000293</t>
  </si>
  <si>
    <t>50 sur del Puente de Amaca</t>
  </si>
  <si>
    <t>0503650222</t>
  </si>
  <si>
    <t>Maricela</t>
  </si>
  <si>
    <t>Manzanares Marin</t>
  </si>
  <si>
    <t>000294</t>
  </si>
  <si>
    <t>De la iglesia católica 500 oeste y 50 norte</t>
  </si>
  <si>
    <t>Ramon</t>
  </si>
  <si>
    <t>Jimenez Sanchez</t>
  </si>
  <si>
    <t>000295</t>
  </si>
  <si>
    <t>Frente al ultimo Bar a la par del Puente</t>
  </si>
  <si>
    <t>Cesar Augusto</t>
  </si>
  <si>
    <t>Enriquez Siezar</t>
  </si>
  <si>
    <t>85514333</t>
  </si>
  <si>
    <t>000296</t>
  </si>
  <si>
    <t>Bar la pista. 200 mts al sur y 50 al este. Casa blanca</t>
  </si>
  <si>
    <t>0303280458</t>
  </si>
  <si>
    <t>Ronald de los Angeles</t>
  </si>
  <si>
    <t>Vega Hernandez</t>
  </si>
  <si>
    <t>000297</t>
  </si>
  <si>
    <t>del bar Cayuga 25 mts este casa verde</t>
  </si>
  <si>
    <t>155801593001</t>
  </si>
  <si>
    <t>German</t>
  </si>
  <si>
    <t>Rivas Briceño</t>
  </si>
  <si>
    <t>85255030</t>
  </si>
  <si>
    <t>000298</t>
  </si>
  <si>
    <t>25 mts este del Bar Coyuga Casa Rosada</t>
  </si>
  <si>
    <t>0304220669</t>
  </si>
  <si>
    <t>Paniagua Calvo</t>
  </si>
  <si>
    <t>000299</t>
  </si>
  <si>
    <t>25 metros este de bar Coyuga</t>
  </si>
  <si>
    <t>0503560692</t>
  </si>
  <si>
    <t>Jeffry</t>
  </si>
  <si>
    <t>Jimenez Marchena</t>
  </si>
  <si>
    <t>000300</t>
  </si>
  <si>
    <t>Frente a Yuga</t>
  </si>
  <si>
    <t>155809195802</t>
  </si>
  <si>
    <t>Gonzalo</t>
  </si>
  <si>
    <t>Mesa Varela</t>
  </si>
  <si>
    <t>85529936</t>
  </si>
  <si>
    <t>000301</t>
  </si>
  <si>
    <t>del bar la pista 250 mts sur</t>
  </si>
  <si>
    <t>84211254</t>
  </si>
  <si>
    <t>000302</t>
  </si>
  <si>
    <t>Bar Cayube 25 norte</t>
  </si>
  <si>
    <t>Frankiln</t>
  </si>
  <si>
    <t>Ojeda</t>
  </si>
  <si>
    <t>71258521</t>
  </si>
  <si>
    <t>000303</t>
  </si>
  <si>
    <t>de la iglesia católica 500 oeste y 25 norte</t>
  </si>
  <si>
    <t>Soraida</t>
  </si>
  <si>
    <t>Diaz Briceño</t>
  </si>
  <si>
    <t>000305</t>
  </si>
  <si>
    <t>Frente a la iglesia Pentecostal</t>
  </si>
  <si>
    <t>Xeneida</t>
  </si>
  <si>
    <t>Lopez Matarrita</t>
  </si>
  <si>
    <t>000306</t>
  </si>
  <si>
    <t>Contiguo al Bazar Maria Fabiana</t>
  </si>
  <si>
    <t>Eonisa Felipa</t>
  </si>
  <si>
    <t>Alvarado Enrique</t>
  </si>
  <si>
    <t>85530481</t>
  </si>
  <si>
    <t>000307</t>
  </si>
  <si>
    <t>De la entrada de la pulpería Memo detrás de la iglesia pentecostal</t>
  </si>
  <si>
    <t>0501490701</t>
  </si>
  <si>
    <t xml:space="preserve">Alfredo </t>
  </si>
  <si>
    <t>Miranda Miranda</t>
  </si>
  <si>
    <t>88684170</t>
  </si>
  <si>
    <t>000308</t>
  </si>
  <si>
    <t>Baches de Felipito</t>
  </si>
  <si>
    <t>155805909527</t>
  </si>
  <si>
    <t>Flores</t>
  </si>
  <si>
    <t>85825653</t>
  </si>
  <si>
    <t>000309</t>
  </si>
  <si>
    <t>De la pulpería de momo, detrás de la iglesia puente contes</t>
  </si>
  <si>
    <t>Felipito</t>
  </si>
  <si>
    <t>Acuña Garan</t>
  </si>
  <si>
    <t>87125544</t>
  </si>
  <si>
    <t>000310</t>
  </si>
  <si>
    <t>25 este de la Iglesia Católica</t>
  </si>
  <si>
    <t>155801503509</t>
  </si>
  <si>
    <t>Adilia</t>
  </si>
  <si>
    <t>Santana Lopez</t>
  </si>
  <si>
    <t>64651022</t>
  </si>
  <si>
    <t>000311</t>
  </si>
  <si>
    <t>Detrás de tienda Karla Fabiana</t>
  </si>
  <si>
    <t>155811601303</t>
  </si>
  <si>
    <t xml:space="preserve">Ricardo </t>
  </si>
  <si>
    <t>Cantillano Alvarado</t>
  </si>
  <si>
    <t>86065525</t>
  </si>
  <si>
    <t>000312</t>
  </si>
  <si>
    <t>Detrás de la tienda Carla Fabiana</t>
  </si>
  <si>
    <t>0204950154</t>
  </si>
  <si>
    <t>Alexis Manuel</t>
  </si>
  <si>
    <t>Meza Aviles</t>
  </si>
  <si>
    <t>83690482</t>
  </si>
  <si>
    <t>000313</t>
  </si>
  <si>
    <t>Sobre carretera</t>
  </si>
  <si>
    <t xml:space="preserve">Erick </t>
  </si>
  <si>
    <t>Martínez</t>
  </si>
  <si>
    <t>000314</t>
  </si>
  <si>
    <t>Frente al salón chinor´s bar</t>
  </si>
  <si>
    <t>Luz</t>
  </si>
  <si>
    <t>Salas Salguero</t>
  </si>
  <si>
    <t>26740525</t>
  </si>
  <si>
    <t>000315</t>
  </si>
  <si>
    <t>A un costado de la Asada</t>
  </si>
  <si>
    <t>0504410070</t>
  </si>
  <si>
    <t>Sharon Nicole</t>
  </si>
  <si>
    <t>Alvarez Espinoza</t>
  </si>
  <si>
    <t>85005793</t>
  </si>
  <si>
    <t>000316</t>
  </si>
  <si>
    <t xml:space="preserve">No se sabe </t>
  </si>
  <si>
    <t>0503960856</t>
  </si>
  <si>
    <t>Michel Argerie</t>
  </si>
  <si>
    <t>Tijerino Araya</t>
  </si>
  <si>
    <t>88264575</t>
  </si>
  <si>
    <t>000317</t>
  </si>
  <si>
    <t>25 O de Iglesia Católica</t>
  </si>
  <si>
    <t>0503610008</t>
  </si>
  <si>
    <t xml:space="preserve">Nora </t>
  </si>
  <si>
    <t xml:space="preserve">Pérez Santana </t>
  </si>
  <si>
    <t>26740125</t>
  </si>
  <si>
    <t>000318</t>
  </si>
  <si>
    <t>50 m Norte de Senior´s Bar</t>
  </si>
  <si>
    <t>López</t>
  </si>
  <si>
    <t>000319</t>
  </si>
  <si>
    <t>75 m Norte Bar Senior´s</t>
  </si>
  <si>
    <t xml:space="preserve">Yorleny </t>
  </si>
  <si>
    <t>Pérez Altamirano</t>
  </si>
  <si>
    <t>62720013</t>
  </si>
  <si>
    <t>000320</t>
  </si>
  <si>
    <t xml:space="preserve">75 m norte de Senior´s Bar </t>
  </si>
  <si>
    <t>0504180519</t>
  </si>
  <si>
    <t xml:space="preserve">Juan Pablo </t>
  </si>
  <si>
    <t>88155835</t>
  </si>
  <si>
    <t>000321</t>
  </si>
  <si>
    <t>Del Senior´s Bar 75m N</t>
  </si>
  <si>
    <t>Juan Daniel</t>
  </si>
  <si>
    <t>Chavarría</t>
  </si>
  <si>
    <t>88446601</t>
  </si>
  <si>
    <t>000322</t>
  </si>
  <si>
    <t>Del Chino´s Bar 50m norte y 50 Oeste</t>
  </si>
  <si>
    <t>c01945708</t>
  </si>
  <si>
    <t xml:space="preserve">Johana </t>
  </si>
  <si>
    <t>Marchena Cerdas</t>
  </si>
  <si>
    <t>87811660</t>
  </si>
  <si>
    <t>000323</t>
  </si>
  <si>
    <t>Del Chico´s Bar 50 norte y 25 Este</t>
  </si>
  <si>
    <t>0401600194</t>
  </si>
  <si>
    <t xml:space="preserve">Rebeca </t>
  </si>
  <si>
    <t>Araya Salas</t>
  </si>
  <si>
    <t>26740161</t>
  </si>
  <si>
    <t>000324</t>
  </si>
  <si>
    <t>Frente Chino´s Bar 50 metros Norte</t>
  </si>
  <si>
    <t>0503863690</t>
  </si>
  <si>
    <t>Anderson</t>
  </si>
  <si>
    <t>88364575</t>
  </si>
  <si>
    <t>000325</t>
  </si>
  <si>
    <t>Contiguo a antigua Asada</t>
  </si>
  <si>
    <t>0502520969</t>
  </si>
  <si>
    <t xml:space="preserve">Sonia </t>
  </si>
  <si>
    <t>Villagra Quirós</t>
  </si>
  <si>
    <t>57082630</t>
  </si>
  <si>
    <t>000326</t>
  </si>
  <si>
    <t>Frente al ciclo Bici y más</t>
  </si>
  <si>
    <t>0537601660</t>
  </si>
  <si>
    <t>Carlos Ivan</t>
  </si>
  <si>
    <t>Enriques Fuentes</t>
  </si>
  <si>
    <t>88692532</t>
  </si>
  <si>
    <t>000328</t>
  </si>
  <si>
    <t>Contra</t>
  </si>
  <si>
    <t>Abastecedor Los Almendros</t>
  </si>
  <si>
    <t>0502760223</t>
  </si>
  <si>
    <t>Arias Medina</t>
  </si>
  <si>
    <t>000329</t>
  </si>
  <si>
    <t>300 metros este de los Campamentos de Taboga</t>
  </si>
  <si>
    <t>155806088401</t>
  </si>
  <si>
    <t xml:space="preserve">Jose Luis </t>
  </si>
  <si>
    <t>Sequeira Chavarría</t>
  </si>
  <si>
    <t>83931940</t>
  </si>
  <si>
    <t>000330</t>
  </si>
  <si>
    <t>De la pulpería tomando 40 metros oeste</t>
  </si>
  <si>
    <t xml:space="preserve">Antonio </t>
  </si>
  <si>
    <t>López Cortés</t>
  </si>
  <si>
    <t>89542438</t>
  </si>
  <si>
    <t>000331</t>
  </si>
  <si>
    <t>Las Lomas</t>
  </si>
  <si>
    <t>Frente a la entrada de Taboga</t>
  </si>
  <si>
    <t>0206590757</t>
  </si>
  <si>
    <t xml:space="preserve">Nelson </t>
  </si>
  <si>
    <t>Garro</t>
  </si>
  <si>
    <t>61957989</t>
  </si>
  <si>
    <t>000332</t>
  </si>
  <si>
    <t>Segunda entrada del Ingenio Taboga</t>
  </si>
  <si>
    <t xml:space="preserve">JOsé Adrian </t>
  </si>
  <si>
    <t>Jiron Jiron</t>
  </si>
  <si>
    <t>000333</t>
  </si>
  <si>
    <t>La Loma</t>
  </si>
  <si>
    <t>Pérez Gazo</t>
  </si>
  <si>
    <t>000334</t>
  </si>
  <si>
    <t>50 oeste de la Pulpería Tamarindo</t>
  </si>
  <si>
    <t>0502810227</t>
  </si>
  <si>
    <t>Jimmy Gerardo</t>
  </si>
  <si>
    <t>Espinoza Espinoza</t>
  </si>
  <si>
    <t>64155131</t>
  </si>
  <si>
    <t>000335</t>
  </si>
  <si>
    <t>Costado oeste de la Pulperia El Tamarindo</t>
  </si>
  <si>
    <t>0500770212</t>
  </si>
  <si>
    <t>Rufino</t>
  </si>
  <si>
    <t>Vilchez Almanzor</t>
  </si>
  <si>
    <t>88008392</t>
  </si>
  <si>
    <t>000336</t>
  </si>
  <si>
    <t>De la segunda entrada a Taboga 25 oeste</t>
  </si>
  <si>
    <t>0502450521</t>
  </si>
  <si>
    <t>Jacob</t>
  </si>
  <si>
    <t>Salazar Vega</t>
  </si>
  <si>
    <t>87444321</t>
  </si>
  <si>
    <t>000337</t>
  </si>
  <si>
    <t>Frente a la Pulpería Rodolfo Vargas</t>
  </si>
  <si>
    <t>0502110273</t>
  </si>
  <si>
    <t>Navarrete Marin</t>
  </si>
  <si>
    <t>000338</t>
  </si>
  <si>
    <t>Frente al Salón Comunal</t>
  </si>
  <si>
    <t>0503070776</t>
  </si>
  <si>
    <t>Ekar</t>
  </si>
  <si>
    <t>Suazo López</t>
  </si>
  <si>
    <t>000339</t>
  </si>
  <si>
    <t>200 mtrs. al oeste del Templo Católico</t>
  </si>
  <si>
    <t>0502010884</t>
  </si>
  <si>
    <t>Jordan Francisco</t>
  </si>
  <si>
    <t>Marin Marin</t>
  </si>
  <si>
    <t>88243135</t>
  </si>
  <si>
    <t>000340</t>
  </si>
  <si>
    <t>Frente a la segunda entrada del Ingenio de Taboga</t>
  </si>
  <si>
    <t>1580404927</t>
  </si>
  <si>
    <t>Rudy</t>
  </si>
  <si>
    <t>Prendis Zamora</t>
  </si>
  <si>
    <t>26740527</t>
  </si>
  <si>
    <t>000341</t>
  </si>
  <si>
    <t>Del Bar Majuje 50 M norte</t>
  </si>
  <si>
    <t>Maria</t>
  </si>
  <si>
    <t>000343</t>
  </si>
  <si>
    <t>200 Sur de la Escuela y 100 Este.</t>
  </si>
  <si>
    <t>Eylin Yudith</t>
  </si>
  <si>
    <t>Villegas López</t>
  </si>
  <si>
    <t>000344</t>
  </si>
  <si>
    <t>Frente al Bar Majuse</t>
  </si>
  <si>
    <t>1582596125</t>
  </si>
  <si>
    <t>Manuel de Jesus</t>
  </si>
  <si>
    <t>Martinez Martinez</t>
  </si>
  <si>
    <t>000345</t>
  </si>
  <si>
    <t>75 Sur de Escuela Bebedero</t>
  </si>
  <si>
    <t>0503590096</t>
  </si>
  <si>
    <t>Olman</t>
  </si>
  <si>
    <t>Barquero Rodriguez</t>
  </si>
  <si>
    <t>26740043</t>
  </si>
  <si>
    <t>000346</t>
  </si>
  <si>
    <t>50 M Sur del Salón La Pista</t>
  </si>
  <si>
    <t>0602500010</t>
  </si>
  <si>
    <t>Edgar</t>
  </si>
  <si>
    <t>Cascante Gutierrez</t>
  </si>
  <si>
    <t>87166116</t>
  </si>
  <si>
    <t>000347</t>
  </si>
  <si>
    <t>Del Súper 2016 25 Mtrs. Sur</t>
  </si>
  <si>
    <t>Maria Arelys</t>
  </si>
  <si>
    <t>Torres Meneses</t>
  </si>
  <si>
    <t>000348</t>
  </si>
  <si>
    <t>Del Super 2016 25 Mtr Sur</t>
  </si>
  <si>
    <t>Lorely Maria</t>
  </si>
  <si>
    <t>Calero Estrada</t>
  </si>
  <si>
    <t>000349</t>
  </si>
  <si>
    <t>Frente al Bar Majuge</t>
  </si>
  <si>
    <t>0502440257</t>
  </si>
  <si>
    <t xml:space="preserve">Jose Joaquin </t>
  </si>
  <si>
    <t>Quiros Quiros</t>
  </si>
  <si>
    <t>89413500</t>
  </si>
  <si>
    <t>000350</t>
  </si>
  <si>
    <t>250 Este del Bar Majuse</t>
  </si>
  <si>
    <t>0502970732</t>
  </si>
  <si>
    <t>Guillermo</t>
  </si>
  <si>
    <t>Segura Vargas</t>
  </si>
  <si>
    <t>85971742</t>
  </si>
  <si>
    <t>000351</t>
  </si>
  <si>
    <t>75 M. este del Salón La Pista mano derecha</t>
  </si>
  <si>
    <t>0900330061</t>
  </si>
  <si>
    <t>Pablo</t>
  </si>
  <si>
    <t>85650983</t>
  </si>
  <si>
    <t>000352</t>
  </si>
  <si>
    <t>Detrás del Bar La Pista</t>
  </si>
  <si>
    <t>0603010960</t>
  </si>
  <si>
    <t>Edgardo</t>
  </si>
  <si>
    <t>62626064</t>
  </si>
  <si>
    <t>000353</t>
  </si>
  <si>
    <t>25 M. oeste de la Iglesia Católica</t>
  </si>
  <si>
    <t>0502470626</t>
  </si>
  <si>
    <t>Alexander</t>
  </si>
  <si>
    <t>Elizondo Duarte</t>
  </si>
  <si>
    <t>000355</t>
  </si>
  <si>
    <t>75 sur de la escuela</t>
  </si>
  <si>
    <t>0502350647</t>
  </si>
  <si>
    <t xml:space="preserve">Adelina </t>
  </si>
  <si>
    <t>Mejias Mejias</t>
  </si>
  <si>
    <t>000356</t>
  </si>
  <si>
    <t>0503340864</t>
  </si>
  <si>
    <t>Bayron</t>
  </si>
  <si>
    <t>Marin Victor</t>
  </si>
  <si>
    <t>83491728</t>
  </si>
  <si>
    <t>000357</t>
  </si>
  <si>
    <t>75 surde la escuela</t>
  </si>
  <si>
    <t>0500520581</t>
  </si>
  <si>
    <t>Rafael Nicolas</t>
  </si>
  <si>
    <t>Rodriguez Rodriguez</t>
  </si>
  <si>
    <t>000358</t>
  </si>
  <si>
    <t>Bar Cayaga 200 Oeste</t>
  </si>
  <si>
    <t>0503210998</t>
  </si>
  <si>
    <t>Gutierrez Rodriguez</t>
  </si>
  <si>
    <t>000360</t>
  </si>
  <si>
    <t>de la escuela 200 sur</t>
  </si>
  <si>
    <t>0502020709</t>
  </si>
  <si>
    <t>000361</t>
  </si>
  <si>
    <t>125 sur de la escuela de bebedero</t>
  </si>
  <si>
    <t>0502320650</t>
  </si>
  <si>
    <t xml:space="preserve">Lorena </t>
  </si>
  <si>
    <t>Quesada Sequeira</t>
  </si>
  <si>
    <t>85231005</t>
  </si>
  <si>
    <t>000362</t>
  </si>
  <si>
    <t xml:space="preserve">LA PLAZA </t>
  </si>
  <si>
    <t xml:space="preserve">FRENTE A PLAZA MONTEVERDE </t>
  </si>
  <si>
    <t>89868357</t>
  </si>
  <si>
    <t>000363</t>
  </si>
  <si>
    <t>De la escuela 200 sur y 25 este</t>
  </si>
  <si>
    <t>0503040384</t>
  </si>
  <si>
    <t xml:space="preserve">Alberto </t>
  </si>
  <si>
    <t>Lopez Fernandez</t>
  </si>
  <si>
    <t>85750113</t>
  </si>
  <si>
    <t>000364</t>
  </si>
  <si>
    <t>200 sur y 25 este de la escuela de Bebedero entrada de lastre lado izquierdo</t>
  </si>
  <si>
    <t>0501690191</t>
  </si>
  <si>
    <t xml:space="preserve">Juana </t>
  </si>
  <si>
    <t>000365</t>
  </si>
  <si>
    <t>NI</t>
  </si>
  <si>
    <t>Lado atrás del bar la pista</t>
  </si>
  <si>
    <t>0501780781</t>
  </si>
  <si>
    <t>Bolivar Francisco</t>
  </si>
  <si>
    <t>Barquero Espinoza</t>
  </si>
  <si>
    <t>83976047</t>
  </si>
  <si>
    <t>000366</t>
  </si>
  <si>
    <t>175 sur de la escuela de bebedero</t>
  </si>
  <si>
    <t>0601190861</t>
  </si>
  <si>
    <t>Ana Cecillia</t>
  </si>
  <si>
    <t>Vargas Corella</t>
  </si>
  <si>
    <t>83118960</t>
  </si>
  <si>
    <t>000367</t>
  </si>
  <si>
    <t>del bar la pista 50 sur</t>
  </si>
  <si>
    <t>0503380133</t>
  </si>
  <si>
    <t>Aris Antonio</t>
  </si>
  <si>
    <t>Obregon Calvo</t>
  </si>
  <si>
    <t>000368</t>
  </si>
  <si>
    <t>Frente al bar majuce</t>
  </si>
  <si>
    <t>0204620645</t>
  </si>
  <si>
    <t xml:space="preserve"> Meza Aviles</t>
  </si>
  <si>
    <t>369</t>
  </si>
  <si>
    <t>Frente a taller el Mazaso</t>
  </si>
  <si>
    <t>0503810910</t>
  </si>
  <si>
    <t xml:space="preserve">Junior </t>
  </si>
  <si>
    <t>Miranda Matamoros</t>
  </si>
  <si>
    <t>60396967</t>
  </si>
  <si>
    <t>000369</t>
  </si>
  <si>
    <t>De la escuela 200 sur y 100 este calle lastre</t>
  </si>
  <si>
    <t>0502130236</t>
  </si>
  <si>
    <t>Jenny Ecxinia</t>
  </si>
  <si>
    <t>Marin Lopez</t>
  </si>
  <si>
    <t>000370</t>
  </si>
  <si>
    <t>0501040546</t>
  </si>
  <si>
    <t>Marta Gil</t>
  </si>
  <si>
    <t>000371</t>
  </si>
  <si>
    <t>De la escuela de bebedero 200 sur y 100 este calle lastre</t>
  </si>
  <si>
    <t>0503700345</t>
  </si>
  <si>
    <t>Jessica Francina</t>
  </si>
  <si>
    <t>Cortes Villegas</t>
  </si>
  <si>
    <t>88338622</t>
  </si>
  <si>
    <t>000372</t>
  </si>
  <si>
    <t>De la escuela Bebedero 200 sur y 100 este</t>
  </si>
  <si>
    <t>0502500473</t>
  </si>
  <si>
    <t>Ana Yibel</t>
  </si>
  <si>
    <t>Villegas Lopez</t>
  </si>
  <si>
    <t>000373</t>
  </si>
  <si>
    <t>Del bar la pista 50 sur</t>
  </si>
  <si>
    <t>0502710135</t>
  </si>
  <si>
    <t>Miclos Fonseca</t>
  </si>
  <si>
    <t>26740050</t>
  </si>
  <si>
    <t>000374</t>
  </si>
  <si>
    <t>50 sur de la pista</t>
  </si>
  <si>
    <t>0503280695</t>
  </si>
  <si>
    <t>Arquero Chavarria</t>
  </si>
  <si>
    <t>000376</t>
  </si>
  <si>
    <t>Frente a la central telefónica de bebedero</t>
  </si>
  <si>
    <t>0103940727</t>
  </si>
  <si>
    <t>Corella Rojas</t>
  </si>
  <si>
    <t>83495990</t>
  </si>
  <si>
    <t>000377</t>
  </si>
  <si>
    <t>Frente al bar majuse al fondo a la derecha</t>
  </si>
  <si>
    <t>155811899636</t>
  </si>
  <si>
    <t>Alejandro</t>
  </si>
  <si>
    <t>Davila Rocha</t>
  </si>
  <si>
    <t>000378</t>
  </si>
  <si>
    <t>75 metros este, Iglesia Católica</t>
  </si>
  <si>
    <t>0502220619</t>
  </si>
  <si>
    <t>Chavarría Calvo</t>
  </si>
  <si>
    <t>85896484</t>
  </si>
  <si>
    <t>000379</t>
  </si>
  <si>
    <t>De bar La Pista, 50 mts sur</t>
  </si>
  <si>
    <t>0501050387</t>
  </si>
  <si>
    <t>Elías</t>
  </si>
  <si>
    <t>Rodríguez Gutiérrez</t>
  </si>
  <si>
    <t>85167815</t>
  </si>
  <si>
    <t>000380</t>
  </si>
  <si>
    <t>50 mts del bar La Pista</t>
  </si>
  <si>
    <t>0207800550</t>
  </si>
  <si>
    <t>García Alguera</t>
  </si>
  <si>
    <t>63384052</t>
  </si>
  <si>
    <t>000381</t>
  </si>
  <si>
    <t>60 mts sur bar La Pista</t>
  </si>
  <si>
    <t xml:space="preserve">José </t>
  </si>
  <si>
    <t xml:space="preserve">Marín </t>
  </si>
  <si>
    <t>83563744</t>
  </si>
  <si>
    <t>000382</t>
  </si>
  <si>
    <t>50 mts sur del bar La Pista</t>
  </si>
  <si>
    <t>Carazo</t>
  </si>
  <si>
    <t>000383</t>
  </si>
  <si>
    <t>50 mts sur del bar la pista, calle sin salida</t>
  </si>
  <si>
    <t>0800810588</t>
  </si>
  <si>
    <t xml:space="preserve">Mirian Pastora </t>
  </si>
  <si>
    <t>Palma Cubillo</t>
  </si>
  <si>
    <t>000384</t>
  </si>
  <si>
    <t>De la escuela, 250 mtrs sureste</t>
  </si>
  <si>
    <t>0503160738</t>
  </si>
  <si>
    <t>Jessenia</t>
  </si>
  <si>
    <t>Quirós Monestel</t>
  </si>
  <si>
    <t>000385</t>
  </si>
  <si>
    <t>Frente a los baches de Taboga</t>
  </si>
  <si>
    <t>Martínez Gutiérrez</t>
  </si>
  <si>
    <t>87574403</t>
  </si>
  <si>
    <t>000386</t>
  </si>
  <si>
    <t>Del salón comunal a mano derecha, 100 m, casa del fondo</t>
  </si>
  <si>
    <t>Cabrera</t>
  </si>
  <si>
    <t>86519097</t>
  </si>
  <si>
    <t>000387</t>
  </si>
  <si>
    <t>Frente a los campamentos Ingenio Taboga</t>
  </si>
  <si>
    <t>0207250086</t>
  </si>
  <si>
    <t>Reyes Jimenez</t>
  </si>
  <si>
    <t>000388</t>
  </si>
  <si>
    <t>del Salón Comunal 75m norte y 25m este</t>
  </si>
  <si>
    <t>0504060951</t>
  </si>
  <si>
    <t>Andrés</t>
  </si>
  <si>
    <t>Martínez Godoy</t>
  </si>
  <si>
    <t>86154215</t>
  </si>
  <si>
    <t>000389</t>
  </si>
  <si>
    <t>Frente a los vaches de Taboga</t>
  </si>
  <si>
    <t>155817925233</t>
  </si>
  <si>
    <t>Juan José</t>
  </si>
  <si>
    <t>Loaciga Pérez</t>
  </si>
  <si>
    <t>70683073</t>
  </si>
  <si>
    <t>000390</t>
  </si>
  <si>
    <t>Martínez Bustos</t>
  </si>
  <si>
    <t>000391</t>
  </si>
  <si>
    <t>0503280782</t>
  </si>
  <si>
    <t>Gerardo Antonio</t>
  </si>
  <si>
    <t>Jiménez Pérez</t>
  </si>
  <si>
    <t>86620009</t>
  </si>
  <si>
    <t>000392</t>
  </si>
  <si>
    <t>Frente al campamento del ingenio de Taboga</t>
  </si>
  <si>
    <t>0502090947</t>
  </si>
  <si>
    <t>Xinia María</t>
  </si>
  <si>
    <t>Álvarez Jiménez</t>
  </si>
  <si>
    <t>000393</t>
  </si>
  <si>
    <t>Frente al redondel</t>
  </si>
  <si>
    <t>0502550271</t>
  </si>
  <si>
    <t>Godoy Duarte</t>
  </si>
  <si>
    <t>000394</t>
  </si>
  <si>
    <t>Diagonal al salón comunal</t>
  </si>
  <si>
    <t>0601500176</t>
  </si>
  <si>
    <t>Roldán</t>
  </si>
  <si>
    <t>Mata Godoy</t>
  </si>
  <si>
    <t>86560608</t>
  </si>
  <si>
    <t>000395</t>
  </si>
  <si>
    <t>75 mts norte del Salón Comunal</t>
  </si>
  <si>
    <t>0206180231</t>
  </si>
  <si>
    <t>Greivin</t>
  </si>
  <si>
    <t>Hernández Meza</t>
  </si>
  <si>
    <t>84089294</t>
  </si>
  <si>
    <t>000396</t>
  </si>
  <si>
    <t>0503420058</t>
  </si>
  <si>
    <t>Quirós Alvarado</t>
  </si>
  <si>
    <t>86666364</t>
  </si>
  <si>
    <t>000397</t>
  </si>
  <si>
    <t>15 norte del Salón comunal</t>
  </si>
  <si>
    <t>0503820700</t>
  </si>
  <si>
    <t xml:space="preserve">Patricia </t>
  </si>
  <si>
    <t>84366838</t>
  </si>
  <si>
    <t>000398</t>
  </si>
  <si>
    <t>Jose Donald</t>
  </si>
  <si>
    <t>Castillo Zambrana</t>
  </si>
  <si>
    <t>000399</t>
  </si>
  <si>
    <t>0504010911</t>
  </si>
  <si>
    <t>86040930</t>
  </si>
  <si>
    <t>000400</t>
  </si>
  <si>
    <t>Frente al redondel de bebedero</t>
  </si>
  <si>
    <t>0503040637</t>
  </si>
  <si>
    <t>Melgar</t>
  </si>
  <si>
    <t>López Espinoza</t>
  </si>
  <si>
    <t>000402</t>
  </si>
  <si>
    <t xml:space="preserve">costado norte del salón comunal </t>
  </si>
  <si>
    <t>0524209610</t>
  </si>
  <si>
    <t>88482899</t>
  </si>
  <si>
    <t>000403</t>
  </si>
  <si>
    <t>50 metros norte del salón comunal</t>
  </si>
  <si>
    <t>0502750086</t>
  </si>
  <si>
    <t xml:space="preserve">Javier </t>
  </si>
  <si>
    <t>26740329</t>
  </si>
  <si>
    <t>000404</t>
  </si>
  <si>
    <t>75 metros este del salón comunal</t>
  </si>
  <si>
    <t>155806305716</t>
  </si>
  <si>
    <t xml:space="preserve">Francisco </t>
  </si>
  <si>
    <t>000405</t>
  </si>
  <si>
    <t>50 metros este del salón comunal</t>
  </si>
  <si>
    <t>0603670358</t>
  </si>
  <si>
    <t>Carlos Estiven</t>
  </si>
  <si>
    <t>Rocío Pasos</t>
  </si>
  <si>
    <t>84030767</t>
  </si>
  <si>
    <t>000406</t>
  </si>
  <si>
    <t>del salón comunal 50 norte y 25 me oeste</t>
  </si>
  <si>
    <t>0503440311</t>
  </si>
  <si>
    <t>donald</t>
  </si>
  <si>
    <t>Obando Bonilla</t>
  </si>
  <si>
    <t>87216220</t>
  </si>
  <si>
    <t>000407</t>
  </si>
  <si>
    <t>costado oeste del saló comunal de bebedero</t>
  </si>
  <si>
    <t>0501630830</t>
  </si>
  <si>
    <t>26740119</t>
  </si>
  <si>
    <t>000408</t>
  </si>
  <si>
    <t>75 este del salón comunal</t>
  </si>
  <si>
    <t>0204510170</t>
  </si>
  <si>
    <t xml:space="preserve">Aurora </t>
  </si>
  <si>
    <t>Guevara Bermudez</t>
  </si>
  <si>
    <t>89047240</t>
  </si>
  <si>
    <t>000409</t>
  </si>
  <si>
    <t>del salón comunal 500 metros este</t>
  </si>
  <si>
    <t>0203160409</t>
  </si>
  <si>
    <t>Brigida</t>
  </si>
  <si>
    <t>Perez Tenorio</t>
  </si>
  <si>
    <t>86982660</t>
  </si>
  <si>
    <t>000410</t>
  </si>
  <si>
    <t>frente al redondel</t>
  </si>
  <si>
    <t>0501060649</t>
  </si>
  <si>
    <t>ZOILA ROSA</t>
  </si>
  <si>
    <t>DUARTE ALVARADO</t>
  </si>
  <si>
    <t>02674032</t>
  </si>
  <si>
    <t>000411</t>
  </si>
  <si>
    <t>Costado oeste salón comunal de bebedsero</t>
  </si>
  <si>
    <t>0603030561</t>
  </si>
  <si>
    <t>Rut</t>
  </si>
  <si>
    <t>Flores Villegas</t>
  </si>
  <si>
    <t>87899978</t>
  </si>
  <si>
    <t>000412</t>
  </si>
  <si>
    <t>50 metros al sur del salón comunal</t>
  </si>
  <si>
    <t>0502070804</t>
  </si>
  <si>
    <t>Maritza Gerardina</t>
  </si>
  <si>
    <t>Rojas Guerrero</t>
  </si>
  <si>
    <t>26740153</t>
  </si>
  <si>
    <t>000413</t>
  </si>
  <si>
    <t>0503660203</t>
  </si>
  <si>
    <t>keylin</t>
  </si>
  <si>
    <t>jimenez rojas</t>
  </si>
  <si>
    <t>84790420</t>
  </si>
  <si>
    <t>000415</t>
  </si>
  <si>
    <t>sector los vargas</t>
  </si>
  <si>
    <t>250 este de la iglesia católica</t>
  </si>
  <si>
    <t>0502750555</t>
  </si>
  <si>
    <t>Ana de los Angeles</t>
  </si>
  <si>
    <t>Calvo Calvo</t>
  </si>
  <si>
    <t>83728880</t>
  </si>
  <si>
    <t>000416</t>
  </si>
  <si>
    <t>sectro los vargas</t>
  </si>
  <si>
    <t>250 este de la Iglesia Católica</t>
  </si>
  <si>
    <t>0501130519</t>
  </si>
  <si>
    <t>Luis Leandro</t>
  </si>
  <si>
    <t>Calvo Bolaños</t>
  </si>
  <si>
    <t>000417</t>
  </si>
  <si>
    <t>Sector Los vargas</t>
  </si>
  <si>
    <t>250 metros este de la iglesia</t>
  </si>
  <si>
    <t>María Dalila</t>
  </si>
  <si>
    <t>Calvo Narvaez</t>
  </si>
  <si>
    <t>000418</t>
  </si>
  <si>
    <t>la loma</t>
  </si>
  <si>
    <t>frente al mazaso</t>
  </si>
  <si>
    <t>Alejandra</t>
  </si>
  <si>
    <t>Campos Cagina</t>
  </si>
  <si>
    <t>86360847</t>
  </si>
  <si>
    <t>000419</t>
  </si>
  <si>
    <t>200 METROS LA NORTE DE ANITGUA CASA CAMARADA MAN</t>
  </si>
  <si>
    <t>0205320306</t>
  </si>
  <si>
    <t>SALVADORA</t>
  </si>
  <si>
    <t>SERRANO HERNANDEZ</t>
  </si>
  <si>
    <t>63879751</t>
  </si>
  <si>
    <t>000420</t>
  </si>
  <si>
    <t>bajo la loma</t>
  </si>
  <si>
    <t>50 metros sur del puente nuevo bajo la loma</t>
  </si>
  <si>
    <t>0502370344</t>
  </si>
  <si>
    <t>Miranda Rodriguez</t>
  </si>
  <si>
    <t>61605227</t>
  </si>
  <si>
    <t>000421</t>
  </si>
  <si>
    <t>frente al taller mazaso</t>
  </si>
  <si>
    <t>5428618000</t>
  </si>
  <si>
    <t xml:space="preserve">Fermina </t>
  </si>
  <si>
    <t>Morales Villareal</t>
  </si>
  <si>
    <t>86061027</t>
  </si>
  <si>
    <t>000422</t>
  </si>
  <si>
    <t>La loma</t>
  </si>
  <si>
    <t>frente al taller el mazaso</t>
  </si>
  <si>
    <t>1100890364</t>
  </si>
  <si>
    <t>Trejos Morales</t>
  </si>
  <si>
    <t>61775403</t>
  </si>
  <si>
    <t>000424</t>
  </si>
  <si>
    <t>0603010526</t>
  </si>
  <si>
    <t>MATAMOROS SALGUERA</t>
  </si>
  <si>
    <t>000425</t>
  </si>
  <si>
    <t>SECTOR LOS VARGAS</t>
  </si>
  <si>
    <t>250 METROS AL ESTE DE LA IGLESIA CATOLICA</t>
  </si>
  <si>
    <t>0504160073</t>
  </si>
  <si>
    <t>HILLARY PAMELA</t>
  </si>
  <si>
    <t>LOPEZ ESPINOZA</t>
  </si>
  <si>
    <t>83920084</t>
  </si>
  <si>
    <t>000426</t>
  </si>
  <si>
    <t>CO1456355</t>
  </si>
  <si>
    <t>JESUS BAUTISTA</t>
  </si>
  <si>
    <t>REYES MONTES</t>
  </si>
  <si>
    <t>83774018</t>
  </si>
  <si>
    <t>000427</t>
  </si>
  <si>
    <t>DELIA</t>
  </si>
  <si>
    <t>ALCAZAR NOGUERA</t>
  </si>
  <si>
    <t>000428</t>
  </si>
  <si>
    <t>BEBEDERO CENTRO, DETRAS DEL ANTIGUO EBAIS</t>
  </si>
  <si>
    <t>TAMARA</t>
  </si>
  <si>
    <t>REYES LEON</t>
  </si>
  <si>
    <t>000429</t>
  </si>
  <si>
    <t>BEBEDERO CENTRO</t>
  </si>
  <si>
    <t>ALGUERA ESPINOZA</t>
  </si>
  <si>
    <t>000430</t>
  </si>
  <si>
    <t>BARRIO SECTOR VARGAS</t>
  </si>
  <si>
    <t>ANGIE</t>
  </si>
  <si>
    <t>NAVARRETE MARIN</t>
  </si>
  <si>
    <t>000431</t>
  </si>
  <si>
    <t>ANTIGUO EBAIS</t>
  </si>
  <si>
    <t>DEL EBAIS ANTIGUO 75 METROS SUR</t>
  </si>
  <si>
    <t>0501361013</t>
  </si>
  <si>
    <t>JESUS</t>
  </si>
  <si>
    <t>SEQUEIRA MARIN</t>
  </si>
  <si>
    <t>000432</t>
  </si>
  <si>
    <t>75 METROS SUR DE ANTIGUO EBAIS</t>
  </si>
  <si>
    <t>0502940518</t>
  </si>
  <si>
    <t>LUIS RONALD</t>
  </si>
  <si>
    <t>SEQUEIRA VILLARREAL</t>
  </si>
  <si>
    <t>000433</t>
  </si>
  <si>
    <t>DETRAS DEL ANTIGUO EBAIS</t>
  </si>
  <si>
    <t>CRISITIANO AMADEO</t>
  </si>
  <si>
    <t>CHAVES</t>
  </si>
  <si>
    <t>000434</t>
  </si>
  <si>
    <t>LA LOMA</t>
  </si>
  <si>
    <t>FRENTE AL TALLER EL MAZAZO</t>
  </si>
  <si>
    <t>0501470272</t>
  </si>
  <si>
    <t>000435</t>
  </si>
  <si>
    <t>200 METROS NORTE DE ANTIGUA CASA CAMARADA HAN</t>
  </si>
  <si>
    <t>0205470091</t>
  </si>
  <si>
    <t>OSCAR</t>
  </si>
  <si>
    <t>CALDERON HERNANDEZ</t>
  </si>
  <si>
    <t>000436</t>
  </si>
  <si>
    <t>0503430451</t>
  </si>
  <si>
    <t>CARLOS MIGUEL</t>
  </si>
  <si>
    <t>CHAVARRIA ESPINOZA</t>
  </si>
  <si>
    <t>000437</t>
  </si>
  <si>
    <t>200 METROS AL NORTE ANTIGUA CASA CAMARADA hAN</t>
  </si>
  <si>
    <t>0205680232</t>
  </si>
  <si>
    <t>HENRY</t>
  </si>
  <si>
    <t>000438</t>
  </si>
  <si>
    <t>FRENTE AL TALLER MAZAZO</t>
  </si>
  <si>
    <t>0503320976</t>
  </si>
  <si>
    <t>OTILIA</t>
  </si>
  <si>
    <t>MORALES VILLAREAL</t>
  </si>
  <si>
    <t>000439</t>
  </si>
  <si>
    <t>150 METROS SUR DE LA ESCUELA, MANO IZQUIERDA</t>
  </si>
  <si>
    <t>0503110950</t>
  </si>
  <si>
    <t>LOPEZ CHAVARRIA</t>
  </si>
  <si>
    <t>89501068</t>
  </si>
  <si>
    <t>000440</t>
  </si>
  <si>
    <t>25 METROS NORTE DEL CHINOS BAR, MANO IZQUIERDA</t>
  </si>
  <si>
    <t>155815176833</t>
  </si>
  <si>
    <t>JERONIMO</t>
  </si>
  <si>
    <t>TIJERINO TORRES</t>
  </si>
  <si>
    <t>85241428</t>
  </si>
  <si>
    <t>000441</t>
  </si>
  <si>
    <t>50 METROS NORTE Y 25 METROS OESTE CHINOS BAR</t>
  </si>
  <si>
    <t>0503490544</t>
  </si>
  <si>
    <t>HERNANDEZ ARAYA</t>
  </si>
  <si>
    <t>83091373</t>
  </si>
  <si>
    <t>000442</t>
  </si>
  <si>
    <t>160 METROS SUR DE LA ESCUELA, 50 METROS ESTE MANO IZQUIERDA</t>
  </si>
  <si>
    <t>0502670186</t>
  </si>
  <si>
    <t>LUZ MARIA</t>
  </si>
  <si>
    <t>ESPINOZA DUARTE</t>
  </si>
  <si>
    <t>000443</t>
  </si>
  <si>
    <t>BAR LA PISTA 200 METROS SUR, MANO IZQUIERDA</t>
  </si>
  <si>
    <t>0502910719</t>
  </si>
  <si>
    <t>MOISES</t>
  </si>
  <si>
    <t>86378291</t>
  </si>
  <si>
    <t>000444</t>
  </si>
  <si>
    <t>25 METROS NORTE DEL SALON NOCHE BUENA, MANO IZQUIERDA</t>
  </si>
  <si>
    <t>0503100306</t>
  </si>
  <si>
    <t>JAIRA SABINA</t>
  </si>
  <si>
    <t>VALDELOMAR MIRANDA</t>
  </si>
  <si>
    <t>85213096</t>
  </si>
  <si>
    <t>000445</t>
  </si>
  <si>
    <t>25 METROS NORTE DEL SALON NOCHE BUENA</t>
  </si>
  <si>
    <t>0503660206</t>
  </si>
  <si>
    <t>000446</t>
  </si>
  <si>
    <t>15 METROS AL NORTE DEL SALON NOCHE BUENA, MANO IZQUIERDA</t>
  </si>
  <si>
    <t>0601001369</t>
  </si>
  <si>
    <t>JOSE MARIA</t>
  </si>
  <si>
    <t>HERNANDEZ COLLADO</t>
  </si>
  <si>
    <t>84702445</t>
  </si>
  <si>
    <t>000447</t>
  </si>
  <si>
    <t>10 METROS AL NORTE DEL SALON NOCHE BUENA</t>
  </si>
  <si>
    <t>0503820777</t>
  </si>
  <si>
    <t>KERVIN</t>
  </si>
  <si>
    <t>LOPEZ RODRIGUEZ</t>
  </si>
  <si>
    <t>000448</t>
  </si>
  <si>
    <t>REYNA</t>
  </si>
  <si>
    <t>VALLE GONZALEZ</t>
  </si>
  <si>
    <t>000450</t>
  </si>
  <si>
    <t>ELISA</t>
  </si>
  <si>
    <t>000451</t>
  </si>
  <si>
    <t>250 METROS ESTE DE LA IGLESIA CATOLICA</t>
  </si>
  <si>
    <t>0502010234</t>
  </si>
  <si>
    <t>MARIA LISETH</t>
  </si>
  <si>
    <t>VALLE G</t>
  </si>
  <si>
    <t>000452</t>
  </si>
  <si>
    <t>0503460227</t>
  </si>
  <si>
    <t>BALTODANO ALEMAN</t>
  </si>
  <si>
    <t>00453</t>
  </si>
  <si>
    <t>YASEN</t>
  </si>
  <si>
    <t>AMORES VEGA</t>
  </si>
  <si>
    <t>000454</t>
  </si>
  <si>
    <t>JEFFERSON</t>
  </si>
  <si>
    <t>REYES MONGUIA</t>
  </si>
  <si>
    <t>85000531</t>
  </si>
  <si>
    <t>000455</t>
  </si>
  <si>
    <t>0206950199</t>
  </si>
  <si>
    <t>GUILLERMO</t>
  </si>
  <si>
    <t>NAVARRETE CHAVES</t>
  </si>
  <si>
    <t>000456</t>
  </si>
  <si>
    <t>COSTADO OESTE DEL CEMENTERIO</t>
  </si>
  <si>
    <t>EVARISTA</t>
  </si>
  <si>
    <t>BUSTOS RODRIGUEZ</t>
  </si>
  <si>
    <t>558</t>
  </si>
  <si>
    <t>Frente a Salon Chinos Bar</t>
  </si>
  <si>
    <t>0807306994</t>
  </si>
  <si>
    <t xml:space="preserve">Julio </t>
  </si>
  <si>
    <t>Jácamo Noguera</t>
  </si>
  <si>
    <t>561</t>
  </si>
  <si>
    <t>Bar la Pista 200m sur a mano izquierda</t>
  </si>
  <si>
    <t>0600860502</t>
  </si>
  <si>
    <t>Segura Gutiérrez</t>
  </si>
  <si>
    <t>000562</t>
  </si>
  <si>
    <t>50 METROS NORTE DEL CHINOS BAR</t>
  </si>
  <si>
    <t>0504050540</t>
  </si>
  <si>
    <t>JEFFERSON ADEMIR</t>
  </si>
  <si>
    <t>TIJERINO ARAYA</t>
  </si>
  <si>
    <t>000563</t>
  </si>
  <si>
    <t>0502770147</t>
  </si>
  <si>
    <t>CHAVARRIA CALVO</t>
  </si>
  <si>
    <t>85755054</t>
  </si>
  <si>
    <t>000564</t>
  </si>
  <si>
    <t>165 METROS SUR DE LA ESCUELA, MANO IZQUIERDA</t>
  </si>
  <si>
    <t>STEPHEN</t>
  </si>
  <si>
    <t>SEQUEIRA LOPEZ</t>
  </si>
  <si>
    <t>000566</t>
  </si>
  <si>
    <t>160 METROS SUR DE LA ESCUELA DE BEBEDERO</t>
  </si>
  <si>
    <t>0502500946</t>
  </si>
  <si>
    <t>26740432</t>
  </si>
  <si>
    <t>000568</t>
  </si>
  <si>
    <t>160 METROS SUR DE LA ESCUELA, MANO IZQUIERDA</t>
  </si>
  <si>
    <t>0502320658</t>
  </si>
  <si>
    <t>LOPEZ MEJIAS</t>
  </si>
  <si>
    <t>000569</t>
  </si>
  <si>
    <t>MARTINEZ MUÑOZ</t>
  </si>
  <si>
    <t>000570</t>
  </si>
  <si>
    <t>DEL ANTIGUO EBAIS 100 METROS AL SUR 50 METROS AL ESTE</t>
  </si>
  <si>
    <t>0502610083</t>
  </si>
  <si>
    <t>DOLORES DEL CARMEN</t>
  </si>
  <si>
    <t>HURTADO BOJORGE</t>
  </si>
  <si>
    <t>000571</t>
  </si>
  <si>
    <t>0503100596</t>
  </si>
  <si>
    <t>YAJAIRA</t>
  </si>
  <si>
    <t>ALVARADO ARAYA</t>
  </si>
  <si>
    <t>000572</t>
  </si>
  <si>
    <t>125 METROS AL SUR DE LA CENTRAL TELEFONICA Y 100 METROS AL ESTE</t>
  </si>
  <si>
    <t>0503450068</t>
  </si>
  <si>
    <t>JOSE ADAN</t>
  </si>
  <si>
    <t>BRIONES ALVARADO</t>
  </si>
  <si>
    <t>85225594</t>
  </si>
  <si>
    <t>000573</t>
  </si>
  <si>
    <t xml:space="preserve"> DE LA CENTRAL DEL ICE 100 METROS SUR Y 75 METROS OESTE</t>
  </si>
  <si>
    <t>0601300918</t>
  </si>
  <si>
    <t>ETANISLAO</t>
  </si>
  <si>
    <t>MORAGA BARRANTES</t>
  </si>
  <si>
    <t>85095697</t>
  </si>
  <si>
    <t>000574</t>
  </si>
  <si>
    <t>FRENTE BAR LA PISTA BEBEDERO</t>
  </si>
  <si>
    <t>0501560309</t>
  </si>
  <si>
    <t>ODILI</t>
  </si>
  <si>
    <t>86611081</t>
  </si>
  <si>
    <t>000576</t>
  </si>
  <si>
    <t>50 METROS AL SUR DEL SALON COMUNAL</t>
  </si>
  <si>
    <t>0801100858</t>
  </si>
  <si>
    <t>YESIS</t>
  </si>
  <si>
    <t>CORTEZ MOJICA</t>
  </si>
  <si>
    <t>000577</t>
  </si>
  <si>
    <t>DEL BAR MAJUCE 75 METROS AL OESTE</t>
  </si>
  <si>
    <t>JOSE ALFREDO</t>
  </si>
  <si>
    <t>SALINAS HERRERA</t>
  </si>
  <si>
    <t>00578</t>
  </si>
  <si>
    <t>FRENTE AL CENCINAI DE BEBEDERO DE CAÑAS</t>
  </si>
  <si>
    <t>155805875413</t>
  </si>
  <si>
    <t>JUAN OSBALDO</t>
  </si>
  <si>
    <t>CORTES MOJICA</t>
  </si>
  <si>
    <t>50181585</t>
  </si>
  <si>
    <t>000579</t>
  </si>
  <si>
    <t>100 METROS OESTE DEL BAR MAJUSE</t>
  </si>
  <si>
    <t>155801022820</t>
  </si>
  <si>
    <t>JAVIER</t>
  </si>
  <si>
    <t>26740412</t>
  </si>
  <si>
    <t>000580</t>
  </si>
  <si>
    <t>150 METROS AL SUR DEL ANTIGUO EBAIS</t>
  </si>
  <si>
    <t>0502690837</t>
  </si>
  <si>
    <t>RONNY</t>
  </si>
  <si>
    <t>ARAYA BOGARIN</t>
  </si>
  <si>
    <t>000581</t>
  </si>
  <si>
    <t>NORA</t>
  </si>
  <si>
    <t>CANALES</t>
  </si>
  <si>
    <t>000582</t>
  </si>
  <si>
    <t>SECTOR CEMENTERIO</t>
  </si>
  <si>
    <t>155810326506</t>
  </si>
  <si>
    <t>JUAN MARTIN</t>
  </si>
  <si>
    <t>SOLIS GRANADOS</t>
  </si>
  <si>
    <t>000583</t>
  </si>
  <si>
    <t>MARIA CONCEPCION</t>
  </si>
  <si>
    <t>BLANDON DELGADO</t>
  </si>
  <si>
    <t>000584</t>
  </si>
  <si>
    <t>MIGUEL ANGEL</t>
  </si>
  <si>
    <t>000585</t>
  </si>
  <si>
    <t xml:space="preserve">BEBEDERO CENTRO </t>
  </si>
  <si>
    <t>GARCIA RODRIGUEZ</t>
  </si>
  <si>
    <t>000586</t>
  </si>
  <si>
    <t>155813439736</t>
  </si>
  <si>
    <t>SANTIAGO</t>
  </si>
  <si>
    <t>000587</t>
  </si>
  <si>
    <t>0204620383</t>
  </si>
  <si>
    <t>JOSE IGNACIO</t>
  </si>
  <si>
    <t>CARBALLO DURAN</t>
  </si>
  <si>
    <t>2224</t>
  </si>
  <si>
    <t>50 SUR 75 OESTE DE SALON LA PISTA</t>
  </si>
  <si>
    <t>0500800467</t>
  </si>
  <si>
    <t>PAULA</t>
  </si>
  <si>
    <t>MEJIA CORDOBA</t>
  </si>
  <si>
    <t>86783652</t>
  </si>
  <si>
    <t>2226</t>
  </si>
  <si>
    <t>APARTAMENTOS DE MANUELA</t>
  </si>
  <si>
    <t>0503300959</t>
  </si>
  <si>
    <t>ESTEFANI</t>
  </si>
  <si>
    <t>MARIN GARCIA</t>
  </si>
  <si>
    <t>83365565</t>
  </si>
  <si>
    <t>2227</t>
  </si>
  <si>
    <t>SECTOR VARGAS</t>
  </si>
  <si>
    <t>100 ESTE DE ANTIGUA PULPERIA RODOLFO VARGAS</t>
  </si>
  <si>
    <t>0503580025</t>
  </si>
  <si>
    <t>GIOVANNI</t>
  </si>
  <si>
    <t>NAVARRETE ALCOCER</t>
  </si>
  <si>
    <t>62647677</t>
  </si>
  <si>
    <t>002228</t>
  </si>
  <si>
    <t>CARLOS JOSE HERNANDEZ MENDOZA 100 SUR Y SO ESTE BAR CAYUGA</t>
  </si>
  <si>
    <t>GERONIMO TIJERINO</t>
  </si>
  <si>
    <t>002229</t>
  </si>
  <si>
    <t>DE LA PULPERÍA DE MEMO DETRAS DE LA IGLEIS PENTECOSTAL</t>
  </si>
  <si>
    <t>155807927232</t>
  </si>
  <si>
    <t>MIRISOL</t>
  </si>
  <si>
    <t>CABRERA</t>
  </si>
  <si>
    <t>86760009</t>
  </si>
  <si>
    <t>002230</t>
  </si>
  <si>
    <t>DEL SALON COMUNAL, ENTRADA A LA DERECHA A 25 METOS</t>
  </si>
  <si>
    <t>0501050287</t>
  </si>
  <si>
    <t xml:space="preserve">BENJAMIN </t>
  </si>
  <si>
    <t>88003580</t>
  </si>
  <si>
    <t>002231</t>
  </si>
  <si>
    <t>400 METROS ESTE DEL SALON COMUNAL</t>
  </si>
  <si>
    <t>0503750789</t>
  </si>
  <si>
    <t>TENORIO NAVARRO</t>
  </si>
  <si>
    <t>83939782</t>
  </si>
  <si>
    <t>002232</t>
  </si>
  <si>
    <t>COSTADO ESTE DE LA PLAZA DE BEBEDERO</t>
  </si>
  <si>
    <t>CERDAS AGUIRRE</t>
  </si>
  <si>
    <t>85457078</t>
  </si>
  <si>
    <t>002233</t>
  </si>
  <si>
    <t>EBAIS</t>
  </si>
  <si>
    <t>100 SUR EBAIS</t>
  </si>
  <si>
    <t>0503890743</t>
  </si>
  <si>
    <t>GREIVIN</t>
  </si>
  <si>
    <t>GAZA SALAZAR</t>
  </si>
  <si>
    <t>84770060</t>
  </si>
  <si>
    <t>002234</t>
  </si>
  <si>
    <t>25 METROS SUR BAR CAYUGA 15 METROS AL OESTE</t>
  </si>
  <si>
    <t>155817399500</t>
  </si>
  <si>
    <t>MARCIO</t>
  </si>
  <si>
    <t>QUIROS RODRIGUEZ</t>
  </si>
  <si>
    <t>84581878</t>
  </si>
  <si>
    <t>002235</t>
  </si>
  <si>
    <t>FRENTE AL CEMENTERIO</t>
  </si>
  <si>
    <t>0503280114</t>
  </si>
  <si>
    <t>RODRIGO ALONSO</t>
  </si>
  <si>
    <t>MORA DUARTE</t>
  </si>
  <si>
    <t>84520357</t>
  </si>
  <si>
    <t>002236</t>
  </si>
  <si>
    <t>BARRIO VARGAS</t>
  </si>
  <si>
    <t>0502820976</t>
  </si>
  <si>
    <t>ESTER</t>
  </si>
  <si>
    <t>BADILLA VILLEGAS</t>
  </si>
  <si>
    <t>87284369</t>
  </si>
  <si>
    <t>002237</t>
  </si>
  <si>
    <t>0501370134</t>
  </si>
  <si>
    <t>CLAUDIA</t>
  </si>
  <si>
    <t>LEALLEAL</t>
  </si>
  <si>
    <t>26670062</t>
  </si>
  <si>
    <t>002238</t>
  </si>
  <si>
    <t>25 METROS ESTE ABASTECEDOR EL ALMENDRO</t>
  </si>
  <si>
    <t>0503000939</t>
  </si>
  <si>
    <t>YEIMY</t>
  </si>
  <si>
    <t>ZUÑIGA SALGUERA</t>
  </si>
  <si>
    <t>88681887</t>
  </si>
  <si>
    <t>002239</t>
  </si>
  <si>
    <t>CONTIGUO ABASTECEDERO EL ALMENDRO</t>
  </si>
  <si>
    <t>0503050040</t>
  </si>
  <si>
    <t>SEGURA VARGAS</t>
  </si>
  <si>
    <t>85919077</t>
  </si>
  <si>
    <t>002240</t>
  </si>
  <si>
    <t>75 METROS NORTE DEL BAR CHINIOR'S</t>
  </si>
  <si>
    <t>0503700568</t>
  </si>
  <si>
    <t>JESSICA MARIA</t>
  </si>
  <si>
    <t>PASOS COLLADO</t>
  </si>
  <si>
    <t>84425852</t>
  </si>
  <si>
    <t>002241</t>
  </si>
  <si>
    <t>150 METROS SUR OESTE BAR CAYUGA</t>
  </si>
  <si>
    <t>0501870634</t>
  </si>
  <si>
    <t>JUANITA</t>
  </si>
  <si>
    <t>LOPEZ RUIZ</t>
  </si>
  <si>
    <t>002242</t>
  </si>
  <si>
    <t>25 NORTE SALON NOCHE BUENA</t>
  </si>
  <si>
    <t>0805126115</t>
  </si>
  <si>
    <t>DUARTE DUARTE</t>
  </si>
  <si>
    <t>002243</t>
  </si>
  <si>
    <t>DEL CAYUGA 75 SUR Y 25 OESTE</t>
  </si>
  <si>
    <t>0501580751</t>
  </si>
  <si>
    <t xml:space="preserve">OLIVER </t>
  </si>
  <si>
    <t>SALAS SALGUERA</t>
  </si>
  <si>
    <t>26740556</t>
  </si>
  <si>
    <t>002244</t>
  </si>
  <si>
    <t>125 M SUR DEL BAR CAYUGA, CASA BLANCA</t>
  </si>
  <si>
    <t>0227950117</t>
  </si>
  <si>
    <t>VALLE MANZANARES</t>
  </si>
  <si>
    <t>89689172</t>
  </si>
  <si>
    <t>002245</t>
  </si>
  <si>
    <t>JUNTAO AL PUENTE MANO IZQUIERDA</t>
  </si>
  <si>
    <t>MERCEDES GERARDO</t>
  </si>
  <si>
    <t>MORALES PANIAGUA</t>
  </si>
  <si>
    <t>002248</t>
  </si>
  <si>
    <t>DEL BAR CAYUGA 200M SURESTE CASA VERDE</t>
  </si>
  <si>
    <t>JAIRO</t>
  </si>
  <si>
    <t>JIMENEZ HERRERA</t>
  </si>
  <si>
    <t>002249</t>
  </si>
  <si>
    <t>CASA CELESTE PREDIO 35 BLOQUE 12 150 METROS SUR OESTE DEL BAR CAYUGA</t>
  </si>
  <si>
    <t>002252</t>
  </si>
  <si>
    <t>200 METROS AL ESTE DE LA IGLESIA CATOLICA DE BEBEDERO</t>
  </si>
  <si>
    <t>0501510313</t>
  </si>
  <si>
    <t>BERNARDA</t>
  </si>
  <si>
    <t>RODRIGUEZ ROMERO</t>
  </si>
  <si>
    <t>60676247</t>
  </si>
  <si>
    <t>002253</t>
  </si>
  <si>
    <t>LOS VARGAS</t>
  </si>
  <si>
    <t>250 ESTE DE LA IGLESIA CATOLICA</t>
  </si>
  <si>
    <t>0503240269</t>
  </si>
  <si>
    <t>CALVO CALVO</t>
  </si>
  <si>
    <t>002254</t>
  </si>
  <si>
    <t>ATRAS DE LA CASA DE FELIIPE</t>
  </si>
  <si>
    <t>0304290629</t>
  </si>
  <si>
    <t>CASTILLO HERNANDEZ</t>
  </si>
  <si>
    <t>83575538</t>
  </si>
  <si>
    <t>000249</t>
  </si>
  <si>
    <t>150 METROS SUR DEL BAR CAYUGA</t>
  </si>
  <si>
    <t>0501490542</t>
  </si>
  <si>
    <t>JOSE SANTOS</t>
  </si>
  <si>
    <t>CASTILLO PIÑAR</t>
  </si>
  <si>
    <t>61232301</t>
  </si>
  <si>
    <t>000449</t>
  </si>
  <si>
    <t>EDUAR</t>
  </si>
  <si>
    <t>GODOY</t>
  </si>
  <si>
    <t>000457</t>
  </si>
  <si>
    <t>SANTA ISABEL ABAJO</t>
  </si>
  <si>
    <t>300 METROS OESTE DEL PUENTE SOBRE EL RIO CAÑAS</t>
  </si>
  <si>
    <t>0502950450</t>
  </si>
  <si>
    <t>GARY MANUEL</t>
  </si>
  <si>
    <t>RODRIGUEZ MOREIRA</t>
  </si>
  <si>
    <t>87570916</t>
  </si>
  <si>
    <t>000458</t>
  </si>
  <si>
    <t>REPRESA SAN LUIS</t>
  </si>
  <si>
    <t>CAMINO A HOTEL, PRIMERA ENTRADA REPRESA SAN LUIS</t>
  </si>
  <si>
    <t>CORTES</t>
  </si>
  <si>
    <t>83851726</t>
  </si>
  <si>
    <t>000459</t>
  </si>
  <si>
    <t>0501340537</t>
  </si>
  <si>
    <t>VICTOR ELIAS</t>
  </si>
  <si>
    <t>CALVO HERNANDEZ</t>
  </si>
  <si>
    <t>000460</t>
  </si>
  <si>
    <t>PRIMERA CASA 25 METROS ESTE DE LA QUEBRADA CANTARANA</t>
  </si>
  <si>
    <t>155818334622</t>
  </si>
  <si>
    <t>JAZMINA</t>
  </si>
  <si>
    <t>PEÑA IBARRA</t>
  </si>
  <si>
    <t>63481058</t>
  </si>
  <si>
    <t>000461</t>
  </si>
  <si>
    <t>25 METROS AL ESTE DE QUEBRADA CANTA RANA</t>
  </si>
  <si>
    <t>155815047213</t>
  </si>
  <si>
    <t>IBANNIA</t>
  </si>
  <si>
    <t>OBANDO PEÑA</t>
  </si>
  <si>
    <t>000463</t>
  </si>
  <si>
    <t>DEL PUENTE CAÑAS 165 METROS OESTE</t>
  </si>
  <si>
    <t>155804780617</t>
  </si>
  <si>
    <t>RUIZ GONZALEZ</t>
  </si>
  <si>
    <t>83314727</t>
  </si>
  <si>
    <t>000464</t>
  </si>
  <si>
    <t>300 METROS OESTE DEL PUENTE RIO CAÑAS</t>
  </si>
  <si>
    <t>0502470638</t>
  </si>
  <si>
    <t>RAMIREZ CASTRO</t>
  </si>
  <si>
    <t>83203209</t>
  </si>
  <si>
    <t>000465</t>
  </si>
  <si>
    <t>ULTIMA CASA, DEL PUENTE CAÑAS 75 METROS AL ESTE</t>
  </si>
  <si>
    <t>155808552921</t>
  </si>
  <si>
    <t>JOSEFA</t>
  </si>
  <si>
    <t>TIJERINO IBARRA</t>
  </si>
  <si>
    <t>86862007</t>
  </si>
  <si>
    <t>000466</t>
  </si>
  <si>
    <t>750 METROS DEL PUENTE DE CAÑAS</t>
  </si>
  <si>
    <t>155808554318</t>
  </si>
  <si>
    <t>ALBANELIS</t>
  </si>
  <si>
    <t>PADILLA SAENZ</t>
  </si>
  <si>
    <t>84964544</t>
  </si>
  <si>
    <t>000467</t>
  </si>
  <si>
    <t>SANTA ISABEL ARRIBA</t>
  </si>
  <si>
    <t>DEL PUENTE 75 METROS AL OESTE</t>
  </si>
  <si>
    <t>DINARTE GUADAMUZ</t>
  </si>
  <si>
    <t>86578544</t>
  </si>
  <si>
    <t>000468</t>
  </si>
  <si>
    <t>0502780071</t>
  </si>
  <si>
    <t>JOSE MIGUEL</t>
  </si>
  <si>
    <t>RAMIREZ RUIZ</t>
  </si>
  <si>
    <t>83503201</t>
  </si>
  <si>
    <t>000469</t>
  </si>
  <si>
    <t>DETRAS DEL CTP CASA 7</t>
  </si>
  <si>
    <t>0503580306</t>
  </si>
  <si>
    <t>PEREZ ESPINOZA</t>
  </si>
  <si>
    <t>87320057</t>
  </si>
  <si>
    <t>000470</t>
  </si>
  <si>
    <t>DETRAS DEL CPT, CASA 6</t>
  </si>
  <si>
    <t>0502710420</t>
  </si>
  <si>
    <t>ANABELLE</t>
  </si>
  <si>
    <t>ELIZONDO CHAVES</t>
  </si>
  <si>
    <t>64279933</t>
  </si>
  <si>
    <t>000471</t>
  </si>
  <si>
    <t>DEL PUENTE 200 METROS OESTE</t>
  </si>
  <si>
    <t>0501150919</t>
  </si>
  <si>
    <t>MARIA EVELINA</t>
  </si>
  <si>
    <t>SEGURA QUESADA</t>
  </si>
  <si>
    <t>83757961</t>
  </si>
  <si>
    <t>000472</t>
  </si>
  <si>
    <t>75 M DEL PUENTE SOBRE EL RIO CAÑAS CASA VERDE</t>
  </si>
  <si>
    <t>0302240054</t>
  </si>
  <si>
    <t>RODOLFO ENRIQUE</t>
  </si>
  <si>
    <t>MATA DIAZ</t>
  </si>
  <si>
    <t>85163464</t>
  </si>
  <si>
    <t>000473</t>
  </si>
  <si>
    <t>COROBICI</t>
  </si>
  <si>
    <t>CONTIGUO AL RIO SARDINAL</t>
  </si>
  <si>
    <t>0501740494</t>
  </si>
  <si>
    <t>PANIAGUA SALGUERA</t>
  </si>
  <si>
    <t>84158539</t>
  </si>
  <si>
    <t>000474</t>
  </si>
  <si>
    <t xml:space="preserve">COROBICI CASA DEL FONDO CONTIGUO AL RIO </t>
  </si>
  <si>
    <t>155815810323</t>
  </si>
  <si>
    <t>KARLA PATRICIA</t>
  </si>
  <si>
    <t>LOPEZ CALERO</t>
  </si>
  <si>
    <t>62859974</t>
  </si>
  <si>
    <t>000475</t>
  </si>
  <si>
    <t>CASA 2 CONTIGUO AL RIO COROBICI</t>
  </si>
  <si>
    <t>MARIA JOSE</t>
  </si>
  <si>
    <t>61614150</t>
  </si>
  <si>
    <t>000476</t>
  </si>
  <si>
    <t xml:space="preserve">COROBICI </t>
  </si>
  <si>
    <t>CASA 1 CONTIGUO RIO COROBICI</t>
  </si>
  <si>
    <t>155824168336</t>
  </si>
  <si>
    <t>ROSA VICTORIA</t>
  </si>
  <si>
    <t>CALERO SANCHEZ</t>
  </si>
  <si>
    <t>000477</t>
  </si>
  <si>
    <t>ULTIMA CALLE PREDIO  55</t>
  </si>
  <si>
    <t>SARITA</t>
  </si>
  <si>
    <t>REYES DORMES</t>
  </si>
  <si>
    <t>62482548</t>
  </si>
  <si>
    <t>000478</t>
  </si>
  <si>
    <t>SEGUNDA CALLE PREDIO  51</t>
  </si>
  <si>
    <t>0502510601</t>
  </si>
  <si>
    <t>SALGUERO GONZALEZ</t>
  </si>
  <si>
    <t>000479</t>
  </si>
  <si>
    <t>125M NORTE DEL PUENTE SOBRE EL RIO CAÑAS PREDIO  03</t>
  </si>
  <si>
    <t>0900950357</t>
  </si>
  <si>
    <t>ESPINOZA RODRIGUEZ</t>
  </si>
  <si>
    <t>83813567</t>
  </si>
  <si>
    <t>000480</t>
  </si>
  <si>
    <t>125M NORTE DEL PUENTE SOBRE EL RIO COROBICI PREDIO 03-02</t>
  </si>
  <si>
    <t>0502000912</t>
  </si>
  <si>
    <t>88020336</t>
  </si>
  <si>
    <t>000481</t>
  </si>
  <si>
    <t>125 M NORTE DEL PUENTE SOBRE EL RIO COROBICI PREDIO 04</t>
  </si>
  <si>
    <t>0501920088</t>
  </si>
  <si>
    <t xml:space="preserve">LILLIAM </t>
  </si>
  <si>
    <t>88372957</t>
  </si>
  <si>
    <t>000482</t>
  </si>
  <si>
    <t>ULTIMA CALLE PREDIO 44 ESQUINERO</t>
  </si>
  <si>
    <t>0504070361</t>
  </si>
  <si>
    <t>ANGELA ROXANA</t>
  </si>
  <si>
    <t>REYES</t>
  </si>
  <si>
    <t>85574289</t>
  </si>
  <si>
    <t>000483</t>
  </si>
  <si>
    <t>LUIS FELIPE</t>
  </si>
  <si>
    <t>61942225</t>
  </si>
  <si>
    <t>000484</t>
  </si>
  <si>
    <t>COROBICI PREDIO 46</t>
  </si>
  <si>
    <t>0503740650</t>
  </si>
  <si>
    <t>MARCOS AURELIO</t>
  </si>
  <si>
    <t>SALGUERA ELIZONDO</t>
  </si>
  <si>
    <t>61254154</t>
  </si>
  <si>
    <t>000485</t>
  </si>
  <si>
    <t>SEGUNDA CALLE PREDIO 43, ESQUINERO</t>
  </si>
  <si>
    <t>0604200786</t>
  </si>
  <si>
    <t>ROJAS OCONITRILLO</t>
  </si>
  <si>
    <t>62262422</t>
  </si>
  <si>
    <t>000486</t>
  </si>
  <si>
    <t>SEGUNDA CALLE PREDIO 50</t>
  </si>
  <si>
    <t>0503050929</t>
  </si>
  <si>
    <t>KATHIA VANESSA</t>
  </si>
  <si>
    <t>SALGUERA GONZALEZ</t>
  </si>
  <si>
    <t>000487</t>
  </si>
  <si>
    <t>SEGUNDA CALLE PREDIO  49</t>
  </si>
  <si>
    <t>MARIA FELIPA</t>
  </si>
  <si>
    <t>86746885</t>
  </si>
  <si>
    <t>000488</t>
  </si>
  <si>
    <t>ULTIMA CALLE PREDIO 54</t>
  </si>
  <si>
    <t>0503180528</t>
  </si>
  <si>
    <t>REYES ELIZONDO</t>
  </si>
  <si>
    <t>84641467</t>
  </si>
  <si>
    <t>000489</t>
  </si>
  <si>
    <t>DEL PUENTE DE CAÑAS 500 MTS OESTE SOBRE EL RIO. CASA DE MADERA</t>
  </si>
  <si>
    <t>0503980001</t>
  </si>
  <si>
    <t>HECER MANUEL</t>
  </si>
  <si>
    <t>CASTILLO CERDAS</t>
  </si>
  <si>
    <t>000490</t>
  </si>
  <si>
    <t>CAMINO A HOTEL HACIA LA REPRESASAN LUIS PRIMERA ENTRADA</t>
  </si>
  <si>
    <t>0801050145</t>
  </si>
  <si>
    <t>PEÑA CANO</t>
  </si>
  <si>
    <t>85149163</t>
  </si>
  <si>
    <t>000491</t>
  </si>
  <si>
    <t>75 M OESTE DEL PUENTE SOBRE EL RIO CAÑAS</t>
  </si>
  <si>
    <t>0501471338</t>
  </si>
  <si>
    <t>BRICEÑO MONTOYA</t>
  </si>
  <si>
    <t>88379605</t>
  </si>
  <si>
    <t>000492</t>
  </si>
  <si>
    <t>75 OESTE DEL PUENTE CAÑAS</t>
  </si>
  <si>
    <t>0502730975</t>
  </si>
  <si>
    <t>MAGALY</t>
  </si>
  <si>
    <t>BRICEÑO BRICEÑO</t>
  </si>
  <si>
    <t>000493</t>
  </si>
  <si>
    <t>150 MTS ESTE DEL PUENTE DEL RIO CAÑAS</t>
  </si>
  <si>
    <t>0503420262</t>
  </si>
  <si>
    <t>INGRID</t>
  </si>
  <si>
    <t>VILLAREAL BERMUDEZ</t>
  </si>
  <si>
    <t>84787561</t>
  </si>
  <si>
    <t>000508</t>
  </si>
  <si>
    <t>Santa Isabel</t>
  </si>
  <si>
    <t>0501390105</t>
  </si>
  <si>
    <t>Maria Ana</t>
  </si>
  <si>
    <t>Vindas Marin</t>
  </si>
  <si>
    <t>84946724</t>
  </si>
  <si>
    <t>000509</t>
  </si>
  <si>
    <t>Santa Isabel Arriba</t>
  </si>
  <si>
    <t>125 del puente Rio Cañas</t>
  </si>
  <si>
    <t>0502800191</t>
  </si>
  <si>
    <t xml:space="preserve">Juan Carlos </t>
  </si>
  <si>
    <t xml:space="preserve">Zuñiga Porras </t>
  </si>
  <si>
    <t>86015608</t>
  </si>
  <si>
    <t>000510</t>
  </si>
  <si>
    <t>Del puente de Cañas 150 E casa de madera</t>
  </si>
  <si>
    <t>0502240699</t>
  </si>
  <si>
    <t>Juan Alberto</t>
  </si>
  <si>
    <t>Medrano Medrano</t>
  </si>
  <si>
    <t>88967343</t>
  </si>
  <si>
    <t>000511</t>
  </si>
  <si>
    <t>Represa San Luis</t>
  </si>
  <si>
    <t>Represa San Luis casa 2</t>
  </si>
  <si>
    <t>Cristian</t>
  </si>
  <si>
    <t>Lara Solano</t>
  </si>
  <si>
    <t>88374476</t>
  </si>
  <si>
    <t>000512</t>
  </si>
  <si>
    <t>Corobici</t>
  </si>
  <si>
    <t>Corobici predio 38</t>
  </si>
  <si>
    <t>Yenory</t>
  </si>
  <si>
    <t>Elizondo Alvarado</t>
  </si>
  <si>
    <t>000513</t>
  </si>
  <si>
    <t>2da calle ultima casa predio 52</t>
  </si>
  <si>
    <t xml:space="preserve">Noel </t>
  </si>
  <si>
    <t>Reyes Orozco</t>
  </si>
  <si>
    <t>62057151</t>
  </si>
  <si>
    <t>000514</t>
  </si>
  <si>
    <t>Ultima calle predio 37</t>
  </si>
  <si>
    <t>0503070216</t>
  </si>
  <si>
    <t>Mayda</t>
  </si>
  <si>
    <t xml:space="preserve"> Ochoa Elizondo</t>
  </si>
  <si>
    <t>88548193</t>
  </si>
  <si>
    <t>000515</t>
  </si>
  <si>
    <t>Ultima calle predio 39</t>
  </si>
  <si>
    <t>Gonzalez Salguero</t>
  </si>
  <si>
    <t>000516</t>
  </si>
  <si>
    <t>segunda calle predio 51</t>
  </si>
  <si>
    <t>0503940400</t>
  </si>
  <si>
    <t xml:space="preserve">Roberto </t>
  </si>
  <si>
    <t>Molina Gonzalez</t>
  </si>
  <si>
    <t>84631873</t>
  </si>
  <si>
    <t>000517</t>
  </si>
  <si>
    <t>A la par de río Corobicí, casa 4</t>
  </si>
  <si>
    <t>0800660063</t>
  </si>
  <si>
    <t>Canales Canales</t>
  </si>
  <si>
    <t>85430157</t>
  </si>
  <si>
    <t>000518</t>
  </si>
  <si>
    <t>1era entrada mano izquierda, camino al río última casa a mano derecha</t>
  </si>
  <si>
    <t>0501930411</t>
  </si>
  <si>
    <t>Arroyo Marín</t>
  </si>
  <si>
    <t>84194315</t>
  </si>
  <si>
    <t>000519</t>
  </si>
  <si>
    <t>Casa atrás de doña Marisol</t>
  </si>
  <si>
    <t>0501411179</t>
  </si>
  <si>
    <t>Asdrúbal</t>
  </si>
  <si>
    <t>Bolívar Bolívar</t>
  </si>
  <si>
    <t>72109805</t>
  </si>
  <si>
    <t>000520</t>
  </si>
  <si>
    <t>150 este de puente río Cañas</t>
  </si>
  <si>
    <t>0503450108</t>
  </si>
  <si>
    <t>Rogelio</t>
  </si>
  <si>
    <t>Barquero Guillén</t>
  </si>
  <si>
    <t>85130669</t>
  </si>
  <si>
    <t>000521</t>
  </si>
  <si>
    <t>De la bloquera Casanova, 25 este casa de madera</t>
  </si>
  <si>
    <t>0502600740</t>
  </si>
  <si>
    <t>Marisol</t>
  </si>
  <si>
    <t>Solís Quirós</t>
  </si>
  <si>
    <t>85332351</t>
  </si>
  <si>
    <t>000522</t>
  </si>
  <si>
    <t>Cuarta casa al este del puente de Cañas</t>
  </si>
  <si>
    <t>155802231105</t>
  </si>
  <si>
    <t>Mayela del Socorro</t>
  </si>
  <si>
    <t>85777868</t>
  </si>
  <si>
    <t>00523</t>
  </si>
  <si>
    <t>De la bloquera Casanova, 75 mts este, casa de zinc herrumbrado (ranchito)</t>
  </si>
  <si>
    <t>0503380036</t>
  </si>
  <si>
    <t>Jarlin Dilany</t>
  </si>
  <si>
    <t>Ramírez</t>
  </si>
  <si>
    <t>83219804</t>
  </si>
  <si>
    <t>000524</t>
  </si>
  <si>
    <t>De la bloquera Casanova, 75 m este</t>
  </si>
  <si>
    <t>0502080353</t>
  </si>
  <si>
    <t>Vargas Quirós</t>
  </si>
  <si>
    <t>88749716</t>
  </si>
  <si>
    <t>000525</t>
  </si>
  <si>
    <t>100 m este de la bloquera Casanova</t>
  </si>
  <si>
    <t>0503770862</t>
  </si>
  <si>
    <t>Eliodoro</t>
  </si>
  <si>
    <t>Alvarado Rodríguez</t>
  </si>
  <si>
    <t>70241371</t>
  </si>
  <si>
    <t>000526</t>
  </si>
  <si>
    <t>75 mts este del puente río Cañas</t>
  </si>
  <si>
    <t>0503380275</t>
  </si>
  <si>
    <t>Heiner</t>
  </si>
  <si>
    <t>Obando Gómez</t>
  </si>
  <si>
    <t>86300811</t>
  </si>
  <si>
    <t>000527</t>
  </si>
  <si>
    <t>250 m este del puente de Cañas</t>
  </si>
  <si>
    <t>0501580845</t>
  </si>
  <si>
    <t>Alexis</t>
  </si>
  <si>
    <t>Vindas Marín</t>
  </si>
  <si>
    <t>84378292</t>
  </si>
  <si>
    <t>000528</t>
  </si>
  <si>
    <t>500 mts este del puente sobre río Cañas</t>
  </si>
  <si>
    <t>0503640124</t>
  </si>
  <si>
    <t>Cindy</t>
  </si>
  <si>
    <t>Morales Soto</t>
  </si>
  <si>
    <t>83995622</t>
  </si>
  <si>
    <t>000529</t>
  </si>
  <si>
    <t>50 oeste de bloquera casanova</t>
  </si>
  <si>
    <t>0504850654</t>
  </si>
  <si>
    <t>Solís Aguirre</t>
  </si>
  <si>
    <t>85050322</t>
  </si>
  <si>
    <t>000530</t>
  </si>
  <si>
    <t>60m oeste de la bloquera</t>
  </si>
  <si>
    <t>0205940401</t>
  </si>
  <si>
    <t>Katia</t>
  </si>
  <si>
    <t>García Aguirre</t>
  </si>
  <si>
    <t>88261457</t>
  </si>
  <si>
    <t>000531</t>
  </si>
  <si>
    <t>Bloquera, 50 m oeste</t>
  </si>
  <si>
    <t>0206230765</t>
  </si>
  <si>
    <t>Shirley</t>
  </si>
  <si>
    <t>84881693</t>
  </si>
  <si>
    <t>000532</t>
  </si>
  <si>
    <t>Del puente de río Cañas, 150 mts este</t>
  </si>
  <si>
    <t>1558106323102</t>
  </si>
  <si>
    <t>Coralia</t>
  </si>
  <si>
    <t>Largaespada López</t>
  </si>
  <si>
    <t>60726291</t>
  </si>
  <si>
    <t>000533</t>
  </si>
  <si>
    <t>1 km este del pente sobre río Cañas</t>
  </si>
  <si>
    <t>0503850460</t>
  </si>
  <si>
    <t>Maribel</t>
  </si>
  <si>
    <t>Brenes Morales</t>
  </si>
  <si>
    <t>86208419</t>
  </si>
  <si>
    <t>000534</t>
  </si>
  <si>
    <t>0501720462</t>
  </si>
  <si>
    <t>Virginia</t>
  </si>
  <si>
    <t>Morales Umaña</t>
  </si>
  <si>
    <t>000535</t>
  </si>
  <si>
    <t>200 mts este del puente sobre río Cañas</t>
  </si>
  <si>
    <t>0503410645</t>
  </si>
  <si>
    <t>Maylin</t>
  </si>
  <si>
    <t xml:space="preserve">Duarte Alfaro </t>
  </si>
  <si>
    <t>85523724</t>
  </si>
  <si>
    <t>000536</t>
  </si>
  <si>
    <t>1era entrada mano izquierda, buscando el río, segunda casa derecha</t>
  </si>
  <si>
    <t>155804222817</t>
  </si>
  <si>
    <t>Josefa</t>
  </si>
  <si>
    <t>Sánchez Venegas</t>
  </si>
  <si>
    <t>25521903</t>
  </si>
  <si>
    <t>000537</t>
  </si>
  <si>
    <t>300 este del puente río Cañas</t>
  </si>
  <si>
    <t>Ballardo</t>
  </si>
  <si>
    <t>Martínez Martínez</t>
  </si>
  <si>
    <t>89555333</t>
  </si>
  <si>
    <t>000538</t>
  </si>
  <si>
    <t>Casa número 19</t>
  </si>
  <si>
    <t>0502650739</t>
  </si>
  <si>
    <t>José Ángel</t>
  </si>
  <si>
    <t>Ramírez Palacios</t>
  </si>
  <si>
    <t>83374003</t>
  </si>
  <si>
    <t>539</t>
  </si>
  <si>
    <t>75 oeste de la Bloquera Casanova</t>
  </si>
  <si>
    <t>0502120292</t>
  </si>
  <si>
    <t xml:space="preserve">Maritza </t>
  </si>
  <si>
    <t>Soto Meza</t>
  </si>
  <si>
    <t>88379579</t>
  </si>
  <si>
    <t>540</t>
  </si>
  <si>
    <t>0503950859</t>
  </si>
  <si>
    <t>Aaron</t>
  </si>
  <si>
    <t>Solis Quirós</t>
  </si>
  <si>
    <t>87373805</t>
  </si>
  <si>
    <t>541</t>
  </si>
  <si>
    <t>A la par de don don Jose Angel Ramírez Palacios. Casa 19</t>
  </si>
  <si>
    <t>0811701839</t>
  </si>
  <si>
    <t>Edith</t>
  </si>
  <si>
    <t>López Hernández</t>
  </si>
  <si>
    <t>542</t>
  </si>
  <si>
    <t>Del majuse 300 sur</t>
  </si>
  <si>
    <t>155825829729</t>
  </si>
  <si>
    <t>Julio César</t>
  </si>
  <si>
    <t>Méndez Torres</t>
  </si>
  <si>
    <t>62317333</t>
  </si>
  <si>
    <t>543</t>
  </si>
  <si>
    <t>200 m este del Puente del río Cañas</t>
  </si>
  <si>
    <t>0503510043</t>
  </si>
  <si>
    <t>Yorslania</t>
  </si>
  <si>
    <t>Bermúdez Ríos</t>
  </si>
  <si>
    <t>84572060</t>
  </si>
  <si>
    <t>544</t>
  </si>
  <si>
    <t>200 m este del POuente de Cañas</t>
  </si>
  <si>
    <t>0502660593</t>
  </si>
  <si>
    <t>Yamilet</t>
  </si>
  <si>
    <t>Ríos Ríos</t>
  </si>
  <si>
    <t>545</t>
  </si>
  <si>
    <t xml:space="preserve">200 m este de la bloquera </t>
  </si>
  <si>
    <t>0501570165</t>
  </si>
  <si>
    <t>Briceño Guerrero</t>
  </si>
  <si>
    <t>84659250</t>
  </si>
  <si>
    <t>546</t>
  </si>
  <si>
    <t>75 oeste de la bloquera Casanova</t>
  </si>
  <si>
    <t>0503950549</t>
  </si>
  <si>
    <t>María Alejandra</t>
  </si>
  <si>
    <t>Calderón Soto</t>
  </si>
  <si>
    <t>547</t>
  </si>
  <si>
    <t>de la entrada de Taha, las casas de Don Gerardo</t>
  </si>
  <si>
    <t>0501650341</t>
  </si>
  <si>
    <t>Bolivar Acevedo</t>
  </si>
  <si>
    <t>85721096</t>
  </si>
  <si>
    <t>548</t>
  </si>
  <si>
    <t>De la Bloquera Casanova 75 m este Casa a mano Izquierda celeste</t>
  </si>
  <si>
    <t>0503280456</t>
  </si>
  <si>
    <t>Jose María</t>
  </si>
  <si>
    <t>Quirós Gómez</t>
  </si>
  <si>
    <t>88772558</t>
  </si>
  <si>
    <t>549</t>
  </si>
  <si>
    <t>Del puente del río Cañas 100 m este</t>
  </si>
  <si>
    <t>0504010563</t>
  </si>
  <si>
    <t>Diala</t>
  </si>
  <si>
    <t>Briceño Quirós</t>
  </si>
  <si>
    <t>64748195</t>
  </si>
  <si>
    <t>550</t>
  </si>
  <si>
    <t>Del puente del río Cañas 100 este</t>
  </si>
  <si>
    <t>0503880932</t>
  </si>
  <si>
    <t xml:space="preserve">Cristina </t>
  </si>
  <si>
    <t>551</t>
  </si>
  <si>
    <t>0502230967</t>
  </si>
  <si>
    <t>Xinia Lorena</t>
  </si>
  <si>
    <t>552</t>
  </si>
  <si>
    <t>Del puente del Río Cañas 900 este detrás de la casa B#6</t>
  </si>
  <si>
    <t>0503490686</t>
  </si>
  <si>
    <t xml:space="preserve">Guiselle </t>
  </si>
  <si>
    <t>Cortés Cordoncillo</t>
  </si>
  <si>
    <t>60646800</t>
  </si>
  <si>
    <t>553</t>
  </si>
  <si>
    <t>0503290443</t>
  </si>
  <si>
    <t>Yanory María</t>
  </si>
  <si>
    <t>Ramírez López</t>
  </si>
  <si>
    <t>85274259</t>
  </si>
  <si>
    <t>554</t>
  </si>
  <si>
    <t>350 m este del Puente sobre el río Cañas</t>
  </si>
  <si>
    <t>0801090256</t>
  </si>
  <si>
    <t>Carolina</t>
  </si>
  <si>
    <t>Reina López</t>
  </si>
  <si>
    <t>62149278</t>
  </si>
  <si>
    <t>555</t>
  </si>
  <si>
    <t>0503070277</t>
  </si>
  <si>
    <t>Luis Fernando</t>
  </si>
  <si>
    <t>Jara Ortega</t>
  </si>
  <si>
    <t>84582649</t>
  </si>
  <si>
    <t>556</t>
  </si>
  <si>
    <t>Santa Isabel Abajo</t>
  </si>
  <si>
    <t>150 oeste del río Cañas</t>
  </si>
  <si>
    <t>0502330996</t>
  </si>
  <si>
    <t xml:space="preserve">Victor </t>
  </si>
  <si>
    <t>Umaña Loría</t>
  </si>
  <si>
    <t>85513416</t>
  </si>
  <si>
    <t>557</t>
  </si>
  <si>
    <t>Casa #19</t>
  </si>
  <si>
    <t>155816202923</t>
  </si>
  <si>
    <t>Francisca Leiner</t>
  </si>
  <si>
    <t>Carrión Lizano</t>
  </si>
  <si>
    <t>89048407</t>
  </si>
  <si>
    <t>000575</t>
  </si>
  <si>
    <t>DE LA ENTRDA PRINCIPAL DE TABOGA 150 METROS AL NORTE</t>
  </si>
  <si>
    <t>0502630483</t>
  </si>
  <si>
    <t>JOSE MANUEL</t>
  </si>
  <si>
    <t>VARGAS RODRIGUEZ</t>
  </si>
  <si>
    <t>86839831</t>
  </si>
  <si>
    <t>000588</t>
  </si>
  <si>
    <t>0503270353</t>
  </si>
  <si>
    <t>LILLIANA</t>
  </si>
  <si>
    <t>ALVAREZ ROSALES</t>
  </si>
  <si>
    <t>84115927</t>
  </si>
  <si>
    <t>000899</t>
  </si>
  <si>
    <t>EL HOTEL</t>
  </si>
  <si>
    <t xml:space="preserve">DEL BAR LAS AGUILAS 500M NORTE AL MARGEN DERECHO, CONTIGUO AL DIQUE. CASA DE MADERA SIN PINTAR </t>
  </si>
  <si>
    <t>0502510145</t>
  </si>
  <si>
    <t>MARCIAL</t>
  </si>
  <si>
    <t>RODRIGUEZ BERMUDEZ</t>
  </si>
  <si>
    <t>63857003</t>
  </si>
  <si>
    <t>000900</t>
  </si>
  <si>
    <t>HOTEL</t>
  </si>
  <si>
    <t>DE LA ESCUELA 150M ESTE AL MARGEN IZQUIERDO. CASA DE BALDOSA COLOR BLANCA.</t>
  </si>
  <si>
    <t>0501740482</t>
  </si>
  <si>
    <t>BOJORGE ACEVEDO</t>
  </si>
  <si>
    <t>84290927</t>
  </si>
  <si>
    <t>000901</t>
  </si>
  <si>
    <t xml:space="preserve">DE LA ESCUELA 150M ESTE AL MARGEN IZQUIERDO, CASA DE MADERA Y ZINC COLOR AZUL CON CAFE. </t>
  </si>
  <si>
    <t>0503280687</t>
  </si>
  <si>
    <t>SIRLENE MARIA</t>
  </si>
  <si>
    <t>BOJORGE VILLAREAL</t>
  </si>
  <si>
    <t>86110846</t>
  </si>
  <si>
    <t>000902</t>
  </si>
  <si>
    <t>DE LA ESCUELA 150M ESTE, AL MARGEN IZQUIERDO. CASA DE ZINC SIN PINTAR.</t>
  </si>
  <si>
    <t>0603010116</t>
  </si>
  <si>
    <t>85633952</t>
  </si>
  <si>
    <t>000903</t>
  </si>
  <si>
    <t>DE LA ESCUELA 50M NORTE, AL MARGEN IZQUIERDO. CASA COLOR FUCCIA.</t>
  </si>
  <si>
    <t>0503140340</t>
  </si>
  <si>
    <t>ANDREYS</t>
  </si>
  <si>
    <t>SEGURA CAMPOS</t>
  </si>
  <si>
    <t>85992590</t>
  </si>
  <si>
    <t>000904</t>
  </si>
  <si>
    <t>DE LA ESCUELA 50M NORTE AL MARGEN IZQUIERDO. CASA COLOR FUCCIA.</t>
  </si>
  <si>
    <t>0900500341</t>
  </si>
  <si>
    <t xml:space="preserve">JOSEMARIA </t>
  </si>
  <si>
    <t>LOPEZ NAVARRO</t>
  </si>
  <si>
    <t>88649951</t>
  </si>
  <si>
    <t>000905</t>
  </si>
  <si>
    <t>DE LA ESCUELA 50M NORTE AL MARGEN IZQUIERDO. CASA DE BLOCK COLOR CREMA.</t>
  </si>
  <si>
    <t>0501300930</t>
  </si>
  <si>
    <t>89525513</t>
  </si>
  <si>
    <t>000906</t>
  </si>
  <si>
    <t>DE LA ESCUELA 50M AL NORTE AL MARGEN IZQUIERDO. CASA DE FIBROLIT Y MADERA SIN PINTAR.</t>
  </si>
  <si>
    <t>0503690954</t>
  </si>
  <si>
    <t>JEISON</t>
  </si>
  <si>
    <t>VENEGAS ORTEGA</t>
  </si>
  <si>
    <t>60681313</t>
  </si>
  <si>
    <t>000907</t>
  </si>
  <si>
    <t>DE LA ESCUELA 50 AL NORTE AL MARGEN IZQUIERDO, CASA DE BLOCK COLOR CREMA.</t>
  </si>
  <si>
    <t>0501930499</t>
  </si>
  <si>
    <t>MARISELA</t>
  </si>
  <si>
    <t>63242420</t>
  </si>
  <si>
    <t>0504190111</t>
  </si>
  <si>
    <t>GENESIS</t>
  </si>
  <si>
    <t>HERRERA LOPEZ</t>
  </si>
  <si>
    <t>000908</t>
  </si>
  <si>
    <t>50 NORTE DE LA ESCUELA, AL MARGEN IZQUIERDO. CASA DE ZOCALO COLOR ROJA CON VERDE.</t>
  </si>
  <si>
    <t>0503310682</t>
  </si>
  <si>
    <t>JHONY</t>
  </si>
  <si>
    <t>PANIAGUA LOPEZ</t>
  </si>
  <si>
    <t>86308652</t>
  </si>
  <si>
    <t>0501220305</t>
  </si>
  <si>
    <t>EUFEMIA</t>
  </si>
  <si>
    <t>000909</t>
  </si>
  <si>
    <t>DE LA ESCUELA 25M NORTE, AL MARGEN IZQUIERDO. CASA COLOR VERDE AGUA.</t>
  </si>
  <si>
    <t>0503930368</t>
  </si>
  <si>
    <t>JOSE RAMON</t>
  </si>
  <si>
    <t>CUBILLO PEREZ</t>
  </si>
  <si>
    <t>84304618</t>
  </si>
  <si>
    <t>000910</t>
  </si>
  <si>
    <t>DE LA ESCUELA 25M NORTE AL MARGEN IZQUIERDO. CASA COLOR AZUL.</t>
  </si>
  <si>
    <t>0501401188</t>
  </si>
  <si>
    <t>ROMAN</t>
  </si>
  <si>
    <t>CUBILLO VALENCIA</t>
  </si>
  <si>
    <t>83039323</t>
  </si>
  <si>
    <t>000911</t>
  </si>
  <si>
    <t>COSTADO OESTE DEL TANQUE DE AGUA, DIAGONAL A LA ESCUELA. CASA DE ZOCALO COLOR VINO CON VERDE.</t>
  </si>
  <si>
    <t>0502710968</t>
  </si>
  <si>
    <t>VILLAREAL HERNANDEZ</t>
  </si>
  <si>
    <t>87656484</t>
  </si>
  <si>
    <t>000912</t>
  </si>
  <si>
    <t>COSTADO OESTE DE LA ESCUELA , CASA COLOR ROSADA.</t>
  </si>
  <si>
    <t>0501350892</t>
  </si>
  <si>
    <t>CLAUDIO</t>
  </si>
  <si>
    <t>VILLAREAL LOPEZ</t>
  </si>
  <si>
    <t>85722219</t>
  </si>
  <si>
    <t>0503740445</t>
  </si>
  <si>
    <t>000913</t>
  </si>
  <si>
    <t>FRENTE A LA ESCUELA, CASA DE MADERA SIN PINTAR.</t>
  </si>
  <si>
    <t>0502760347</t>
  </si>
  <si>
    <t>MARLON</t>
  </si>
  <si>
    <t>PORRAS BOJORGE</t>
  </si>
  <si>
    <t>86147411</t>
  </si>
  <si>
    <t>0503770180</t>
  </si>
  <si>
    <t>DIOGENES</t>
  </si>
  <si>
    <t>000914</t>
  </si>
  <si>
    <t>H</t>
  </si>
  <si>
    <t>COSTADO OESTE DE LA ESCUELA, CASA DE MADERA COLOR CELESTE Y VERDE AGUA.</t>
  </si>
  <si>
    <t>0502980115</t>
  </si>
  <si>
    <t>MILDREY</t>
  </si>
  <si>
    <t>89903787</t>
  </si>
  <si>
    <t>000915</t>
  </si>
  <si>
    <t>FRENTE A LA ESCUELA, COSTADO OESTE. CASA COLOR VERDE AGUA.</t>
  </si>
  <si>
    <t>0502830426</t>
  </si>
  <si>
    <t>LUIS ALFREDO</t>
  </si>
  <si>
    <t>PORRAS</t>
  </si>
  <si>
    <t>85326440</t>
  </si>
  <si>
    <t>000916</t>
  </si>
  <si>
    <t>0502490766</t>
  </si>
  <si>
    <t>ORLANDO</t>
  </si>
  <si>
    <t>RODRIGUEZ ARROYO</t>
  </si>
  <si>
    <t>83930784</t>
  </si>
  <si>
    <t>000917</t>
  </si>
  <si>
    <t>FRENTE AL SALON COMUNAL, CASA COLOR AMARILLA.</t>
  </si>
  <si>
    <t>0602990877</t>
  </si>
  <si>
    <t>HUMBERTO</t>
  </si>
  <si>
    <t>MIRANDA SALAZAR</t>
  </si>
  <si>
    <t>88006890</t>
  </si>
  <si>
    <t>000918</t>
  </si>
  <si>
    <t>FRENTE AL SALON COMUNAL, CASA COLOR ROSADA.</t>
  </si>
  <si>
    <t>0602700417</t>
  </si>
  <si>
    <t>88600864</t>
  </si>
  <si>
    <t>0501130210</t>
  </si>
  <si>
    <t>JOVITA</t>
  </si>
  <si>
    <t>SALAZAR PICADO</t>
  </si>
  <si>
    <t>000919</t>
  </si>
  <si>
    <t>FRENTA A LA PLAZA DE FUTBOL, CASA DE ZOCALO COLOR VERDE AGUA CON ROSADO.</t>
  </si>
  <si>
    <t>0502900375</t>
  </si>
  <si>
    <t>ANGEL FRANCISCO</t>
  </si>
  <si>
    <t>MESA PANIAGUA</t>
  </si>
  <si>
    <t>85324589</t>
  </si>
  <si>
    <t>000920</t>
  </si>
  <si>
    <t>FRENTE A LA PLAZA DE FUTBOL, CASA COLOR AMARILLA.</t>
  </si>
  <si>
    <t>0501480152</t>
  </si>
  <si>
    <t>LOPEZ CARRANZA</t>
  </si>
  <si>
    <t>000921</t>
  </si>
  <si>
    <t>FRENTE A LA PLAZA DE FUTBOL, CASA COLOR CELESTE.</t>
  </si>
  <si>
    <t>0502590730</t>
  </si>
  <si>
    <t>ARGUEDAS RUIZ</t>
  </si>
  <si>
    <t>05025907</t>
  </si>
  <si>
    <t>0503690464</t>
  </si>
  <si>
    <t>KENETH ALONSO</t>
  </si>
  <si>
    <t>MONTANO RUIZ</t>
  </si>
  <si>
    <t>000922</t>
  </si>
  <si>
    <t>DE LA ESCUELA 500M SUROESTE AL MARGEN DERECHO, ULTIMA CASA DE MADERA SIN PINTAR.</t>
  </si>
  <si>
    <t>0501980229</t>
  </si>
  <si>
    <t>JOSE ISAIAS</t>
  </si>
  <si>
    <t>83161814</t>
  </si>
  <si>
    <t>000923</t>
  </si>
  <si>
    <t>DE LA ESCUELA 500M SUROESTE AL MARGEN DERECHO, ULTIMA CASA COLOR VERDE AGUA.</t>
  </si>
  <si>
    <t>0502200136</t>
  </si>
  <si>
    <t>89118172</t>
  </si>
  <si>
    <t>0503750425</t>
  </si>
  <si>
    <t>LUIS ANGEL</t>
  </si>
  <si>
    <t>000924</t>
  </si>
  <si>
    <t>FRENTE A LA ESCUELA, ULTIMA CASA DE MADERA SIN PINTAR A ORILLA DEL RIO CAÑAS.</t>
  </si>
  <si>
    <t>155810686224</t>
  </si>
  <si>
    <t>LUIS MARGARITO</t>
  </si>
  <si>
    <t>ROCHA PEÑA</t>
  </si>
  <si>
    <t>60009003</t>
  </si>
  <si>
    <t>000925</t>
  </si>
  <si>
    <t xml:space="preserve">DEL MINISUPER MYR 50M OESTE AL MARGEN IZQUIERDO, ULTIMA CASA A LA ORILLA DEL RIO CAÑAS. </t>
  </si>
  <si>
    <t>0502380660</t>
  </si>
  <si>
    <t>HEIDY</t>
  </si>
  <si>
    <t>BOJORGE RAMIREZ</t>
  </si>
  <si>
    <t>88453418</t>
  </si>
  <si>
    <t>000926</t>
  </si>
  <si>
    <t>CONTIGUO AL MINISUPER MYR, CASA COLOR VERDE AGUA.</t>
  </si>
  <si>
    <t>0602980820</t>
  </si>
  <si>
    <t>MAURICIO</t>
  </si>
  <si>
    <t>ALVARADO RUIZ</t>
  </si>
  <si>
    <t>60020072</t>
  </si>
  <si>
    <t>000927</t>
  </si>
  <si>
    <t>FRENTE AL SALON COMUNAL CASA COLOR CELESTE.</t>
  </si>
  <si>
    <t>0116740028</t>
  </si>
  <si>
    <t>SANDRO</t>
  </si>
  <si>
    <t>CARMONA LARA</t>
  </si>
  <si>
    <t>61909634</t>
  </si>
  <si>
    <t>000928</t>
  </si>
  <si>
    <t>DE LA ESCUELA 500M AL NORTE AL MARGEN DERECHO, CASA COLOR VERDE AGUA.</t>
  </si>
  <si>
    <t>0501730576</t>
  </si>
  <si>
    <t>ANA ISABEL</t>
  </si>
  <si>
    <t>BERMUDEZ ALVAREZ</t>
  </si>
  <si>
    <t>86910117</t>
  </si>
  <si>
    <t>0500630335</t>
  </si>
  <si>
    <t>TEODORO</t>
  </si>
  <si>
    <t>RODRIGUEZ GUTIERREZ</t>
  </si>
  <si>
    <t>0500610481</t>
  </si>
  <si>
    <t>LUISA</t>
  </si>
  <si>
    <t>000929</t>
  </si>
  <si>
    <t>DE LA ESCUELA 400M NORTE AL MARGEN DERECHO, CASA COLOR TERRACOTA.</t>
  </si>
  <si>
    <t>0503280475</t>
  </si>
  <si>
    <t>GUIDO</t>
  </si>
  <si>
    <t>BERMUDEZ MORALES</t>
  </si>
  <si>
    <t>64683739</t>
  </si>
  <si>
    <t>000930</t>
  </si>
  <si>
    <t>DE LA ESCUELA 400M NORTE AL MARGEN DERECHO, CASA COLOR AMARILLA.</t>
  </si>
  <si>
    <t>0501120008</t>
  </si>
  <si>
    <t>MARIA EMILIA</t>
  </si>
  <si>
    <t>DIAZ CASTRO</t>
  </si>
  <si>
    <t>83435577</t>
  </si>
  <si>
    <t>000931</t>
  </si>
  <si>
    <t>DE LA ESCUELA 400M NORTE AL MARGEN DERECHO, CASA COLOR VERDE AGUA.</t>
  </si>
  <si>
    <t>0502910782</t>
  </si>
  <si>
    <t>JOSE FELIX</t>
  </si>
  <si>
    <t>LARA LOBO</t>
  </si>
  <si>
    <t>84237863</t>
  </si>
  <si>
    <t>000932</t>
  </si>
  <si>
    <t>DE LA ESCUELA 400M NORTE AL MARGEN DERECHO, CASA COLOR CELESTE.</t>
  </si>
  <si>
    <t>0502740847</t>
  </si>
  <si>
    <t>MARIA YORLENY</t>
  </si>
  <si>
    <t>60282856</t>
  </si>
  <si>
    <t>0503750810</t>
  </si>
  <si>
    <t>VICTOR DARIO</t>
  </si>
  <si>
    <t>RECIO LOPEZ</t>
  </si>
  <si>
    <t>0115430819</t>
  </si>
  <si>
    <t>GABRIELA</t>
  </si>
  <si>
    <t>RODRIGUEZ BOLIVAR</t>
  </si>
  <si>
    <t>000933</t>
  </si>
  <si>
    <t>DE LA ESCUELA 350M NORTE AL MARGEN DERECHO, CASA COLOR GRIS.</t>
  </si>
  <si>
    <t>0502960179</t>
  </si>
  <si>
    <t>ELIECER</t>
  </si>
  <si>
    <t>86631497</t>
  </si>
  <si>
    <t>000934</t>
  </si>
  <si>
    <t>DE LA ESCUELA 300M NORTE AL MARGEN DERECHO, CASA COLOR AMARILLA.</t>
  </si>
  <si>
    <t>0105400358</t>
  </si>
  <si>
    <t>NURY</t>
  </si>
  <si>
    <t>HERNANDEZ PORRAS</t>
  </si>
  <si>
    <t>88002772</t>
  </si>
  <si>
    <t>000935</t>
  </si>
  <si>
    <t>DE LA ESCUELA 300M NORTE AL MARGEN DERECHO, CASA COLOR AMARILLA CON VERDE AGUA.</t>
  </si>
  <si>
    <t>0502820290</t>
  </si>
  <si>
    <t>BARRANTES HIDALGO</t>
  </si>
  <si>
    <t>84861615</t>
  </si>
  <si>
    <t>000936</t>
  </si>
  <si>
    <t>DE LA ESCUELA 300M NORTE AL MARGEN DERECHO, CASA DE ZINC SIN PINTAR.</t>
  </si>
  <si>
    <t>0502750546</t>
  </si>
  <si>
    <t>NIXON</t>
  </si>
  <si>
    <t>LOPEZ GARCIA</t>
  </si>
  <si>
    <t>63568483</t>
  </si>
  <si>
    <t>000937</t>
  </si>
  <si>
    <t>DE LA ESCUELA 300M NORTE AL MARGEN DERECHO, CASA COLOR CELESTE.</t>
  </si>
  <si>
    <t>0501720431</t>
  </si>
  <si>
    <t>ANGEL</t>
  </si>
  <si>
    <t>CHEVEZ CHEVEZ</t>
  </si>
  <si>
    <t>86546942</t>
  </si>
  <si>
    <t>000938</t>
  </si>
  <si>
    <t>DE LA ESCUELA 250M A NORTE AL MARGEN DERECHO, CASA COLOR CREMA.</t>
  </si>
  <si>
    <t>0503780812</t>
  </si>
  <si>
    <t>DUARTE LOPEZ</t>
  </si>
  <si>
    <t>63561295</t>
  </si>
  <si>
    <t>000939</t>
  </si>
  <si>
    <t>DE LA ESCUELA 100M NORTE AL MARGEN DERECHO. CASA COLOR FUCCIA.</t>
  </si>
  <si>
    <t>0502260878</t>
  </si>
  <si>
    <t>ALVARO</t>
  </si>
  <si>
    <t>VILLALOBOS ALVAREZ</t>
  </si>
  <si>
    <t>85047609</t>
  </si>
  <si>
    <t>000940</t>
  </si>
  <si>
    <t>DE LA ESCUELA 100M NORTE AL MARGEN DERECHO, CASA COLOR ROSADA.</t>
  </si>
  <si>
    <t>0501830431</t>
  </si>
  <si>
    <t>SARA</t>
  </si>
  <si>
    <t>RUIZ AGUIRRE</t>
  </si>
  <si>
    <t>85279339</t>
  </si>
  <si>
    <t>0503080813</t>
  </si>
  <si>
    <t>ENOC</t>
  </si>
  <si>
    <t>DELGADO LOPEZ</t>
  </si>
  <si>
    <t>000941</t>
  </si>
  <si>
    <t>DE LA ESCUELA 100M NORTE AL MARGEN DERECHO.</t>
  </si>
  <si>
    <t>0503490055</t>
  </si>
  <si>
    <t>EIBER GERARDO</t>
  </si>
  <si>
    <t>64209127</t>
  </si>
  <si>
    <t>000942</t>
  </si>
  <si>
    <t>DE LA ESCUELA 100M NORTE AL MARGEN DERECHO. CASA COLOR BLANCA.</t>
  </si>
  <si>
    <t>0503920780</t>
  </si>
  <si>
    <t>YERLING</t>
  </si>
  <si>
    <t>BERMUDEZ LARA</t>
  </si>
  <si>
    <t>71448958</t>
  </si>
  <si>
    <t>000943</t>
  </si>
  <si>
    <t>DE LA ESCUELA 75M NORTE AL MARGEN DERECHO, CASA COLOR VERDE AGUA.</t>
  </si>
  <si>
    <t>0204520486</t>
  </si>
  <si>
    <t>LORIA CALDERON</t>
  </si>
  <si>
    <t>85376373</t>
  </si>
  <si>
    <t>0504140903</t>
  </si>
  <si>
    <t>LIGIA</t>
  </si>
  <si>
    <t>LORIA DIAZ</t>
  </si>
  <si>
    <t>000944</t>
  </si>
  <si>
    <t>0501490512</t>
  </si>
  <si>
    <t>ANTONIO</t>
  </si>
  <si>
    <t>MONTANO ESPINOZA</t>
  </si>
  <si>
    <t>87979888</t>
  </si>
  <si>
    <t>000945</t>
  </si>
  <si>
    <t>0501850609</t>
  </si>
  <si>
    <t>HUGO</t>
  </si>
  <si>
    <t>83199706</t>
  </si>
  <si>
    <t>0504050130</t>
  </si>
  <si>
    <t xml:space="preserve">YOSELYN </t>
  </si>
  <si>
    <t>000946</t>
  </si>
  <si>
    <t>DE LA ESCUELA 75M NORTE AL MARGEN DERECHO. CASA DE MADERA SIN PINTAR.</t>
  </si>
  <si>
    <t>0501870007</t>
  </si>
  <si>
    <t>JORGE NORBERTO</t>
  </si>
  <si>
    <t>83889434</t>
  </si>
  <si>
    <t>000947</t>
  </si>
  <si>
    <t>DE LA ESCUELA 75M NORTE AL MARGEN DERECHO. CASA COLOR VERDE AGUA.</t>
  </si>
  <si>
    <t>0501330641</t>
  </si>
  <si>
    <t>LUIS AGUSTIN</t>
  </si>
  <si>
    <t>86803688</t>
  </si>
  <si>
    <t>000948</t>
  </si>
  <si>
    <t>0503560714</t>
  </si>
  <si>
    <t>SHARON</t>
  </si>
  <si>
    <t>VARELA GARCIA</t>
  </si>
  <si>
    <t>85728133</t>
  </si>
  <si>
    <t>0501610606</t>
  </si>
  <si>
    <t>VARELA MORALES</t>
  </si>
  <si>
    <t>000949</t>
  </si>
  <si>
    <t>CONTIGUO AL GIMNASIO DE LA ESCUELA, CASA SOBRE BASAS DE CONCRETO.</t>
  </si>
  <si>
    <t>0205670372</t>
  </si>
  <si>
    <t>RONNY FERNANDO</t>
  </si>
  <si>
    <t>AVILA SOLIS</t>
  </si>
  <si>
    <t>85351094</t>
  </si>
  <si>
    <t>000950</t>
  </si>
  <si>
    <t>DEL SALON COMUNAL 400M OESTE Y 150M AL SUR AL MARGEN IZQUIERDO ENTRANDO POR FINCA, CASA COLOR CAFE.</t>
  </si>
  <si>
    <t>0201630049</t>
  </si>
  <si>
    <t>RICARDO</t>
  </si>
  <si>
    <t>ARCE LIZANO</t>
  </si>
  <si>
    <t>000951</t>
  </si>
  <si>
    <t>DEL SALON COMUNAL 400M OESTE Y 150M SUR AL MARGEN DERECHO ENTRANDO POR CALLE A FINCA, ULTIMA CASA DE MADERA SIN PINTAR.</t>
  </si>
  <si>
    <t>0106170667</t>
  </si>
  <si>
    <t>ARCE MUÑOZ</t>
  </si>
  <si>
    <t>89927550</t>
  </si>
  <si>
    <t>000952</t>
  </si>
  <si>
    <t>DEL SALON COMUNAL 100M OESTE AL MARGEN IZQUIERDO, CASA DE FIBROLIT SIN PINTAR.</t>
  </si>
  <si>
    <t>0503600544</t>
  </si>
  <si>
    <t>MARIA LISBETH</t>
  </si>
  <si>
    <t>PICADO RUIZ</t>
  </si>
  <si>
    <t>71324169</t>
  </si>
  <si>
    <t>000953</t>
  </si>
  <si>
    <t>CONTIGUO A LA PLAZA DE FUTBOL. CASA COLOR CELESTE.</t>
  </si>
  <si>
    <t>0503690460</t>
  </si>
  <si>
    <t>GUMER ALBERTO</t>
  </si>
  <si>
    <t>85652677</t>
  </si>
  <si>
    <t>000954</t>
  </si>
  <si>
    <t>CONTIGUO A LA PLAZA DE FUTBOL. CASA DE MADERA SIN PINTAR.</t>
  </si>
  <si>
    <t>0501890178</t>
  </si>
  <si>
    <t>VALERIANO</t>
  </si>
  <si>
    <t>PICADO PICADO</t>
  </si>
  <si>
    <t>000955</t>
  </si>
  <si>
    <t>DEL ANTIGUO BAR LAS AGUILAS 500M NORTE AL MARGEN IZQUIERDO. CASA DE FIBROLIT SIN PINTAR.</t>
  </si>
  <si>
    <t>0503780725</t>
  </si>
  <si>
    <t>HEYNER VALERIANO</t>
  </si>
  <si>
    <t>84018223</t>
  </si>
  <si>
    <t>000956</t>
  </si>
  <si>
    <t>DE LA ESCUELA 25M AL SUR AL MARGEN IZQUIERDO, CASA DE MADERA COLOR CELESTE.</t>
  </si>
  <si>
    <t>0601550661</t>
  </si>
  <si>
    <t>RODRIGUEZ CORONADO</t>
  </si>
  <si>
    <t>84248572</t>
  </si>
  <si>
    <t>0503530245</t>
  </si>
  <si>
    <t>TATIANA</t>
  </si>
  <si>
    <t>RODRIGUEZ BOLIBAR</t>
  </si>
  <si>
    <t>000957</t>
  </si>
  <si>
    <t xml:space="preserve">COSTADO SUROESTE DE LA ESCUELA, CASA COLOR ROSADA SOBRE BASAS. </t>
  </si>
  <si>
    <t>0500750958</t>
  </si>
  <si>
    <t>PETRONILA</t>
  </si>
  <si>
    <t>64300567</t>
  </si>
  <si>
    <t>000958</t>
  </si>
  <si>
    <t>DIAGONAL A LA ESCUELA COSTADO SUROESTE, CASA DE BLOCK COLOR VERDE CLARO.</t>
  </si>
  <si>
    <t>0502560365</t>
  </si>
  <si>
    <t>DONALD</t>
  </si>
  <si>
    <t>RESIO RODRIGUEZ</t>
  </si>
  <si>
    <t>83904791</t>
  </si>
  <si>
    <t>000959</t>
  </si>
  <si>
    <t>FINCA LA GUAYABA DEL CAMPO DE ATERREZAJE 1.5KM AL ESTE Al MARGEN IZQUIERDO. CASA DE MADERA SIN PINTAR.</t>
  </si>
  <si>
    <t>0501980120</t>
  </si>
  <si>
    <t>DOUGLAAS</t>
  </si>
  <si>
    <t>BERMUDEZ LOPEZ</t>
  </si>
  <si>
    <t>85493093</t>
  </si>
  <si>
    <t>000960</t>
  </si>
  <si>
    <t>CONTIGUO A LA ENTRADA DE LA FINCA CASA BLANCA AL MARGEN IZQUIERDO. CAMINO A BEBEDERO CASA COLOR AZUL CON BLANCO.</t>
  </si>
  <si>
    <t>0502940603</t>
  </si>
  <si>
    <t>86484446</t>
  </si>
  <si>
    <t>000961</t>
  </si>
  <si>
    <t>DE LA ESCUELA 500M SUR Y 200M OESTE AL MARGEN DERECHO CAMINO A BEBEDERO. CASA SOBRE BASAS DE CONCRETO COLOR AMARILLA.</t>
  </si>
  <si>
    <t>0500610638</t>
  </si>
  <si>
    <t>87693857</t>
  </si>
  <si>
    <t>000962</t>
  </si>
  <si>
    <t>DE LA ESCUELA 600M AL SUR AL MARGEN IZQUIERDO CAMINO A BEBEDERO, CASA DE ZOCALO COLOR AMARILLO.</t>
  </si>
  <si>
    <t>0600750488</t>
  </si>
  <si>
    <t>LUZ MARINA</t>
  </si>
  <si>
    <t>RODRIGUEZ LEZAMA</t>
  </si>
  <si>
    <t>83451381</t>
  </si>
  <si>
    <t>000963</t>
  </si>
  <si>
    <t xml:space="preserve">DE LA ESCUELA 500M AL SUR Y 50M OESTE AL MARGEN IZQUIERDO, CASA DE ZOCALO SIN PINTAR. </t>
  </si>
  <si>
    <t>0500300591</t>
  </si>
  <si>
    <t>HONEIDA</t>
  </si>
  <si>
    <t>CORDONA BALTODANO</t>
  </si>
  <si>
    <t>84294391</t>
  </si>
  <si>
    <t>001549</t>
  </si>
  <si>
    <t>BAJO CONGO</t>
  </si>
  <si>
    <t xml:space="preserve">CAMINO AL VERGEL, DE LA CIUDADELA DEL INVU 3 KM AL NORTE, AL MARGEN DERECHO </t>
  </si>
  <si>
    <t>0504010882</t>
  </si>
  <si>
    <t>KAREN TATIANA</t>
  </si>
  <si>
    <t>ESPINOZA LORIA</t>
  </si>
  <si>
    <t>001795</t>
  </si>
  <si>
    <t>SAN CRISTOBAL</t>
  </si>
  <si>
    <t>DE LA PULPERIA CHINO PABLO 200 METROS ESTE</t>
  </si>
  <si>
    <t>0603500641</t>
  </si>
  <si>
    <t>CERDAS BRENES</t>
  </si>
  <si>
    <t>88291746</t>
  </si>
  <si>
    <t>001796</t>
  </si>
  <si>
    <t>SAN CRISTOBAL SUR</t>
  </si>
  <si>
    <t>250 METROS SUR ESCUELA SAN CRISTOBAL</t>
  </si>
  <si>
    <t>0502250638</t>
  </si>
  <si>
    <t>JORGE DANILO</t>
  </si>
  <si>
    <t>CALVO MARCHENA</t>
  </si>
  <si>
    <t>64836086</t>
  </si>
  <si>
    <t>001797</t>
  </si>
  <si>
    <t>250 METRO SUR ESCUELA SAN CRISTOBAL</t>
  </si>
  <si>
    <t>0501461378</t>
  </si>
  <si>
    <t xml:space="preserve">CARMEN </t>
  </si>
  <si>
    <t>001798</t>
  </si>
  <si>
    <t>150 M SURESTE FINCA ELIS BARAHONA</t>
  </si>
  <si>
    <t>0501610645</t>
  </si>
  <si>
    <t>MELBA</t>
  </si>
  <si>
    <t>89122310</t>
  </si>
  <si>
    <t>001799</t>
  </si>
  <si>
    <t>VERGEL</t>
  </si>
  <si>
    <t>50 ESTE DE LA ESCUELA DE VERGEL</t>
  </si>
  <si>
    <t>0010709730541P</t>
  </si>
  <si>
    <t>SOVEYDA LORENA</t>
  </si>
  <si>
    <t>SOTO GOMES</t>
  </si>
  <si>
    <t>83311816</t>
  </si>
  <si>
    <t>001800</t>
  </si>
  <si>
    <t>FRENTE A LA ESCUELA DE VERGEL</t>
  </si>
  <si>
    <t>0502060786</t>
  </si>
  <si>
    <t>CARLOS EDUARDO</t>
  </si>
  <si>
    <t>ALVAREZ LOPEZ</t>
  </si>
  <si>
    <t>89878807</t>
  </si>
  <si>
    <t>001801</t>
  </si>
  <si>
    <t>DE LA PULPERIA LA ESPERANZA 100 METROS AL OESTE</t>
  </si>
  <si>
    <t>0503370804</t>
  </si>
  <si>
    <t>PEDRO PABLO</t>
  </si>
  <si>
    <t>ESPINOZA JIMENEZ</t>
  </si>
  <si>
    <t>85758211</t>
  </si>
  <si>
    <t>001802</t>
  </si>
  <si>
    <t>2 KM AL NORTE DEL INVENIO</t>
  </si>
  <si>
    <t>0502360162</t>
  </si>
  <si>
    <t>CALVO BARRANTES</t>
  </si>
  <si>
    <t>86347613</t>
  </si>
  <si>
    <t>001803</t>
  </si>
  <si>
    <t>MONTEES DE ORO</t>
  </si>
  <si>
    <t>2KM AL NORTE DE INVENIO</t>
  </si>
  <si>
    <t>0502570783</t>
  </si>
  <si>
    <t>CALVO BARRANTE</t>
  </si>
  <si>
    <t>26951221</t>
  </si>
  <si>
    <t>001804</t>
  </si>
  <si>
    <t>FRENTE ENTRAA PRINCIPAL PLANTEL DEL MOPT</t>
  </si>
  <si>
    <t>0800780193</t>
  </si>
  <si>
    <t>PALACIOS VILLARREAL</t>
  </si>
  <si>
    <t>001805</t>
  </si>
  <si>
    <t>FRENTE AL PLANTEL DEL MOPT</t>
  </si>
  <si>
    <t>0502770414</t>
  </si>
  <si>
    <t>BRIGITTE</t>
  </si>
  <si>
    <t>SIBAJA SOTO</t>
  </si>
  <si>
    <t>86117006</t>
  </si>
  <si>
    <t>001806</t>
  </si>
  <si>
    <t>DIAGONAL A LA ENTRADA DEL MOPT</t>
  </si>
  <si>
    <t>0107210675</t>
  </si>
  <si>
    <t>RAMIREZ VASQUES</t>
  </si>
  <si>
    <t>61040329</t>
  </si>
  <si>
    <t>001807</t>
  </si>
  <si>
    <t xml:space="preserve">50 MTS DEL PLANTEL DEL MOPR </t>
  </si>
  <si>
    <t>0502960038</t>
  </si>
  <si>
    <t>CHAVARRIA ORTIZ</t>
  </si>
  <si>
    <t>001808</t>
  </si>
  <si>
    <t>0502180133</t>
  </si>
  <si>
    <t>ISABEL</t>
  </si>
  <si>
    <t>001809</t>
  </si>
  <si>
    <t xml:space="preserve">casa 15 a </t>
  </si>
  <si>
    <t>0502260419</t>
  </si>
  <si>
    <t>MARITZ</t>
  </si>
  <si>
    <t>MORENO OCONITRILLO</t>
  </si>
  <si>
    <t>71384412</t>
  </si>
  <si>
    <t>001810</t>
  </si>
  <si>
    <t>150 MTS SUR OESTE PULPERIA CHINO P</t>
  </si>
  <si>
    <t>0503140654</t>
  </si>
  <si>
    <t>KARLA</t>
  </si>
  <si>
    <t>VEJARANO ULLOA</t>
  </si>
  <si>
    <t>83508289</t>
  </si>
  <si>
    <t>001811</t>
  </si>
  <si>
    <t>SAN CRISTOBAL NORTE</t>
  </si>
  <si>
    <t xml:space="preserve">75 MTS SUR PULPERIA CHINO PABLO </t>
  </si>
  <si>
    <t>0503970077</t>
  </si>
  <si>
    <t>ARETH</t>
  </si>
  <si>
    <t>ARGUEDAS LOPEZ</t>
  </si>
  <si>
    <t>47030330</t>
  </si>
  <si>
    <t>001812</t>
  </si>
  <si>
    <t>SAS CRISTOBAL SUR</t>
  </si>
  <si>
    <t>DE LA PULPERIA CHINO PABLO CASA A 16</t>
  </si>
  <si>
    <t>0502820974</t>
  </si>
  <si>
    <t>LIDIETH</t>
  </si>
  <si>
    <t>CEPEDA CAMPOS</t>
  </si>
  <si>
    <t>001813</t>
  </si>
  <si>
    <t>150 MTS SUR DE LA PULPERIA CHINO</t>
  </si>
  <si>
    <t>0502560360</t>
  </si>
  <si>
    <t>SANDRA</t>
  </si>
  <si>
    <t>83678617</t>
  </si>
  <si>
    <t>001814</t>
  </si>
  <si>
    <t>POR LA PULPERIA CHINO</t>
  </si>
  <si>
    <t>0502360332</t>
  </si>
  <si>
    <t>SIBAJA BARAHONA</t>
  </si>
  <si>
    <t>87257080</t>
  </si>
  <si>
    <t>001815</t>
  </si>
  <si>
    <t xml:space="preserve">SAN CRISTOBAL </t>
  </si>
  <si>
    <t>DE LA ESCUERLA SAN CRISTOBAL HACIA EL ESTE</t>
  </si>
  <si>
    <t>0503460117</t>
  </si>
  <si>
    <t xml:space="preserve">MARIELLA </t>
  </si>
  <si>
    <t>89970096</t>
  </si>
  <si>
    <t>001816</t>
  </si>
  <si>
    <t>50 MTS ESTE DE LA PULPERIA SAN ANDRES</t>
  </si>
  <si>
    <t>0503300553</t>
  </si>
  <si>
    <t xml:space="preserve">DENIS </t>
  </si>
  <si>
    <t>PICADO VILLARREAL</t>
  </si>
  <si>
    <t>84663735</t>
  </si>
  <si>
    <t>001817</t>
  </si>
  <si>
    <t>AL SUR DE LA PULPERIA CHINO PABLO</t>
  </si>
  <si>
    <t>0502790417</t>
  </si>
  <si>
    <t>IRIS</t>
  </si>
  <si>
    <t>88626990</t>
  </si>
  <si>
    <t>001818</t>
  </si>
  <si>
    <t xml:space="preserve">2OO MTS OESTE DE LA PULPERIA CHINO PABLO </t>
  </si>
  <si>
    <t>15580042819</t>
  </si>
  <si>
    <t xml:space="preserve">MARIA ISABEL </t>
  </si>
  <si>
    <t>SEVILLA BUSTOS</t>
  </si>
  <si>
    <t>64279924</t>
  </si>
  <si>
    <t>001822</t>
  </si>
  <si>
    <t>VILLA ESPERANZA</t>
  </si>
  <si>
    <t>DE LA BOMBA SAN CARLOS 800 M SUR OESTE</t>
  </si>
  <si>
    <t>0205070831</t>
  </si>
  <si>
    <t>ROBERTO</t>
  </si>
  <si>
    <t>BRICEÑO ARAYA</t>
  </si>
  <si>
    <t>61168129</t>
  </si>
  <si>
    <t>001823</t>
  </si>
  <si>
    <t xml:space="preserve">DE LA ENTRADA DEL INVENIO 3 K  AL NORTE </t>
  </si>
  <si>
    <t>0504210971</t>
  </si>
  <si>
    <t>KATERINE</t>
  </si>
  <si>
    <t>QUINTERO PANIAGUA</t>
  </si>
  <si>
    <t>84134803</t>
  </si>
  <si>
    <t>001824</t>
  </si>
  <si>
    <t>DEL PPANTEL DEL MOPT 50 MTS OESTE</t>
  </si>
  <si>
    <t>0500780636</t>
  </si>
  <si>
    <t>BERTA</t>
  </si>
  <si>
    <t>85411862</t>
  </si>
  <si>
    <t>001825</t>
  </si>
  <si>
    <t>DE LA ENTRADA AL INVENIO 2.5 KM AL NORTE FRENTE AL PUENTE DE HAMACA</t>
  </si>
  <si>
    <t>090050158</t>
  </si>
  <si>
    <t xml:space="preserve">SANDRS </t>
  </si>
  <si>
    <t>BARAHONA RIVAS</t>
  </si>
  <si>
    <t>26951205</t>
  </si>
  <si>
    <t>001826</t>
  </si>
  <si>
    <t>DEL PLANTEL DEL MOPT 75 M OESTE</t>
  </si>
  <si>
    <t>0503090036</t>
  </si>
  <si>
    <t xml:space="preserve">JENNY </t>
  </si>
  <si>
    <t>RODRIGUEZ ALVARADO</t>
  </si>
  <si>
    <t>72588983</t>
  </si>
  <si>
    <t>001827</t>
  </si>
  <si>
    <t>DE LA ENTRADA AL INVENIO 3 KM AL NORTE</t>
  </si>
  <si>
    <t>0503840718</t>
  </si>
  <si>
    <t>lillianeth</t>
  </si>
  <si>
    <t>barahona Calvo</t>
  </si>
  <si>
    <t>83909358</t>
  </si>
  <si>
    <t>1828</t>
  </si>
  <si>
    <t>Casa color verde agua, del plantel del MOPT 75 m oeste</t>
  </si>
  <si>
    <t>0500950407</t>
  </si>
  <si>
    <t>Dorila</t>
  </si>
  <si>
    <t>Carranza Ortega</t>
  </si>
  <si>
    <t>86435745</t>
  </si>
  <si>
    <t>1829</t>
  </si>
  <si>
    <t>De la entrada al INVENIO 2,5 km al norte</t>
  </si>
  <si>
    <t>0502700905</t>
  </si>
  <si>
    <t>Jarquín Barahona</t>
  </si>
  <si>
    <t>86102333</t>
  </si>
  <si>
    <t>1830</t>
  </si>
  <si>
    <t>De la pulpería Villa Esperanza 100 m este y 50 al Sur, contiguo al río Cañas</t>
  </si>
  <si>
    <t>0503610274</t>
  </si>
  <si>
    <t>Espinoza Jiménez</t>
  </si>
  <si>
    <t>84699322</t>
  </si>
  <si>
    <t>1831</t>
  </si>
  <si>
    <t>De la entrada al INVENIO 2,5 km al norte frente al puente de hamaca</t>
  </si>
  <si>
    <t>0503740773</t>
  </si>
  <si>
    <t>Lidier</t>
  </si>
  <si>
    <t>Barahona Calvo</t>
  </si>
  <si>
    <t>26981205</t>
  </si>
  <si>
    <t>1832</t>
  </si>
  <si>
    <t>Del plantel del MOPT 75 m oeste casa de Fibrolit sin pintar</t>
  </si>
  <si>
    <t>0603310669</t>
  </si>
  <si>
    <t>Nieto Soto</t>
  </si>
  <si>
    <t>71919303</t>
  </si>
  <si>
    <t>1833</t>
  </si>
  <si>
    <t>Bajo Congo</t>
  </si>
  <si>
    <t>Camino al Vergel, de la ciudadela del INVU 3km al norte, al margen derecho</t>
  </si>
  <si>
    <t>0503530632</t>
  </si>
  <si>
    <t>Diego Alberto</t>
  </si>
  <si>
    <t>Loría Calvo</t>
  </si>
  <si>
    <t>89737279</t>
  </si>
  <si>
    <t>1834</t>
  </si>
  <si>
    <t>San Cristobal Sur</t>
  </si>
  <si>
    <t>De la pulpería Paula 100 m sur, contiguo al puente</t>
  </si>
  <si>
    <t>0501820879</t>
  </si>
  <si>
    <t>Luis Angel</t>
  </si>
  <si>
    <t>Brenes Barahona</t>
  </si>
  <si>
    <t>86676561</t>
  </si>
  <si>
    <t>1835</t>
  </si>
  <si>
    <t>Camino al Vergel, de la ciudadela del INVU 3 km al norte al margen derecho</t>
  </si>
  <si>
    <t>0503910375</t>
  </si>
  <si>
    <t>Eithel Antonio</t>
  </si>
  <si>
    <t>85114297</t>
  </si>
  <si>
    <t>1836</t>
  </si>
  <si>
    <t>De la Pulpería Paula 175 m al sur, última casa color roja contiguo al Río.</t>
  </si>
  <si>
    <t>0202420033</t>
  </si>
  <si>
    <t>Eduviges</t>
  </si>
  <si>
    <t>Montoya Pérez</t>
  </si>
  <si>
    <t>1837</t>
  </si>
  <si>
    <t>0503460164</t>
  </si>
  <si>
    <t>Mario Alberto</t>
  </si>
  <si>
    <t>1838</t>
  </si>
  <si>
    <t>De la Pulpería Paula 75 m al sur, última casa contiguo al Río.</t>
  </si>
  <si>
    <t>0502210663</t>
  </si>
  <si>
    <t>Martha Eugenia</t>
  </si>
  <si>
    <t>Villareal Bermúdez</t>
  </si>
  <si>
    <t>84490045</t>
  </si>
  <si>
    <t>1839</t>
  </si>
  <si>
    <t>De la Pulpería Paulo 100 m sur</t>
  </si>
  <si>
    <t>0503420157</t>
  </si>
  <si>
    <t>Digna María</t>
  </si>
  <si>
    <t>Guido Brenes</t>
  </si>
  <si>
    <t>62068610</t>
  </si>
  <si>
    <t>1840</t>
  </si>
  <si>
    <t>Camino al Vergel, de la ciudadela del INVU 3 km al norte, al margen derecho</t>
  </si>
  <si>
    <t>0502760690</t>
  </si>
  <si>
    <t>Noemy</t>
  </si>
  <si>
    <t>1841</t>
  </si>
  <si>
    <t>De la pulpería Paulo 100 m sur</t>
  </si>
  <si>
    <t>0502150043</t>
  </si>
  <si>
    <t>Epifanía</t>
  </si>
  <si>
    <t>Brenes Espinoza</t>
  </si>
  <si>
    <t>61882821</t>
  </si>
  <si>
    <t>1842</t>
  </si>
  <si>
    <t>Nosara Centro</t>
  </si>
  <si>
    <t>De la plaza de futbol 200 m este al margen izquierdo</t>
  </si>
  <si>
    <t>0502190558</t>
  </si>
  <si>
    <t>Brigido</t>
  </si>
  <si>
    <t>Carriollo Carrillo</t>
  </si>
  <si>
    <t>87273660</t>
  </si>
  <si>
    <t>1843</t>
  </si>
  <si>
    <t>Camino al Vergel, de la ciudadela del INVU 3 km al norte , al margen derecho</t>
  </si>
  <si>
    <t>0503770169</t>
  </si>
  <si>
    <t>Marco Vinicio</t>
  </si>
  <si>
    <t>Ruiz loría</t>
  </si>
  <si>
    <t>1844</t>
  </si>
  <si>
    <t>San cristobal Sur</t>
  </si>
  <si>
    <t>De la pulpería Paulo 100 m sur al final de la calle, contiguo al Río</t>
  </si>
  <si>
    <t>0503240337</t>
  </si>
  <si>
    <t>Nelson</t>
  </si>
  <si>
    <t>84991020</t>
  </si>
  <si>
    <t>1845</t>
  </si>
  <si>
    <t>Camino al Vergel, de la ciudadela del INVU 3 km norte, al margen derecho</t>
  </si>
  <si>
    <t>0504130445</t>
  </si>
  <si>
    <t>Wander Esteban</t>
  </si>
  <si>
    <t>Espinoza Loría</t>
  </si>
  <si>
    <t>83875817</t>
  </si>
  <si>
    <t>1846</t>
  </si>
  <si>
    <t>De la pulpería Paulo 50 m sur al margen izquierdo casa color verde claro</t>
  </si>
  <si>
    <t>0503440648</t>
  </si>
  <si>
    <t>Jairo</t>
  </si>
  <si>
    <t>Nuñez Arce</t>
  </si>
  <si>
    <t>87406635</t>
  </si>
  <si>
    <t>1847</t>
  </si>
  <si>
    <t>De la pulpería Paulo 400 m sur contiguo al río Cañas</t>
  </si>
  <si>
    <t>0503510320</t>
  </si>
  <si>
    <t>Jenifer</t>
  </si>
  <si>
    <t>Picado Jiménez</t>
  </si>
  <si>
    <t>86306267</t>
  </si>
  <si>
    <t>1849</t>
  </si>
  <si>
    <t>200 m sur de la Pulpería Paulo</t>
  </si>
  <si>
    <t>0501230833</t>
  </si>
  <si>
    <t>Santos</t>
  </si>
  <si>
    <t>Rugama Villareal</t>
  </si>
  <si>
    <t>70602021</t>
  </si>
  <si>
    <t>1850</t>
  </si>
  <si>
    <t>De la Pulpería Paulo 300 m sur contiguo al río.</t>
  </si>
  <si>
    <t>0502340295</t>
  </si>
  <si>
    <t>Jose Adan</t>
  </si>
  <si>
    <t>Cruz Salguera</t>
  </si>
  <si>
    <t>61906501</t>
  </si>
  <si>
    <t>1851</t>
  </si>
  <si>
    <t>De la pulpería Paulo 150 m suroeste al margen izquierdo</t>
  </si>
  <si>
    <t>0503170659</t>
  </si>
  <si>
    <t>Keni</t>
  </si>
  <si>
    <t>Calvo Marchena</t>
  </si>
  <si>
    <t>1852</t>
  </si>
  <si>
    <t>De la pulpería Paulo 300 m al suroeste</t>
  </si>
  <si>
    <t>0502250033</t>
  </si>
  <si>
    <t>Sibaja Barahona</t>
  </si>
  <si>
    <t>84973000</t>
  </si>
  <si>
    <t>1853</t>
  </si>
  <si>
    <t>De la pulpería Paulo 300 m suroeste</t>
  </si>
  <si>
    <t>0503140545</t>
  </si>
  <si>
    <t>Jorge Enrique</t>
  </si>
  <si>
    <t>Herrera Porras</t>
  </si>
  <si>
    <t>86628213</t>
  </si>
  <si>
    <t>1854</t>
  </si>
  <si>
    <t>De la pulpería Paulo 300 m sur al final de la calle</t>
  </si>
  <si>
    <t>0502350612</t>
  </si>
  <si>
    <t xml:space="preserve">Mariano </t>
  </si>
  <si>
    <t>Ramos Murillo</t>
  </si>
  <si>
    <t>89891649</t>
  </si>
  <si>
    <t>1855</t>
  </si>
  <si>
    <t>De la pulpería Paulo, 50 m sur.</t>
  </si>
  <si>
    <t>0500990684</t>
  </si>
  <si>
    <t>Oconitrillo Araya</t>
  </si>
  <si>
    <t>71993929</t>
  </si>
  <si>
    <t>1856</t>
  </si>
  <si>
    <t>De la pulpería Paulo 75 m al sur</t>
  </si>
  <si>
    <t>0503670734</t>
  </si>
  <si>
    <t>Camacho López</t>
  </si>
  <si>
    <t>70201299</t>
  </si>
  <si>
    <t>2221</t>
  </si>
  <si>
    <t>200 m ESTE SANTA ISABEL ARRIBA/FRENTE FINCA MIGUEL APUY</t>
  </si>
  <si>
    <t>0504160319</t>
  </si>
  <si>
    <t>MARIA AUDELINA</t>
  </si>
  <si>
    <t>RUIZ NUÑEZ</t>
  </si>
  <si>
    <t>62199947</t>
  </si>
  <si>
    <t>002246</t>
  </si>
  <si>
    <t>SANTA ISABEL ARRIBA 150 MTSESTE DEL PUENTE RIO CAÑAS</t>
  </si>
  <si>
    <t>0502930838</t>
  </si>
  <si>
    <t>BOLANDE VILLAREAL</t>
  </si>
  <si>
    <t>62372462</t>
  </si>
  <si>
    <t>002247</t>
  </si>
  <si>
    <t>DEL PUENTE DEL RIO CAÑAS 150ESTE CASA COLOR AZUL</t>
  </si>
  <si>
    <t>0503940359</t>
  </si>
  <si>
    <t>SALEM</t>
  </si>
  <si>
    <t>DIAZ ALVAREZ</t>
  </si>
  <si>
    <t>86437750</t>
  </si>
  <si>
    <t>002250</t>
  </si>
  <si>
    <t>PRIMERA ENTRADA A MANO IZQUIERDA CAMINO AL RIO</t>
  </si>
  <si>
    <t>0501490380</t>
  </si>
  <si>
    <t>DAISY</t>
  </si>
  <si>
    <t>MARIN ARAYA</t>
  </si>
  <si>
    <t>62496807</t>
  </si>
  <si>
    <t>002251</t>
  </si>
  <si>
    <t>DEL PUENTE DE CAÑAS 150 ESTE CASA COLOR AZUL PREDIO 6 BLOQUE 235</t>
  </si>
  <si>
    <t>0500650485</t>
  </si>
  <si>
    <t>DIAZ CORTES</t>
  </si>
  <si>
    <t>001767</t>
  </si>
  <si>
    <t xml:space="preserve">LA GUANILAMA </t>
  </si>
  <si>
    <t xml:space="preserve">DE LA PLANTA DE MELON 2 KM AL SUR </t>
  </si>
  <si>
    <t xml:space="preserve">XIOMARA </t>
  </si>
  <si>
    <t xml:space="preserve">ROMAN MARTINEZ </t>
  </si>
  <si>
    <t>85607626</t>
  </si>
  <si>
    <t>001166</t>
  </si>
  <si>
    <t>RIO CAÑAS NUEVO</t>
  </si>
  <si>
    <t>800ESTE Y 200 SURESTE DEL SALÓN</t>
  </si>
  <si>
    <t>0504040478</t>
  </si>
  <si>
    <t>MARILYN</t>
  </si>
  <si>
    <t>ORTIZ CHAVARRIA</t>
  </si>
  <si>
    <t>84713945</t>
  </si>
  <si>
    <t>001167</t>
  </si>
  <si>
    <t>CARRILLO, DEL SALÓÑ  800ESTE Y 200 SURESTE</t>
  </si>
  <si>
    <t>0501950045</t>
  </si>
  <si>
    <t>YENITH</t>
  </si>
  <si>
    <t>CHAVARRIA ÁLVAREZ</t>
  </si>
  <si>
    <t>86378449</t>
  </si>
  <si>
    <t>001168</t>
  </si>
  <si>
    <t>75 MTS. SURESTE DEL PUENTE RIO CAÑAS</t>
  </si>
  <si>
    <t>0502750465</t>
  </si>
  <si>
    <t>CRISTINA</t>
  </si>
  <si>
    <t>ORTIZ SERRANO</t>
  </si>
  <si>
    <t>000050</t>
  </si>
  <si>
    <t>300 METROS SUR DE LA BOMBA SABANA GUANACASTECA</t>
  </si>
  <si>
    <t>0501920105</t>
  </si>
  <si>
    <t>JULIANA</t>
  </si>
  <si>
    <t>GONZALEZ GUIDO</t>
  </si>
  <si>
    <t>26888837</t>
  </si>
  <si>
    <t>000051</t>
  </si>
  <si>
    <t>DE AL ESQUINA SURESTE DE LA IGLESIA CATOLICA 300 METROS SUR 200 METROS ESTE</t>
  </si>
  <si>
    <t>0500890102</t>
  </si>
  <si>
    <t>JOSE FRANCISCO</t>
  </si>
  <si>
    <t>ALEMAN DIAZ</t>
  </si>
  <si>
    <t>83972734</t>
  </si>
  <si>
    <t>000053</t>
  </si>
  <si>
    <t>VEROLIS</t>
  </si>
  <si>
    <t>150 METROS AL SUR DEL COLEGIO TECNICO DE CARRILLO</t>
  </si>
  <si>
    <t>0503180504</t>
  </si>
  <si>
    <t>KAROL</t>
  </si>
  <si>
    <t>VIALES BUSTOS</t>
  </si>
  <si>
    <t>86187150</t>
  </si>
  <si>
    <t>001765</t>
  </si>
  <si>
    <t>DE LA PLANTA DE MELONES 2 KM</t>
  </si>
  <si>
    <t>5035709180</t>
  </si>
  <si>
    <t xml:space="preserve">JOSE DENIS </t>
  </si>
  <si>
    <t xml:space="preserve">CONTRERAS CHINCHILLA </t>
  </si>
  <si>
    <t>87319183</t>
  </si>
  <si>
    <t>001766</t>
  </si>
  <si>
    <t>LA GUANILAMA</t>
  </si>
  <si>
    <t xml:space="preserve">DEL TALLER SAN FRANCISCO 300 SUR </t>
  </si>
  <si>
    <t>5021905230</t>
  </si>
  <si>
    <t xml:space="preserve">EDITH </t>
  </si>
  <si>
    <t>86878680</t>
  </si>
  <si>
    <t>1768</t>
  </si>
  <si>
    <t>LA GUANISLOMA</t>
  </si>
  <si>
    <t>DEL TALLER SAN FRANCISCO 300 METROS SUR</t>
  </si>
  <si>
    <t>0503610262</t>
  </si>
  <si>
    <t>MAIRENA RAMIREZ</t>
  </si>
  <si>
    <t>85813829</t>
  </si>
  <si>
    <t>001769</t>
  </si>
  <si>
    <t>0503890202</t>
  </si>
  <si>
    <t xml:space="preserve">MARIELA </t>
  </si>
  <si>
    <t>RAMIREZ MARTINEZ</t>
  </si>
  <si>
    <t>61775765</t>
  </si>
  <si>
    <t>001775</t>
  </si>
  <si>
    <t>DE L APLANTACIÓN DE MELONES 2 KM SURESTE</t>
  </si>
  <si>
    <t>0503610842</t>
  </si>
  <si>
    <t>EVELYN</t>
  </si>
  <si>
    <t>CASTILLO RAMIREZ</t>
  </si>
  <si>
    <t>84540015</t>
  </si>
  <si>
    <t>001819</t>
  </si>
  <si>
    <t>GUANISLAMA</t>
  </si>
  <si>
    <t>DE LA PLANTA DE MELONES 2 KM AL SUR ESTE AL AMRGEN IZQUIERDO</t>
  </si>
  <si>
    <t>0501450359</t>
  </si>
  <si>
    <t>DEYANIRA</t>
  </si>
  <si>
    <t>87274584</t>
  </si>
  <si>
    <t>1848</t>
  </si>
  <si>
    <t>De la planta de melones 2 km sureste al margen izquierdo</t>
  </si>
  <si>
    <t>0501980314</t>
  </si>
  <si>
    <t>Leonel</t>
  </si>
  <si>
    <t>Ramírez Martínez</t>
  </si>
  <si>
    <t>86737381</t>
  </si>
  <si>
    <t>001882</t>
  </si>
  <si>
    <t>dela planta de melones, 2km sureste al margen izquierdo</t>
  </si>
  <si>
    <t>0501401324</t>
  </si>
  <si>
    <t>María Ledis</t>
  </si>
  <si>
    <t>83394952</t>
  </si>
  <si>
    <t>001883</t>
  </si>
  <si>
    <t>de la planta de melones, 2km sureste, al margen izquierdo</t>
  </si>
  <si>
    <t>0503340889</t>
  </si>
  <si>
    <t>Ronald Alberto</t>
  </si>
  <si>
    <t>Moraga ramírez</t>
  </si>
  <si>
    <t>84447671</t>
  </si>
  <si>
    <t>001884</t>
  </si>
  <si>
    <t>De la planta de melones, 2km sureste al margen izquierdo</t>
  </si>
  <si>
    <t>0502500352</t>
  </si>
  <si>
    <t>María Victoria</t>
  </si>
  <si>
    <t>001885</t>
  </si>
  <si>
    <t xml:space="preserve">Guanislama </t>
  </si>
  <si>
    <t>de la planta de melones 21km sureste</t>
  </si>
  <si>
    <t>0502960028</t>
  </si>
  <si>
    <t xml:space="preserve">Dony </t>
  </si>
  <si>
    <t xml:space="preserve">Bonilla Obando </t>
  </si>
  <si>
    <t>61714498</t>
  </si>
  <si>
    <t>001886</t>
  </si>
  <si>
    <t xml:space="preserve">De la planta de melones 2km al sur al margen izquierdo </t>
  </si>
  <si>
    <t>0502690376</t>
  </si>
  <si>
    <t xml:space="preserve">David </t>
  </si>
  <si>
    <t>Ramirez Marchena</t>
  </si>
  <si>
    <t>89287043</t>
  </si>
  <si>
    <t>002069</t>
  </si>
  <si>
    <t>Juanislama</t>
  </si>
  <si>
    <t>2 Km Sur del Cementerio de Filadelfia</t>
  </si>
  <si>
    <t>0501510431</t>
  </si>
  <si>
    <t xml:space="preserve">Vianney </t>
  </si>
  <si>
    <t>Marchena Marchena</t>
  </si>
  <si>
    <t>83296570</t>
  </si>
  <si>
    <t>2220</t>
  </si>
  <si>
    <t>GUANILAMA</t>
  </si>
  <si>
    <t>DE LA PLANTA DE MELONES, 2 KILOMETROS AL SUR-ESTE</t>
  </si>
  <si>
    <t>0005298642</t>
  </si>
  <si>
    <t>JOSE BERNARDO</t>
  </si>
  <si>
    <t>MORAGA RAMIREZ</t>
  </si>
  <si>
    <t>71647729</t>
  </si>
  <si>
    <t>000649</t>
  </si>
  <si>
    <t xml:space="preserve">MATAMBU CENTRO </t>
  </si>
  <si>
    <t>300 MTS ESTE DE LA ESCUELA MATAMBU</t>
  </si>
  <si>
    <t>0501870710</t>
  </si>
  <si>
    <t>JOSE BIVIAN</t>
  </si>
  <si>
    <t>AGUIRRE PEREZ</t>
  </si>
  <si>
    <t>26599308</t>
  </si>
  <si>
    <t>000657</t>
  </si>
  <si>
    <t>VIENTOS FRESCOS</t>
  </si>
  <si>
    <t>250 MTS ESCUELA VICTORIANO MENA MOENA</t>
  </si>
  <si>
    <t>0502840612</t>
  </si>
  <si>
    <t>MERIBETH</t>
  </si>
  <si>
    <t xml:space="preserve">CASTRILLO MORA </t>
  </si>
  <si>
    <t>000659</t>
  </si>
  <si>
    <t>LA GRAN VIA</t>
  </si>
  <si>
    <t>IGLESIA CATOLICA HACIA 500 MTS NORTE</t>
  </si>
  <si>
    <t>0201880574</t>
  </si>
  <si>
    <t>OTONIEL</t>
  </si>
  <si>
    <t xml:space="preserve">ALFARO GOMEZ </t>
  </si>
  <si>
    <t>26599193</t>
  </si>
  <si>
    <t>000660</t>
  </si>
  <si>
    <t>MORACILLO</t>
  </si>
  <si>
    <t>250 MTS AL OESTE IGLESIA LA MARAVILLA</t>
  </si>
  <si>
    <t>0502690250</t>
  </si>
  <si>
    <t>BOZA BLANCO</t>
  </si>
  <si>
    <t>86537042</t>
  </si>
  <si>
    <t>000674</t>
  </si>
  <si>
    <t>500 mts SO del Ebais carretera a San Gerardo, servidumbre</t>
  </si>
  <si>
    <t>0104820599</t>
  </si>
  <si>
    <t>Miguel Angel</t>
  </si>
  <si>
    <t>87286218</t>
  </si>
  <si>
    <t>000675</t>
  </si>
  <si>
    <t>La Gran Vía</t>
  </si>
  <si>
    <t>400 metros al sur de la Iglesia Católica</t>
  </si>
  <si>
    <t>0502420383</t>
  </si>
  <si>
    <t>Rosmary</t>
  </si>
  <si>
    <t>López Medina</t>
  </si>
  <si>
    <t>26599520</t>
  </si>
  <si>
    <t>000679</t>
  </si>
  <si>
    <t>300 metros al sur de la escuela</t>
  </si>
  <si>
    <t>0502660705</t>
  </si>
  <si>
    <t>Lideth</t>
  </si>
  <si>
    <t>Vargas Matamoros</t>
  </si>
  <si>
    <t>87259654</t>
  </si>
  <si>
    <t>001183</t>
  </si>
  <si>
    <t>EL SOCORRO</t>
  </si>
  <si>
    <t>0501720077</t>
  </si>
  <si>
    <t xml:space="preserve">FIDEL </t>
  </si>
  <si>
    <t>FAJARDO FAJARDO</t>
  </si>
  <si>
    <t>001184</t>
  </si>
  <si>
    <t>800 OESTE ESCUELA CUESTA ROJA</t>
  </si>
  <si>
    <t>0603060104</t>
  </si>
  <si>
    <t>MARÍA DE LOS ÁNGELES</t>
  </si>
  <si>
    <t>FALLAS VALVERDE</t>
  </si>
  <si>
    <t>50130987</t>
  </si>
  <si>
    <t>000648</t>
  </si>
  <si>
    <t>ESTRADA</t>
  </si>
  <si>
    <t>200 SUR Y 100 OESTE DEL HOTEL SUEÑO TROPICAL</t>
  </si>
  <si>
    <t>0502310355</t>
  </si>
  <si>
    <t>JOSE JONNY</t>
  </si>
  <si>
    <t>VILLAFUERTE</t>
  </si>
  <si>
    <t>89122142</t>
  </si>
  <si>
    <t>000661</t>
  </si>
  <si>
    <t xml:space="preserve">2 KM ESCUELA SURESTE ESTRADA </t>
  </si>
  <si>
    <t>0502970999</t>
  </si>
  <si>
    <t>VENEGAS ALFARO</t>
  </si>
  <si>
    <t>87637035</t>
  </si>
  <si>
    <t>000662</t>
  </si>
  <si>
    <t xml:space="preserve">DE LA ESC. ESTRADA 1 KM AL SUR </t>
  </si>
  <si>
    <t>0908500647</t>
  </si>
  <si>
    <t>MORA QUESADA</t>
  </si>
  <si>
    <t>26560217</t>
  </si>
  <si>
    <t>000663</t>
  </si>
  <si>
    <t xml:space="preserve">DE LA ESCUELA ESTRADA 1 KM AL SUR </t>
  </si>
  <si>
    <t>0303320603</t>
  </si>
  <si>
    <t>CASTRILLO MORA</t>
  </si>
  <si>
    <t>84116304</t>
  </si>
  <si>
    <t>000664</t>
  </si>
  <si>
    <t>Estrada</t>
  </si>
  <si>
    <t>0502950296</t>
  </si>
  <si>
    <t>Miguel Ángel</t>
  </si>
  <si>
    <t>87334502</t>
  </si>
  <si>
    <t>000665</t>
  </si>
  <si>
    <t>50 al oeste de la escuela</t>
  </si>
  <si>
    <t>0502400501</t>
  </si>
  <si>
    <t xml:space="preserve">María Cristina </t>
  </si>
  <si>
    <t>Mora Castrillo</t>
  </si>
  <si>
    <t>25560280</t>
  </si>
  <si>
    <t>000676</t>
  </si>
  <si>
    <t xml:space="preserve">2 km al Sureste de la escuela </t>
  </si>
  <si>
    <t>0503110165</t>
  </si>
  <si>
    <t>Blanca Nieves</t>
  </si>
  <si>
    <t>Venegas Alfaro</t>
  </si>
  <si>
    <t>85355573</t>
  </si>
  <si>
    <t>000677</t>
  </si>
  <si>
    <t>INVU</t>
  </si>
  <si>
    <t>1 KM al sur de la escuela de Betania</t>
  </si>
  <si>
    <t>0503050991</t>
  </si>
  <si>
    <t>Sandra</t>
  </si>
  <si>
    <t>Fajardo Molina</t>
  </si>
  <si>
    <t>84408258</t>
  </si>
  <si>
    <t>000678</t>
  </si>
  <si>
    <t>Frente al Hotel Sueño Tropical</t>
  </si>
  <si>
    <t>0503010394</t>
  </si>
  <si>
    <t>Castrillo Bogantes</t>
  </si>
  <si>
    <t>86050664</t>
  </si>
  <si>
    <t>000013</t>
  </si>
  <si>
    <t>LAS VEGAS CUAJINIQUIL</t>
  </si>
  <si>
    <t>DE LA PLAZA DE FUTBOL 400 METROS OESTE Y 75 METROS SUR</t>
  </si>
  <si>
    <t>0205260694</t>
  </si>
  <si>
    <t>ANA MARITZA</t>
  </si>
  <si>
    <t>ROSALES BALDONADO</t>
  </si>
  <si>
    <t>86843887</t>
  </si>
  <si>
    <t>000014</t>
  </si>
  <si>
    <t>DE LA PLAZA DE DEPORTES DE LAS VEGAS 200 METROS OESTE</t>
  </si>
  <si>
    <t>0503060098</t>
  </si>
  <si>
    <t>GARCIA CARMONA</t>
  </si>
  <si>
    <t>85052751</t>
  </si>
  <si>
    <t>000046</t>
  </si>
  <si>
    <t>LAS VEGAS</t>
  </si>
  <si>
    <t>DE LA PLAZA DE LAS VEGAS 250 METROS AL OESTE</t>
  </si>
  <si>
    <t>CRISTOBALINA</t>
  </si>
  <si>
    <t>LOBO CARMONA</t>
  </si>
  <si>
    <t>83618545</t>
  </si>
  <si>
    <t>000047</t>
  </si>
  <si>
    <t>DEL BAR LAS VEGAS 75 METROS NORTE Y 100 METROS SUR</t>
  </si>
  <si>
    <t>0503710302</t>
  </si>
  <si>
    <t>ARIAS GARCIA</t>
  </si>
  <si>
    <t>84561549</t>
  </si>
  <si>
    <t>000048</t>
  </si>
  <si>
    <t>DEL SALON COMUNAL 150 METROS SUR ESTE</t>
  </si>
  <si>
    <t>0900960539</t>
  </si>
  <si>
    <t>ALEMAN LOBO</t>
  </si>
  <si>
    <t>84528151</t>
  </si>
  <si>
    <t>000049</t>
  </si>
  <si>
    <t>CANGREJAL</t>
  </si>
  <si>
    <t>DEL SUPER COMPRO 75 METROS AL OESTE, FRENTE AL RIO</t>
  </si>
  <si>
    <t>0502350996</t>
  </si>
  <si>
    <t>DAMARIS</t>
  </si>
  <si>
    <t>VEGA PARRALES</t>
  </si>
  <si>
    <t>86436719</t>
  </si>
  <si>
    <t>000052</t>
  </si>
  <si>
    <t>DE LA IGLESIA APOSTOLICA LIBRE 100 METROS ESTE</t>
  </si>
  <si>
    <t>155804819505</t>
  </si>
  <si>
    <t>CRUZ</t>
  </si>
  <si>
    <t>ALEMAN CARMONA</t>
  </si>
  <si>
    <t>86584714</t>
  </si>
  <si>
    <t>000054</t>
  </si>
  <si>
    <t>300 METROS OESTE DE SUPERCOMPRO</t>
  </si>
  <si>
    <t>155801191436</t>
  </si>
  <si>
    <t>FRANCIS WARMAN</t>
  </si>
  <si>
    <t>87109379</t>
  </si>
  <si>
    <t>000055</t>
  </si>
  <si>
    <t>0503980033</t>
  </si>
  <si>
    <t>AVILES VANEGAS</t>
  </si>
  <si>
    <t>000056</t>
  </si>
  <si>
    <t>DE LA PLAZA DE LAS VEGAS 400 METROS OESTE Y 100 METROS SUR</t>
  </si>
  <si>
    <t>0504080725</t>
  </si>
  <si>
    <t>MERLYN</t>
  </si>
  <si>
    <t>ARIAS LOBO</t>
  </si>
  <si>
    <t>71608306</t>
  </si>
  <si>
    <t>000057</t>
  </si>
  <si>
    <t>DEL SALON COMUNAL 300 METROS SUR</t>
  </si>
  <si>
    <t>0503060097</t>
  </si>
  <si>
    <t>50119178</t>
  </si>
  <si>
    <t>000058</t>
  </si>
  <si>
    <t>DEL SALON COMUNAL 250 METROS SUR</t>
  </si>
  <si>
    <t>155800717821</t>
  </si>
  <si>
    <t>JUANA</t>
  </si>
  <si>
    <t>85398362</t>
  </si>
  <si>
    <t>000059</t>
  </si>
  <si>
    <t>50 METROS AL ESTE DE LA PLAZA DE CANGREJAL</t>
  </si>
  <si>
    <t>0900860698</t>
  </si>
  <si>
    <t>MAXIMILIANA</t>
  </si>
  <si>
    <t>CARMONA CORTES</t>
  </si>
  <si>
    <t>84536120</t>
  </si>
  <si>
    <t>000650</t>
  </si>
  <si>
    <t>AGUAS CALIENTES</t>
  </si>
  <si>
    <t>ESCUELA QUOJINIKL, 2 KM AL SUR</t>
  </si>
  <si>
    <t>155825914230</t>
  </si>
  <si>
    <t>MATILDE</t>
  </si>
  <si>
    <t>VADO PEREZ</t>
  </si>
  <si>
    <t>50150036</t>
  </si>
  <si>
    <t>000654</t>
  </si>
  <si>
    <t>DE LA ESCUELA AGUAS CALIENTES 200 MTS AL SUR</t>
  </si>
  <si>
    <t>503480031</t>
  </si>
  <si>
    <t>ALEXANDER JOSE</t>
  </si>
  <si>
    <t>REYES VADO</t>
  </si>
  <si>
    <t>88186047</t>
  </si>
  <si>
    <t>000655</t>
  </si>
  <si>
    <t xml:space="preserve">AGUAS CALIENTES </t>
  </si>
  <si>
    <t xml:space="preserve">2 KM AL SUR ESC. AGUAS CALIENTES </t>
  </si>
  <si>
    <t>0603020711</t>
  </si>
  <si>
    <t>FARID</t>
  </si>
  <si>
    <t>MEDROÑO UMAÑA</t>
  </si>
  <si>
    <t>84207033</t>
  </si>
  <si>
    <t>000656</t>
  </si>
  <si>
    <t xml:space="preserve">ESCUEL AGUAS CALIENTES 400 MTS AL SUR </t>
  </si>
  <si>
    <t>0502970901</t>
  </si>
  <si>
    <t>JUAN RAMON</t>
  </si>
  <si>
    <t>SEAS LOPEZ</t>
  </si>
  <si>
    <t>85308473</t>
  </si>
  <si>
    <t>000658</t>
  </si>
  <si>
    <t xml:space="preserve">DE LA IGLESIA CHIKINA 150 MTS ESTE </t>
  </si>
  <si>
    <t>0501410793</t>
  </si>
  <si>
    <t>AMANCIO</t>
  </si>
  <si>
    <t>PEÑA CARMONA</t>
  </si>
  <si>
    <t>88794622</t>
  </si>
  <si>
    <t>000666</t>
  </si>
  <si>
    <t>Cuajiniquil-Aguas Calientes</t>
  </si>
  <si>
    <t>3 Km NO de la Delegación Cuajiniquil</t>
  </si>
  <si>
    <t>0801220545</t>
  </si>
  <si>
    <t>Adolfo</t>
  </si>
  <si>
    <t>Espinoza López</t>
  </si>
  <si>
    <t>62184292</t>
  </si>
  <si>
    <t>000667</t>
  </si>
  <si>
    <t>Del centro de Cuajiniquil 2.5 km hacia Aguas Calientes</t>
  </si>
  <si>
    <t>0503200720</t>
  </si>
  <si>
    <t xml:space="preserve">Nelly </t>
  </si>
  <si>
    <t>Chávez López</t>
  </si>
  <si>
    <t>61913511</t>
  </si>
  <si>
    <t>000668</t>
  </si>
  <si>
    <t>De la Iglesia de Aguas Calientes 100 mts al Oeste</t>
  </si>
  <si>
    <t>0503100858</t>
  </si>
  <si>
    <t>Bernarda</t>
  </si>
  <si>
    <t>Umaña Martínez</t>
  </si>
  <si>
    <t>88380439</t>
  </si>
  <si>
    <t>000669</t>
  </si>
  <si>
    <t>A la par de la Iglesia de Aguas Calientes</t>
  </si>
  <si>
    <t>155816676334</t>
  </si>
  <si>
    <t>Ramona</t>
  </si>
  <si>
    <t>Serrano Victor</t>
  </si>
  <si>
    <t>89962797</t>
  </si>
  <si>
    <t>000670</t>
  </si>
  <si>
    <t>De la escuela de Aguas Calientes 200 metros al Sur</t>
  </si>
  <si>
    <t>Pérez Reyes</t>
  </si>
  <si>
    <t>63818207</t>
  </si>
  <si>
    <t>000671</t>
  </si>
  <si>
    <t>500 mts sur de la escuela de Agua Caliente</t>
  </si>
  <si>
    <t>0503200401</t>
  </si>
  <si>
    <t>Ana Isabel</t>
  </si>
  <si>
    <t>Lopez Medrano</t>
  </si>
  <si>
    <t>85984458</t>
  </si>
  <si>
    <t>000672</t>
  </si>
  <si>
    <t>De la escuela de Agua Caliente 2 km al Sur</t>
  </si>
  <si>
    <t>0503530676</t>
  </si>
  <si>
    <t xml:space="preserve">Lila María </t>
  </si>
  <si>
    <t>85361854</t>
  </si>
  <si>
    <t>000673</t>
  </si>
  <si>
    <t xml:space="preserve">Cuajiniquil </t>
  </si>
  <si>
    <t>2.5 km de la fuerza pública de cuajiniquil</t>
  </si>
  <si>
    <t>0603730855</t>
  </si>
  <si>
    <t xml:space="preserve">Ingrid </t>
  </si>
  <si>
    <t>Espinoza Umaña</t>
  </si>
  <si>
    <t>000680</t>
  </si>
  <si>
    <t>Pulpería "Noguers" 500 mts al Sur</t>
  </si>
  <si>
    <t>Lobo Carmona</t>
  </si>
  <si>
    <t>61472062</t>
  </si>
  <si>
    <t>Curubandé</t>
  </si>
  <si>
    <t>000015</t>
  </si>
  <si>
    <t>PUENTE RIO SANTA INES, 75 METROS OESTE (ARBOL LIMON)</t>
  </si>
  <si>
    <t>0503590756</t>
  </si>
  <si>
    <t>CHRISTOPHER</t>
  </si>
  <si>
    <t>ACOSTA RUEDA</t>
  </si>
  <si>
    <t>70891127</t>
  </si>
  <si>
    <t>000034</t>
  </si>
  <si>
    <t>EL AGUACATE</t>
  </si>
  <si>
    <t>ENTRADA AL COYOLAR CASA EN ESQUINA</t>
  </si>
  <si>
    <t>0501120496</t>
  </si>
  <si>
    <t>FRANCISCA</t>
  </si>
  <si>
    <t>VICTOR VICTOR</t>
  </si>
  <si>
    <t>26650107</t>
  </si>
  <si>
    <t>000012</t>
  </si>
  <si>
    <t>ABASTECEDOR FAMILIA GONZALEZ, 25 METROS NORTE CASA F9</t>
  </si>
  <si>
    <t>0503180239</t>
  </si>
  <si>
    <t>GAUDY TERESITA</t>
  </si>
  <si>
    <t>LOPEZ SANCHEZ</t>
  </si>
  <si>
    <t>83701261</t>
  </si>
  <si>
    <t>000016</t>
  </si>
  <si>
    <t>RESIDENCIAL COLONIA BLANCA 400 METROS ESTE</t>
  </si>
  <si>
    <t>MORALES MONTENEGRO</t>
  </si>
  <si>
    <t>88015823</t>
  </si>
  <si>
    <t>000017</t>
  </si>
  <si>
    <t>400 METROS ESTE CONDOMINIO COLONIA BLANCA</t>
  </si>
  <si>
    <t>ADA LIGIA</t>
  </si>
  <si>
    <t>MATAMOROS ZAMORA</t>
  </si>
  <si>
    <t>61493834</t>
  </si>
  <si>
    <t>000018</t>
  </si>
  <si>
    <t>420 METROS AL ESTE DE LA ENTRADA A COLONIA BLANCA</t>
  </si>
  <si>
    <t>0503590055</t>
  </si>
  <si>
    <t>TOBIAS</t>
  </si>
  <si>
    <t>MENDOZA RODRIGUEZ</t>
  </si>
  <si>
    <t>84351372</t>
  </si>
  <si>
    <t>000019</t>
  </si>
  <si>
    <t>ANTIGUO HOTEL LA RONDA, 175 METROS OESTE, 200 METROS SUR</t>
  </si>
  <si>
    <t>0502610527</t>
  </si>
  <si>
    <t>CAMPOS GUERRERO</t>
  </si>
  <si>
    <t>83996990</t>
  </si>
  <si>
    <t>000020</t>
  </si>
  <si>
    <t>COLONIA BLANCA 400 METROS ESTE, DETRAS DEL HOTEL LAS ESPUELAS</t>
  </si>
  <si>
    <t>0503740657</t>
  </si>
  <si>
    <t>GOMEZ NUÑEZ</t>
  </si>
  <si>
    <t>62341067</t>
  </si>
  <si>
    <t>000021</t>
  </si>
  <si>
    <t>CAPULIN</t>
  </si>
  <si>
    <t>FRENTE A LA IGLESIA CATOLICA</t>
  </si>
  <si>
    <t>0501480274</t>
  </si>
  <si>
    <t>MARIA ELVIRA</t>
  </si>
  <si>
    <t>BALTODANO CHACON</t>
  </si>
  <si>
    <t>84485592</t>
  </si>
  <si>
    <t>000023</t>
  </si>
  <si>
    <t>50 METROS NORTE DE LA ANTIGUA BODEGA DE RINSO</t>
  </si>
  <si>
    <t>0700870847</t>
  </si>
  <si>
    <t>MOLINA CHEVEZ</t>
  </si>
  <si>
    <t>63152821</t>
  </si>
  <si>
    <t>000024</t>
  </si>
  <si>
    <t>ESCUELA LABORATORIO 200 METROS SUR CASA AL FONDO COLOR MAMON</t>
  </si>
  <si>
    <t>0502690320</t>
  </si>
  <si>
    <t>DELFINA</t>
  </si>
  <si>
    <t>ANGULO GUTIERREZ</t>
  </si>
  <si>
    <t>26661010</t>
  </si>
  <si>
    <t>000025</t>
  </si>
  <si>
    <t>MORACIA</t>
  </si>
  <si>
    <t>COSTADO OESTE DEL SUPER LICORERA EL JADE</t>
  </si>
  <si>
    <t>0502490210</t>
  </si>
  <si>
    <t>GRETTEL</t>
  </si>
  <si>
    <t>MORAGA GUIDO</t>
  </si>
  <si>
    <t>89162976</t>
  </si>
  <si>
    <t>000026</t>
  </si>
  <si>
    <t>0114870683</t>
  </si>
  <si>
    <t>BARBOZA MORAGA</t>
  </si>
  <si>
    <t>62413522</t>
  </si>
  <si>
    <t>000027</t>
  </si>
  <si>
    <t>COSTADO OESTE DEL SUPER O LICORERA EL JADE</t>
  </si>
  <si>
    <t>0503440461</t>
  </si>
  <si>
    <t>RAQUEL</t>
  </si>
  <si>
    <t>CASTILLO MORAGA</t>
  </si>
  <si>
    <t>60969517</t>
  </si>
  <si>
    <t>000028</t>
  </si>
  <si>
    <t>FRENTE AL CENTRO EDUCATIVO CENIT, ULTIMA CASA</t>
  </si>
  <si>
    <t>0502290257</t>
  </si>
  <si>
    <t>ZUÑIGA VEGA</t>
  </si>
  <si>
    <t>62011925</t>
  </si>
  <si>
    <t>000029</t>
  </si>
  <si>
    <t>PUEBLO NUEVO</t>
  </si>
  <si>
    <t>50 METROS OESTE DE LA PULPERIA GINA</t>
  </si>
  <si>
    <t>0503500277</t>
  </si>
  <si>
    <t>YENDRY CRISTINA</t>
  </si>
  <si>
    <t>HERNANDEZ MEDINA</t>
  </si>
  <si>
    <t>000030</t>
  </si>
  <si>
    <t>100 METROS OESTE DE LA PULPERIA PALMERAS</t>
  </si>
  <si>
    <t>0501380074</t>
  </si>
  <si>
    <t>CAMARENO TORRES</t>
  </si>
  <si>
    <t>87232337</t>
  </si>
  <si>
    <t>000031</t>
  </si>
  <si>
    <t>200 METROS OESTE DEL BAR TILAS</t>
  </si>
  <si>
    <t>0503210301</t>
  </si>
  <si>
    <t>RUIZ FLETES</t>
  </si>
  <si>
    <t>65003258</t>
  </si>
  <si>
    <t>000032</t>
  </si>
  <si>
    <t>25 METROS ANTES DEL ANTIGUO BAR LA VAQUETA</t>
  </si>
  <si>
    <t>0502910953</t>
  </si>
  <si>
    <t>PICHARDO SEGURA</t>
  </si>
  <si>
    <t>70485014</t>
  </si>
  <si>
    <t>000033</t>
  </si>
  <si>
    <t>BARRIO GUADALUPE</t>
  </si>
  <si>
    <t>25 METROS OESTE DEL PUENTE DEL RIO SANTA INES</t>
  </si>
  <si>
    <t>0602690465</t>
  </si>
  <si>
    <t>DAYANI</t>
  </si>
  <si>
    <t>PORRAS NARANJO</t>
  </si>
  <si>
    <t>64494094</t>
  </si>
  <si>
    <t>000035</t>
  </si>
  <si>
    <t>FRENTE A LA PULPERIA GIRA</t>
  </si>
  <si>
    <t>0503200714</t>
  </si>
  <si>
    <t>JANNIER ALONSO</t>
  </si>
  <si>
    <t>MENDOZA CAMBRONERO</t>
  </si>
  <si>
    <t>89880731</t>
  </si>
  <si>
    <t>000036</t>
  </si>
  <si>
    <t>75 METROS OESTE DEL BAR TILA</t>
  </si>
  <si>
    <t>0502460780</t>
  </si>
  <si>
    <t>MARTHA</t>
  </si>
  <si>
    <t>UGARTE COREA</t>
  </si>
  <si>
    <t>86423179</t>
  </si>
  <si>
    <t>000037</t>
  </si>
  <si>
    <t>100 METROS SUR DEL BAR TILAS</t>
  </si>
  <si>
    <t>0107400995</t>
  </si>
  <si>
    <t>VIZCAINO ESQUIVEL</t>
  </si>
  <si>
    <t>71939470</t>
  </si>
  <si>
    <t>000038</t>
  </si>
  <si>
    <t>0112730483</t>
  </si>
  <si>
    <t>DIALA</t>
  </si>
  <si>
    <t>CASTILLO ORTIZ</t>
  </si>
  <si>
    <t>000039</t>
  </si>
  <si>
    <t>A LA PAR DE LA IGLESIA EVANGELICA</t>
  </si>
  <si>
    <t>0501370267</t>
  </si>
  <si>
    <t>PEREIRA PEREIRA</t>
  </si>
  <si>
    <t>88081277</t>
  </si>
  <si>
    <t>000040</t>
  </si>
  <si>
    <t>75 METROS OESTE DEL BAR TILAS</t>
  </si>
  <si>
    <t>0501690147</t>
  </si>
  <si>
    <t>26652836</t>
  </si>
  <si>
    <t>000041</t>
  </si>
  <si>
    <t>0503580725</t>
  </si>
  <si>
    <t>OTILIO</t>
  </si>
  <si>
    <t>QUESADA UGARTE</t>
  </si>
  <si>
    <t>26652835</t>
  </si>
  <si>
    <t>000042</t>
  </si>
  <si>
    <t>CARRETA</t>
  </si>
  <si>
    <t>DE LA CASETILLA DE LA PARADA 200 METROS SUR Y 50 METROS ESTE</t>
  </si>
  <si>
    <t>0302040731</t>
  </si>
  <si>
    <t>ARAYA CHAVES</t>
  </si>
  <si>
    <t>88447718</t>
  </si>
  <si>
    <t>000043</t>
  </si>
  <si>
    <t>100 METROS NORTE DE LAS ANTIGUAS BODEGAS DE RINSO</t>
  </si>
  <si>
    <t>0109290802</t>
  </si>
  <si>
    <t>CYNTHIA</t>
  </si>
  <si>
    <t>ROMERO ESCALANTE</t>
  </si>
  <si>
    <t>70297307</t>
  </si>
  <si>
    <t>000044</t>
  </si>
  <si>
    <t>DE LAS BODEGAS DE LA RINSO, 50 METROS AL NORTE</t>
  </si>
  <si>
    <t>0502360074</t>
  </si>
  <si>
    <t>ARNOLDO</t>
  </si>
  <si>
    <t>VELASQUEZ UMAÑA</t>
  </si>
  <si>
    <t>000045</t>
  </si>
  <si>
    <t>COSTADO ESTE HOTEL LAS ESPUELAS</t>
  </si>
  <si>
    <t>0110600372</t>
  </si>
  <si>
    <t>NATALIE</t>
  </si>
  <si>
    <t>BRENES VILLALOBOS</t>
  </si>
  <si>
    <t>83791621</t>
  </si>
  <si>
    <t>000060</t>
  </si>
  <si>
    <t>0501740264</t>
  </si>
  <si>
    <t>ROMERO ACUÑA</t>
  </si>
  <si>
    <t>61350813</t>
  </si>
  <si>
    <t>000061</t>
  </si>
  <si>
    <t>DEL SUPER TINTIN 400 METROS ESTE Y 50 METROS NORTE</t>
  </si>
  <si>
    <t>0502620363</t>
  </si>
  <si>
    <t>CARLOS ALCIDES</t>
  </si>
  <si>
    <t>PEREZ VILLEGAS</t>
  </si>
  <si>
    <t>88137306</t>
  </si>
  <si>
    <t>000704</t>
  </si>
  <si>
    <t>ZAPOTE</t>
  </si>
  <si>
    <t>0503320847</t>
  </si>
  <si>
    <t>GOMEZ LOPEZ</t>
  </si>
  <si>
    <t>000705</t>
  </si>
  <si>
    <t>0502250094</t>
  </si>
  <si>
    <t>ZUÑIGA ZUÑIGA</t>
  </si>
  <si>
    <t>000706</t>
  </si>
  <si>
    <t>0502400350</t>
  </si>
  <si>
    <t>ELIGIO BENITO</t>
  </si>
  <si>
    <t>LOPEZ ZUÑIGA</t>
  </si>
  <si>
    <t>000707</t>
  </si>
  <si>
    <t>0114340085</t>
  </si>
  <si>
    <t>JUAN PABLO</t>
  </si>
  <si>
    <t>MATARRITA MATARRITA</t>
  </si>
  <si>
    <t>000708</t>
  </si>
  <si>
    <t>0601100692</t>
  </si>
  <si>
    <t>MATARRITA HERNANDEZ</t>
  </si>
  <si>
    <t>000709</t>
  </si>
  <si>
    <t>0502650667</t>
  </si>
  <si>
    <t>000710</t>
  </si>
  <si>
    <t>0600480329</t>
  </si>
  <si>
    <t>JUAN RAFEL</t>
  </si>
  <si>
    <t>PEREZ AZOFEIFA</t>
  </si>
  <si>
    <t>000711</t>
  </si>
  <si>
    <t>LOPEZ LOPEZ</t>
  </si>
  <si>
    <t>000712</t>
  </si>
  <si>
    <t>0502290687</t>
  </si>
  <si>
    <t>ANA MARIA</t>
  </si>
  <si>
    <t>PARRA GUTIERREZ</t>
  </si>
  <si>
    <t>000715</t>
  </si>
  <si>
    <t>PUERTO COYOTE</t>
  </si>
  <si>
    <t>0800720951</t>
  </si>
  <si>
    <t>HERNANDEZ TORRES</t>
  </si>
  <si>
    <t>000720</t>
  </si>
  <si>
    <t>COROZALITO</t>
  </si>
  <si>
    <t>0500910999</t>
  </si>
  <si>
    <t>MARIA SANTOS PETRONA</t>
  </si>
  <si>
    <t>DOUNER ESPINOZA</t>
  </si>
  <si>
    <t>85051939</t>
  </si>
  <si>
    <t>000730</t>
  </si>
  <si>
    <t>0502926260</t>
  </si>
  <si>
    <t>Vega Salazar</t>
  </si>
  <si>
    <t>000731</t>
  </si>
  <si>
    <t xml:space="preserve">600 mts sur del centro de Pueblo Nuevo </t>
  </si>
  <si>
    <t>0502770933</t>
  </si>
  <si>
    <t xml:space="preserve">Ana Lorena </t>
  </si>
  <si>
    <t xml:space="preserve">Trejos Salazar </t>
  </si>
  <si>
    <t>84961278</t>
  </si>
  <si>
    <t>000732</t>
  </si>
  <si>
    <t xml:space="preserve">600m sur del centro de Pueblo Nuevo </t>
  </si>
  <si>
    <t>0503070262</t>
  </si>
  <si>
    <t xml:space="preserve">Jose Antonio </t>
  </si>
  <si>
    <t>Trejos Salazar</t>
  </si>
  <si>
    <t>86223213</t>
  </si>
  <si>
    <t>000733</t>
  </si>
  <si>
    <t>600m Sur del Centro de Pueblo Nuevo</t>
  </si>
  <si>
    <t>0600740241</t>
  </si>
  <si>
    <t>ISABELINA ORQUIDEA</t>
  </si>
  <si>
    <t>SALAZAR OBANDO</t>
  </si>
  <si>
    <t>000734</t>
  </si>
  <si>
    <t>600m sur del centro de Pueblo Nuevo</t>
  </si>
  <si>
    <t>0502400453</t>
  </si>
  <si>
    <t>Trejos  Salazar</t>
  </si>
  <si>
    <t>85780661</t>
  </si>
  <si>
    <t>000741</t>
  </si>
  <si>
    <t xml:space="preserve">Zapote </t>
  </si>
  <si>
    <t>no se indica</t>
  </si>
  <si>
    <t>0600350037</t>
  </si>
  <si>
    <t xml:space="preserve">Evangelina </t>
  </si>
  <si>
    <t xml:space="preserve">Gutierrez Baltodano </t>
  </si>
  <si>
    <t>000742</t>
  </si>
  <si>
    <t xml:space="preserve">No se indica </t>
  </si>
  <si>
    <t xml:space="preserve">Garcia Acosta </t>
  </si>
  <si>
    <t>000717</t>
  </si>
  <si>
    <t>BARRIO DEL SUR</t>
  </si>
  <si>
    <t>0501290745</t>
  </si>
  <si>
    <t>GUERRERO RODRIGUEZ</t>
  </si>
  <si>
    <t>26577606</t>
  </si>
  <si>
    <t>002068</t>
  </si>
  <si>
    <t>300 N. de la Escuela El Cacao</t>
  </si>
  <si>
    <t>0107080597</t>
  </si>
  <si>
    <t>Hortensia Maritza</t>
  </si>
  <si>
    <t>Luna Sandoval</t>
  </si>
  <si>
    <t>85277922</t>
  </si>
  <si>
    <t>000716</t>
  </si>
  <si>
    <t>SAN BOSCO</t>
  </si>
  <si>
    <t>0202070672</t>
  </si>
  <si>
    <t>ALVARADO PEREZ</t>
  </si>
  <si>
    <t>86856058</t>
  </si>
  <si>
    <t>000721</t>
  </si>
  <si>
    <t>0501650646</t>
  </si>
  <si>
    <t>63242319</t>
  </si>
  <si>
    <t>000701</t>
  </si>
  <si>
    <t>CANJEL</t>
  </si>
  <si>
    <t>100 METROS ESTE Y 100 METROS SUR DEL CRUCE A CANJELITO</t>
  </si>
  <si>
    <t>GARCIA ALVAREZ</t>
  </si>
  <si>
    <t>000702</t>
  </si>
  <si>
    <t>100 METROS ESTE Y 75 METROS SUR DEL CRUCE DE CANJELITO</t>
  </si>
  <si>
    <t>ILEGIBLE</t>
  </si>
  <si>
    <t>000703</t>
  </si>
  <si>
    <t>100 METROS ESTE 50 METROS SUR DEL CRUCE A CANJELITO</t>
  </si>
  <si>
    <t>ELVIRA</t>
  </si>
  <si>
    <t>ROSALES GOMEZ</t>
  </si>
  <si>
    <t>000714</t>
  </si>
  <si>
    <t>0900770849</t>
  </si>
  <si>
    <t>ROSALES BALTODANO</t>
  </si>
  <si>
    <t>84921933</t>
  </si>
  <si>
    <t>000719</t>
  </si>
  <si>
    <t>0504120195</t>
  </si>
  <si>
    <t>VERONICA</t>
  </si>
  <si>
    <t>BRAIS CORTES</t>
  </si>
  <si>
    <t>88391831</t>
  </si>
  <si>
    <t>000725</t>
  </si>
  <si>
    <t>PUERTO SAN PABLO</t>
  </si>
  <si>
    <t>ANTIGUO ATRACADERO PUERTO SAN PABLO</t>
  </si>
  <si>
    <t>0502590346</t>
  </si>
  <si>
    <t>CELIA</t>
  </si>
  <si>
    <t>DIAZ BATRES</t>
  </si>
  <si>
    <t>000726</t>
  </si>
  <si>
    <t>0500960110</t>
  </si>
  <si>
    <t>MARIA LUCIA</t>
  </si>
  <si>
    <t>BATRES BATRES</t>
  </si>
  <si>
    <t>000727</t>
  </si>
  <si>
    <t>0503640262</t>
  </si>
  <si>
    <t>CARLA VANESA</t>
  </si>
  <si>
    <t>GOMEZ DIAZ</t>
  </si>
  <si>
    <t>000728</t>
  </si>
  <si>
    <t>0111630602</t>
  </si>
  <si>
    <t>RUIZ JIMENEZ</t>
  </si>
  <si>
    <t>000729</t>
  </si>
  <si>
    <t>Cangelito</t>
  </si>
  <si>
    <t>0600430570</t>
  </si>
  <si>
    <t>Ugalde Baltodano</t>
  </si>
  <si>
    <t>60850557</t>
  </si>
  <si>
    <t>000736</t>
  </si>
  <si>
    <t>Pilas Canjel</t>
  </si>
  <si>
    <t xml:space="preserve">50m Sur puente pilas </t>
  </si>
  <si>
    <t>0502710924</t>
  </si>
  <si>
    <t xml:space="preserve">Roy </t>
  </si>
  <si>
    <t>Baltodano Salas</t>
  </si>
  <si>
    <t>62460726</t>
  </si>
  <si>
    <t>000737</t>
  </si>
  <si>
    <t xml:space="preserve">60m sur puente pilas </t>
  </si>
  <si>
    <t>0503080018</t>
  </si>
  <si>
    <t>Maria Teresa</t>
  </si>
  <si>
    <t>Baltodano Herrera</t>
  </si>
  <si>
    <t>87144637</t>
  </si>
  <si>
    <t>000738</t>
  </si>
  <si>
    <t xml:space="preserve">100m sur puente pilas de canjel </t>
  </si>
  <si>
    <t>0601380548</t>
  </si>
  <si>
    <t xml:space="preserve">Marcelino </t>
  </si>
  <si>
    <t xml:space="preserve">Baltodano Salas </t>
  </si>
  <si>
    <t>26508013</t>
  </si>
  <si>
    <t>000739</t>
  </si>
  <si>
    <t xml:space="preserve">Pilas canjel </t>
  </si>
  <si>
    <t xml:space="preserve">100 sur de puente pilas </t>
  </si>
  <si>
    <t>0900780696</t>
  </si>
  <si>
    <t xml:space="preserve">Luz Elena </t>
  </si>
  <si>
    <t xml:space="preserve">Brenes Villegas </t>
  </si>
  <si>
    <t>26508208</t>
  </si>
  <si>
    <t>000744</t>
  </si>
  <si>
    <t>0600860448</t>
  </si>
  <si>
    <t xml:space="preserve">Gilberto </t>
  </si>
  <si>
    <t>Perez Salas</t>
  </si>
  <si>
    <t>000745</t>
  </si>
  <si>
    <t>0502890528</t>
  </si>
  <si>
    <t>Lillian</t>
  </si>
  <si>
    <t>000746</t>
  </si>
  <si>
    <t>0800350088</t>
  </si>
  <si>
    <t xml:space="preserve">Rodolfo </t>
  </si>
  <si>
    <t>Marin Alvarez</t>
  </si>
  <si>
    <t>000747</t>
  </si>
  <si>
    <t>canjel</t>
  </si>
  <si>
    <t>100m Este , 50m sur  , cruce canjelito</t>
  </si>
  <si>
    <t>Estanislao</t>
  </si>
  <si>
    <t xml:space="preserve">Garcia </t>
  </si>
  <si>
    <t>000748</t>
  </si>
  <si>
    <t>100m este, 75m sur , cruce pulpe canjelito</t>
  </si>
  <si>
    <t>0600650390</t>
  </si>
  <si>
    <t>Rosales Gomez</t>
  </si>
  <si>
    <t>000749</t>
  </si>
  <si>
    <t>Canjel</t>
  </si>
  <si>
    <t>100m Este , cruce pulpe Canjelito</t>
  </si>
  <si>
    <t>0503360936</t>
  </si>
  <si>
    <t xml:space="preserve">Jeffry </t>
  </si>
  <si>
    <t>Valverde Rosales</t>
  </si>
  <si>
    <t>000750</t>
  </si>
  <si>
    <t>100m este , 50 sur , cruce pulpe canjelito</t>
  </si>
  <si>
    <t xml:space="preserve">Mercedes </t>
  </si>
  <si>
    <t>Palma</t>
  </si>
  <si>
    <t>000751</t>
  </si>
  <si>
    <t xml:space="preserve">Canjel </t>
  </si>
  <si>
    <t>0601790967</t>
  </si>
  <si>
    <t xml:space="preserve">Luis Roberto </t>
  </si>
  <si>
    <t>Montero Castrillo</t>
  </si>
  <si>
    <t>000752</t>
  </si>
  <si>
    <t>750m Norte cruce canjelito</t>
  </si>
  <si>
    <t xml:space="preserve">Jazmina </t>
  </si>
  <si>
    <t xml:space="preserve">Jimenes Palma </t>
  </si>
  <si>
    <t>001185</t>
  </si>
  <si>
    <t>DE LA BOMBA 50 MTS. ESTE</t>
  </si>
  <si>
    <t>0501780644</t>
  </si>
  <si>
    <t>MARIA DE LOS ÁNGELES</t>
  </si>
  <si>
    <t>GÓMEZ ORIO</t>
  </si>
  <si>
    <t>86044414</t>
  </si>
  <si>
    <t>002067</t>
  </si>
  <si>
    <t>0502880175</t>
  </si>
  <si>
    <t>Mora Rojas</t>
  </si>
  <si>
    <t>000713</t>
  </si>
  <si>
    <t>SANTA RITA</t>
  </si>
  <si>
    <t>400 METROS NORTE DE LA ESTACION DE BOMBEROS</t>
  </si>
  <si>
    <t>0109540358</t>
  </si>
  <si>
    <t>RUTH EUGENIA</t>
  </si>
  <si>
    <t>GONZLAEZ OVARES</t>
  </si>
  <si>
    <t>63638104</t>
  </si>
  <si>
    <t>000722</t>
  </si>
  <si>
    <t>DEL HIGUERON 50 METROS NORTE Y 300 METROS ESTE</t>
  </si>
  <si>
    <t>155816893528</t>
  </si>
  <si>
    <t>PEREZ BEJARANO</t>
  </si>
  <si>
    <t>61971516</t>
  </si>
  <si>
    <t>000723</t>
  </si>
  <si>
    <t>0501800333</t>
  </si>
  <si>
    <t>MARIA MAGDALENA</t>
  </si>
  <si>
    <t>ACOSTA SEQUEIRA</t>
  </si>
  <si>
    <t>89239073</t>
  </si>
  <si>
    <t>000724</t>
  </si>
  <si>
    <t>0502640840</t>
  </si>
  <si>
    <t>SOBEIDA</t>
  </si>
  <si>
    <t>PEREZ MONTIEL</t>
  </si>
  <si>
    <t>88476210</t>
  </si>
  <si>
    <t>000718</t>
  </si>
  <si>
    <t>200 METROS ESTE, ANTES DE LA PLAZA</t>
  </si>
  <si>
    <t>0503030704</t>
  </si>
  <si>
    <t>ALBER</t>
  </si>
  <si>
    <t>MOLINA RANGEL</t>
  </si>
  <si>
    <t>86067804</t>
  </si>
  <si>
    <t>000735</t>
  </si>
  <si>
    <t xml:space="preserve">La Soledad </t>
  </si>
  <si>
    <t>0501010033</t>
  </si>
  <si>
    <t xml:space="preserve">Ramon </t>
  </si>
  <si>
    <t xml:space="preserve">Cruz Barrantes </t>
  </si>
  <si>
    <t>000740</t>
  </si>
  <si>
    <t>0501430429</t>
  </si>
  <si>
    <t>Diego Estanislao</t>
  </si>
  <si>
    <t>Aguirre Aguirre</t>
  </si>
  <si>
    <t>86644743</t>
  </si>
  <si>
    <t>000743</t>
  </si>
  <si>
    <t>0501080833</t>
  </si>
  <si>
    <t>Cristobalino</t>
  </si>
  <si>
    <t>Montiel Torres</t>
  </si>
  <si>
    <t>86394169</t>
  </si>
  <si>
    <t>002065</t>
  </si>
  <si>
    <t>75 Oeste de la Plaza de Deportes</t>
  </si>
  <si>
    <t>0503770607</t>
  </si>
  <si>
    <t xml:space="preserve">Jorge Arturo </t>
  </si>
  <si>
    <t>Espinoza Hernandez</t>
  </si>
  <si>
    <t>002066</t>
  </si>
  <si>
    <t>Cruz</t>
  </si>
  <si>
    <t>83850602</t>
  </si>
  <si>
    <t>001210</t>
  </si>
  <si>
    <t xml:space="preserve">RIO CAÑAS </t>
  </si>
  <si>
    <t xml:space="preserve">100 ESTE DE LA PLAZA </t>
  </si>
  <si>
    <t>0502020909</t>
  </si>
  <si>
    <t xml:space="preserve">ERAIDA ISABEL </t>
  </si>
  <si>
    <t xml:space="preserve">CHAVARRIA CHAVARRIA </t>
  </si>
  <si>
    <t>50202090</t>
  </si>
  <si>
    <t>001763</t>
  </si>
  <si>
    <t xml:space="preserve">LA EMPANADA </t>
  </si>
  <si>
    <t>ATRAS DE LA PANADERIA IZA</t>
  </si>
  <si>
    <t>5011505030</t>
  </si>
  <si>
    <t xml:space="preserve">MARIO MACEDONIO </t>
  </si>
  <si>
    <t xml:space="preserve">MATARRITA </t>
  </si>
  <si>
    <t>85451822</t>
  </si>
  <si>
    <t>001770</t>
  </si>
  <si>
    <t>0502000342</t>
  </si>
  <si>
    <t>ANGEL SECUNDINO</t>
  </si>
  <si>
    <t>61768151</t>
  </si>
  <si>
    <t>001771</t>
  </si>
  <si>
    <t>NOSARA</t>
  </si>
  <si>
    <t>DE LA PLAZA DE DEPORTES 200 METROS ESTE</t>
  </si>
  <si>
    <t>0501920784</t>
  </si>
  <si>
    <t xml:space="preserve">VICTORIANO </t>
  </si>
  <si>
    <t>BERNAL GONZALEZ</t>
  </si>
  <si>
    <t>89705188</t>
  </si>
  <si>
    <t>001772</t>
  </si>
  <si>
    <t>250 METROS DE LA PLAZA DE FUTBOL</t>
  </si>
  <si>
    <t>0502330948</t>
  </si>
  <si>
    <t>MARITA</t>
  </si>
  <si>
    <t>RIOS CASTILLO</t>
  </si>
  <si>
    <t>84780315</t>
  </si>
  <si>
    <t>001773</t>
  </si>
  <si>
    <t>250 METROS ESTE</t>
  </si>
  <si>
    <t>0501700247</t>
  </si>
  <si>
    <t>AIDA LUZ</t>
  </si>
  <si>
    <t>86321083</t>
  </si>
  <si>
    <t>001774</t>
  </si>
  <si>
    <t>NOSARA CENTRO</t>
  </si>
  <si>
    <t>DIAGONAL BAMBU BAR</t>
  </si>
  <si>
    <t>0111180453</t>
  </si>
  <si>
    <t>KEMBLY</t>
  </si>
  <si>
    <t>GUEVARA GOMEZ</t>
  </si>
  <si>
    <t>63279240</t>
  </si>
  <si>
    <t>001776</t>
  </si>
  <si>
    <t>HOLLYWOOD</t>
  </si>
  <si>
    <t>200 METROS NOROESTE DE LA PLAZA DE DEPORTES</t>
  </si>
  <si>
    <t>155820481315</t>
  </si>
  <si>
    <t>JOSE A</t>
  </si>
  <si>
    <t>REYES DIAZ</t>
  </si>
  <si>
    <t>88470999</t>
  </si>
  <si>
    <t>001777</t>
  </si>
  <si>
    <t>LA ESPERANZA</t>
  </si>
  <si>
    <t>800 METROS NORTE ESCUELA LA ESPERANZA LAS VIVIENDAS</t>
  </si>
  <si>
    <t>0501430771</t>
  </si>
  <si>
    <t xml:space="preserve">MARIO DE LOS ANGELES </t>
  </si>
  <si>
    <t>LOPEZ</t>
  </si>
  <si>
    <t>87784460</t>
  </si>
  <si>
    <t>001778</t>
  </si>
  <si>
    <t>RESTAURANTE EL BAMBU 500 METROS NOROESTE</t>
  </si>
  <si>
    <t>C-01916425</t>
  </si>
  <si>
    <t>IRENE</t>
  </si>
  <si>
    <t>GOMEZ ACUÑA</t>
  </si>
  <si>
    <t>60309785</t>
  </si>
  <si>
    <t>001779</t>
  </si>
  <si>
    <t>DEL BAR BAMBU 500 METROS OESTE</t>
  </si>
  <si>
    <t>155823513520</t>
  </si>
  <si>
    <t>MARISEL</t>
  </si>
  <si>
    <t>60453456</t>
  </si>
  <si>
    <t>001780</t>
  </si>
  <si>
    <t>100 METROS ESTE PLAZA DE DEPORTES</t>
  </si>
  <si>
    <t>0503350241</t>
  </si>
  <si>
    <t>VILLAREAL SANABRIA</t>
  </si>
  <si>
    <t>83702200</t>
  </si>
  <si>
    <t>001781</t>
  </si>
  <si>
    <t>LAS VIVIENDAS</t>
  </si>
  <si>
    <t>800 METROS NORTE ESCUELA LA ESPERANZA</t>
  </si>
  <si>
    <t>0503600089</t>
  </si>
  <si>
    <t>REBECA</t>
  </si>
  <si>
    <t>84978140</t>
  </si>
  <si>
    <t>001782</t>
  </si>
  <si>
    <t>800 METROS ESTE ESCUELA LA ESPERANZA</t>
  </si>
  <si>
    <t>0503860213</t>
  </si>
  <si>
    <t>JESSICA ARELYS</t>
  </si>
  <si>
    <t>ORIBE LOPEZ</t>
  </si>
  <si>
    <t>88587103</t>
  </si>
  <si>
    <t>001783</t>
  </si>
  <si>
    <t>750 METROS ESTE ESCUELA LA ESPERANZA</t>
  </si>
  <si>
    <t>0900800420</t>
  </si>
  <si>
    <t>GERONIMO</t>
  </si>
  <si>
    <t>86885265</t>
  </si>
  <si>
    <t>001784</t>
  </si>
  <si>
    <t>300 METROS OESTE DEL BAR EL BAMBU</t>
  </si>
  <si>
    <t>155817094404</t>
  </si>
  <si>
    <t>DARLIN</t>
  </si>
  <si>
    <t>LORENZO DIAZ</t>
  </si>
  <si>
    <t>63222182</t>
  </si>
  <si>
    <t>001785</t>
  </si>
  <si>
    <t>PLAZA DEPORTES 200 METROS ESTE</t>
  </si>
  <si>
    <t>0602280890</t>
  </si>
  <si>
    <t>MARILIN</t>
  </si>
  <si>
    <t>ESPINOZA MATARRITA</t>
  </si>
  <si>
    <t>86239488</t>
  </si>
  <si>
    <t>001786</t>
  </si>
  <si>
    <t>300 METROS AL OESTE DEL BAR BAMBU</t>
  </si>
  <si>
    <t>0701740186</t>
  </si>
  <si>
    <t>KEYLIN ALEJANDRA</t>
  </si>
  <si>
    <t>89327441</t>
  </si>
  <si>
    <t>001787</t>
  </si>
  <si>
    <t>200 METROS NORTE DEL BAR EL BAMBU</t>
  </si>
  <si>
    <t>C-533474</t>
  </si>
  <si>
    <t>YAROT ALEJANDRO</t>
  </si>
  <si>
    <t>DAVILA</t>
  </si>
  <si>
    <t>83383045</t>
  </si>
  <si>
    <t>001788</t>
  </si>
  <si>
    <t>200 METROS ESTE PLAZA DE DEPORTES</t>
  </si>
  <si>
    <t>0504250510</t>
  </si>
  <si>
    <t>JUSTIN</t>
  </si>
  <si>
    <t>001789</t>
  </si>
  <si>
    <t>250 METROS DE LA PLAZA AL ESTE</t>
  </si>
  <si>
    <t>0501350868</t>
  </si>
  <si>
    <t>EMELDA</t>
  </si>
  <si>
    <t>MATARRITA RODRIGUEZ</t>
  </si>
  <si>
    <t>88611297</t>
  </si>
  <si>
    <t>001790</t>
  </si>
  <si>
    <t>LA ESPERANZA SUR</t>
  </si>
  <si>
    <t>100 METROS Y 50 ESTE ESCUELA LA ESPERANZA</t>
  </si>
  <si>
    <t>0502730315</t>
  </si>
  <si>
    <t>SONIA ELIZABETH</t>
  </si>
  <si>
    <t>MATARRITA R</t>
  </si>
  <si>
    <t>87102445</t>
  </si>
  <si>
    <t>001791</t>
  </si>
  <si>
    <t>ESCUELA LA ESPERANZA 100 METROS NORTE</t>
  </si>
  <si>
    <t>0504200968</t>
  </si>
  <si>
    <t>MARIA VALERIA</t>
  </si>
  <si>
    <t>MORENO MENDEZ</t>
  </si>
  <si>
    <t>83392395</t>
  </si>
  <si>
    <t>001792</t>
  </si>
  <si>
    <t>100 METROS NORTE Y 50 OESTE DE LA ESCUELA LA ESPERANZA</t>
  </si>
  <si>
    <t>0113650740</t>
  </si>
  <si>
    <t>KAROL TATIANA</t>
  </si>
  <si>
    <t>MORALES MATARRITA</t>
  </si>
  <si>
    <t>83728496</t>
  </si>
  <si>
    <t>001793</t>
  </si>
  <si>
    <t>300 METROS ESTE DEL BAR BAMBU</t>
  </si>
  <si>
    <t>155805444305</t>
  </si>
  <si>
    <t>ERVIN SAUL</t>
  </si>
  <si>
    <t>CANO JIMENEZ</t>
  </si>
  <si>
    <t>001794</t>
  </si>
  <si>
    <t>DE LA ESCUELA LA ESPERANZA 100 MTS NORTE</t>
  </si>
  <si>
    <t>0501840273</t>
  </si>
  <si>
    <t>MENDEZ LOPEZ</t>
  </si>
  <si>
    <t>001820</t>
  </si>
  <si>
    <t>DE LA PLAZA DE FUTBOL 300 M AL ESTE MARGEN IZQUIERDO</t>
  </si>
  <si>
    <t>122200136014</t>
  </si>
  <si>
    <t>MARCO</t>
  </si>
  <si>
    <t>ESCOTO EUCEDA</t>
  </si>
  <si>
    <t>86562391</t>
  </si>
  <si>
    <t>001821</t>
  </si>
  <si>
    <t>HOLYWOOD</t>
  </si>
  <si>
    <t>DEL BAR BAMBU 600 M NORTE</t>
  </si>
  <si>
    <t>0502730599</t>
  </si>
  <si>
    <t>JOHNY</t>
  </si>
  <si>
    <t>SANCHEZ SANCHEZ</t>
  </si>
  <si>
    <t>86910748</t>
  </si>
  <si>
    <t>001857</t>
  </si>
  <si>
    <t>Esperanza</t>
  </si>
  <si>
    <t>100 sur de la escuela de esperanza, al margen derecho</t>
  </si>
  <si>
    <t>0503990187</t>
  </si>
  <si>
    <t>Matarrita Mendoza</t>
  </si>
  <si>
    <t>63878663</t>
  </si>
  <si>
    <t>001858</t>
  </si>
  <si>
    <t>100 sur de la escuela, al margen derecho</t>
  </si>
  <si>
    <t>0702010699</t>
  </si>
  <si>
    <t>Yurgen</t>
  </si>
  <si>
    <t>Arias Cascante</t>
  </si>
  <si>
    <t>86671082</t>
  </si>
  <si>
    <t>001859</t>
  </si>
  <si>
    <t>100 sur de la escuela. Al margen derecho</t>
  </si>
  <si>
    <t>0504060647</t>
  </si>
  <si>
    <t>Olga Marta</t>
  </si>
  <si>
    <t>Moreno Mendoza</t>
  </si>
  <si>
    <t>85243546</t>
  </si>
  <si>
    <t>001860</t>
  </si>
  <si>
    <t>800 m sur de la escuela La esperanza, al margen derecho</t>
  </si>
  <si>
    <t>0503350527</t>
  </si>
  <si>
    <t>María Isabel</t>
  </si>
  <si>
    <t>López Ruiza</t>
  </si>
  <si>
    <t>83793194</t>
  </si>
  <si>
    <t>001861</t>
  </si>
  <si>
    <t>Hollywood</t>
  </si>
  <si>
    <t>Del bar Bambú 600 m norte, al final de la calle contiguo al río Nosara</t>
  </si>
  <si>
    <t>0204980052</t>
  </si>
  <si>
    <t>Ramírez Loría</t>
  </si>
  <si>
    <t>60672005</t>
  </si>
  <si>
    <t>001862</t>
  </si>
  <si>
    <t>0202690191</t>
  </si>
  <si>
    <t>Alvaro</t>
  </si>
  <si>
    <t>Arias Rivera</t>
  </si>
  <si>
    <t>86486697</t>
  </si>
  <si>
    <t>001863</t>
  </si>
  <si>
    <t>Del bar Bambú, 600 m norte al final de la calle</t>
  </si>
  <si>
    <t>0603700002</t>
  </si>
  <si>
    <t>Serrano Mendoza</t>
  </si>
  <si>
    <t>85728255</t>
  </si>
  <si>
    <t>001864</t>
  </si>
  <si>
    <t>Del bar Bambú, 600 m norte, al final de la calle.</t>
  </si>
  <si>
    <t>0502880289</t>
  </si>
  <si>
    <t>María Eugenia</t>
  </si>
  <si>
    <t>Villareal Snabria</t>
  </si>
  <si>
    <t>86515081</t>
  </si>
  <si>
    <t>001865</t>
  </si>
  <si>
    <t>Del bar Bambú, 600 m norte, al final de la calle</t>
  </si>
  <si>
    <t>0702610604</t>
  </si>
  <si>
    <t>Angie Rebeca</t>
  </si>
  <si>
    <t>Serrano Herrera</t>
  </si>
  <si>
    <t>001866</t>
  </si>
  <si>
    <t>Del bar el Bambú, 600m norte, al margen izquierdo</t>
  </si>
  <si>
    <t>0504160617</t>
  </si>
  <si>
    <t>Marlen Patricia</t>
  </si>
  <si>
    <t>Avilés Villareal</t>
  </si>
  <si>
    <t>62447086</t>
  </si>
  <si>
    <t>001867</t>
  </si>
  <si>
    <t>Del bar Bambú, 600m norte, al final de la calle.</t>
  </si>
  <si>
    <t>0503990016</t>
  </si>
  <si>
    <t>Marcos Andrés</t>
  </si>
  <si>
    <t>Porras Torres</t>
  </si>
  <si>
    <t>60749901</t>
  </si>
  <si>
    <t>001868</t>
  </si>
  <si>
    <t>del bar bambú, 600m norte</t>
  </si>
  <si>
    <t>0701310366</t>
  </si>
  <si>
    <t>Sandro</t>
  </si>
  <si>
    <t>Arias Alfaro</t>
  </si>
  <si>
    <t>83065901</t>
  </si>
  <si>
    <t>001869</t>
  </si>
  <si>
    <t>Del bar bambú, 600m norte</t>
  </si>
  <si>
    <t>C01443221</t>
  </si>
  <si>
    <t>Lázaro Antonio</t>
  </si>
  <si>
    <t>Potosme Chávez</t>
  </si>
  <si>
    <t>64782202</t>
  </si>
  <si>
    <t>001870</t>
  </si>
  <si>
    <t>del bar bambú, 600m norte.</t>
  </si>
  <si>
    <t>0602330293</t>
  </si>
  <si>
    <t>Zúñiga García</t>
  </si>
  <si>
    <t>86344878</t>
  </si>
  <si>
    <t>001871</t>
  </si>
  <si>
    <t>Del bar Bambú, 600m norte</t>
  </si>
  <si>
    <t>0203730951</t>
  </si>
  <si>
    <t>Oporta Lanza</t>
  </si>
  <si>
    <t>85893499</t>
  </si>
  <si>
    <t>001872</t>
  </si>
  <si>
    <t>Del Bar Bambú, 600m norte.</t>
  </si>
  <si>
    <t>155813103914</t>
  </si>
  <si>
    <t>Francisco José</t>
  </si>
  <si>
    <t>Chávez Obando</t>
  </si>
  <si>
    <t>72586668</t>
  </si>
  <si>
    <t>01939688</t>
  </si>
  <si>
    <t>Estefany Michell</t>
  </si>
  <si>
    <t>Palacios Hernández</t>
  </si>
  <si>
    <t>001873</t>
  </si>
  <si>
    <t>200 noroeste de la plaza de fútbol, al margen derecho. Frente panadería IZA</t>
  </si>
  <si>
    <t>0113170804</t>
  </si>
  <si>
    <t>Cinthya</t>
  </si>
  <si>
    <t>Rosales López</t>
  </si>
  <si>
    <t>86068903</t>
  </si>
  <si>
    <t>001874</t>
  </si>
  <si>
    <t>200m noroeste de la plaza de fútbol. frente a panadería IZA</t>
  </si>
  <si>
    <t>0503260005</t>
  </si>
  <si>
    <t>Fernández López</t>
  </si>
  <si>
    <t>85166069</t>
  </si>
  <si>
    <t>001875</t>
  </si>
  <si>
    <t>De la panadería IZA 50m norte, casa color azul, esquinera</t>
  </si>
  <si>
    <t>0501540257</t>
  </si>
  <si>
    <t>Zúñiga Zúñiga</t>
  </si>
  <si>
    <t>85826703</t>
  </si>
  <si>
    <t>001876</t>
  </si>
  <si>
    <t>De la panadería IZA, 50m norte al margen izquierdo</t>
  </si>
  <si>
    <t>0503980149</t>
  </si>
  <si>
    <t>Ruiz Avilés</t>
  </si>
  <si>
    <t>60182864</t>
  </si>
  <si>
    <t>001877</t>
  </si>
  <si>
    <t>De la panadería IZA 50 al norte.</t>
  </si>
  <si>
    <t>155816290236</t>
  </si>
  <si>
    <t>maría Magdalena</t>
  </si>
  <si>
    <t>Merlo Baldelomar</t>
  </si>
  <si>
    <t>86887993</t>
  </si>
  <si>
    <t>001878</t>
  </si>
  <si>
    <t>Del bar Bambú 200m este, calle de cementerio.</t>
  </si>
  <si>
    <t>155802755220</t>
  </si>
  <si>
    <t xml:space="preserve">Pablo </t>
  </si>
  <si>
    <t>Barba Martínez</t>
  </si>
  <si>
    <t>83433873</t>
  </si>
  <si>
    <t>001879</t>
  </si>
  <si>
    <t>De la plaza de fútbol, 200 ese, calle de cementerio.</t>
  </si>
  <si>
    <t>0503350134</t>
  </si>
  <si>
    <t>Yurant eduardo</t>
  </si>
  <si>
    <t>Ruiz Arrieta</t>
  </si>
  <si>
    <t>86347542</t>
  </si>
  <si>
    <t>001880</t>
  </si>
  <si>
    <t>De la plaza de fútbol, 200 norte, al margen izquierdo</t>
  </si>
  <si>
    <t>C02103860</t>
  </si>
  <si>
    <t>Gómez Trañas</t>
  </si>
  <si>
    <t>86381364</t>
  </si>
  <si>
    <t>001881</t>
  </si>
  <si>
    <t>Contiguo a la pandería ISA</t>
  </si>
  <si>
    <t>155815252402</t>
  </si>
  <si>
    <t>José Domingo</t>
  </si>
  <si>
    <t>Varela Merlo</t>
  </si>
  <si>
    <t>60371666</t>
  </si>
  <si>
    <t>002085</t>
  </si>
  <si>
    <t>HOLLYWOD</t>
  </si>
  <si>
    <t xml:space="preserve">DEL BAR EL BAMBU 600 METROS NORTE </t>
  </si>
  <si>
    <t>155802507230</t>
  </si>
  <si>
    <t>ERICK JOSE</t>
  </si>
  <si>
    <t>PAVON AMPIE</t>
  </si>
  <si>
    <t>61701574</t>
  </si>
  <si>
    <t>001173</t>
  </si>
  <si>
    <t>TORITO</t>
  </si>
  <si>
    <t>100 MTS ESTE DE LA PLAZA TORITO</t>
  </si>
  <si>
    <t>26560782</t>
  </si>
  <si>
    <t>001174</t>
  </si>
  <si>
    <t>75 MTS ESTE DE LA PLAZA DEPORTES</t>
  </si>
  <si>
    <t>0501930580</t>
  </si>
  <si>
    <t xml:space="preserve">JOEL </t>
  </si>
  <si>
    <t>GIRON PÉREZ</t>
  </si>
  <si>
    <t>83104530</t>
  </si>
  <si>
    <t>001175</t>
  </si>
  <si>
    <t>100MTS OESTE PLAZA DEPORTES SÁMARA</t>
  </si>
  <si>
    <t>0701090894</t>
  </si>
  <si>
    <t xml:space="preserve">DIDIER </t>
  </si>
  <si>
    <t>CABALLERO GONZALEZ</t>
  </si>
  <si>
    <t>84876500</t>
  </si>
  <si>
    <t>001176</t>
  </si>
  <si>
    <t>75 MTS ESTE PLAZA DEPORTES</t>
  </si>
  <si>
    <t>0503740300</t>
  </si>
  <si>
    <t>KEILA</t>
  </si>
  <si>
    <t>PÉREZ VALENCIA</t>
  </si>
  <si>
    <t>85110549</t>
  </si>
  <si>
    <t>001177</t>
  </si>
  <si>
    <t>EL TORITO</t>
  </si>
  <si>
    <t>150MTS OESTE PLAZA DEPORTES TORITO</t>
  </si>
  <si>
    <t>0502910118</t>
  </si>
  <si>
    <t>JOSÉ ELIECER</t>
  </si>
  <si>
    <t>VALENCIA CARRILLO</t>
  </si>
  <si>
    <t>61869107</t>
  </si>
  <si>
    <t>001178</t>
  </si>
  <si>
    <t>150 MTS. OESTE DE PLAZA DE DEPORTES</t>
  </si>
  <si>
    <t>0502770197</t>
  </si>
  <si>
    <t>AVILES RANGEL</t>
  </si>
  <si>
    <t>86721277</t>
  </si>
  <si>
    <t>001179</t>
  </si>
  <si>
    <t>150 MTS. OESTE PLAZA DEPORTES</t>
  </si>
  <si>
    <t>0501430817</t>
  </si>
  <si>
    <t>SANTOS</t>
  </si>
  <si>
    <t>VALENCIA CORTES</t>
  </si>
  <si>
    <t>60997623</t>
  </si>
  <si>
    <t>001180</t>
  </si>
  <si>
    <t>150 MTS LA PLAZA DEPORTES</t>
  </si>
  <si>
    <t>LEONEL CASTRILLO GUERRERO</t>
  </si>
  <si>
    <t>61517694</t>
  </si>
  <si>
    <t>001520</t>
  </si>
  <si>
    <t>100 MTS ESTE DE LA PLAZA DE TORITO</t>
  </si>
  <si>
    <t>0502630020</t>
  </si>
  <si>
    <t>SANCHEZ GARCIA</t>
  </si>
  <si>
    <t>60766179</t>
  </si>
  <si>
    <t>001182</t>
  </si>
  <si>
    <t>PUERTO HUMO</t>
  </si>
  <si>
    <t>75 MTS SURESTE DEL SALÓN COMUNAL</t>
  </si>
  <si>
    <t>0502530799</t>
  </si>
  <si>
    <t>DIDIER</t>
  </si>
  <si>
    <t>CASTRILLO GUERRERO</t>
  </si>
  <si>
    <t>001186</t>
  </si>
  <si>
    <t>DIAGONAL AL SALON COMUNAL</t>
  </si>
  <si>
    <t>0500490295</t>
  </si>
  <si>
    <t>MARÍA</t>
  </si>
  <si>
    <t>URIETA NESTOSA</t>
  </si>
  <si>
    <t>88710965</t>
  </si>
  <si>
    <t>001187</t>
  </si>
  <si>
    <t xml:space="preserve">COSTADO NORTE PLAZA DE DEPORTES </t>
  </si>
  <si>
    <t>5013107140</t>
  </si>
  <si>
    <t xml:space="preserve">MARIA  ANAIS </t>
  </si>
  <si>
    <t xml:space="preserve">BRICEÑO MATARRITA </t>
  </si>
  <si>
    <t>26987767</t>
  </si>
  <si>
    <t>001188</t>
  </si>
  <si>
    <t xml:space="preserve">PTO HUMO </t>
  </si>
  <si>
    <t xml:space="preserve">25 MTS AL NORTE DEL SALÓN COMUNAL </t>
  </si>
  <si>
    <t>5020400760</t>
  </si>
  <si>
    <t xml:space="preserve">MARIA EMILIA </t>
  </si>
  <si>
    <t xml:space="preserve">MATARRITA URIETA </t>
  </si>
  <si>
    <t>88891430</t>
  </si>
  <si>
    <t>001189</t>
  </si>
  <si>
    <t xml:space="preserve">COSTADO NORTE DEL REDONDEL </t>
  </si>
  <si>
    <t>4014807120</t>
  </si>
  <si>
    <t xml:space="preserve">MARYORIE </t>
  </si>
  <si>
    <t xml:space="preserve">CHACÓN HERNÁNDEZ </t>
  </si>
  <si>
    <t>89060661</t>
  </si>
  <si>
    <t>001190</t>
  </si>
  <si>
    <t>PTO HUMO</t>
  </si>
  <si>
    <t xml:space="preserve">50 MTS AL ESTE DEL REDONDEL </t>
  </si>
  <si>
    <t>155804095720</t>
  </si>
  <si>
    <t>PEDRO CELESTINO</t>
  </si>
  <si>
    <t>CASCO MORAZAN</t>
  </si>
  <si>
    <t>89542289</t>
  </si>
  <si>
    <t>001191</t>
  </si>
  <si>
    <t xml:space="preserve">25 OESTE DEL SALÓN COMUNAL </t>
  </si>
  <si>
    <t>5014112950</t>
  </si>
  <si>
    <t xml:space="preserve">ISRAEL </t>
  </si>
  <si>
    <t xml:space="preserve">CARRERA FONSECA </t>
  </si>
  <si>
    <t>86388877</t>
  </si>
  <si>
    <t>001192</t>
  </si>
  <si>
    <t>5016708950</t>
  </si>
  <si>
    <t xml:space="preserve">SERMIRA </t>
  </si>
  <si>
    <t xml:space="preserve">MATARRITA MATARRITA </t>
  </si>
  <si>
    <t>26981003</t>
  </si>
  <si>
    <t>001193</t>
  </si>
  <si>
    <t xml:space="preserve">PTO </t>
  </si>
  <si>
    <t xml:space="preserve">75 OESTE DE LA ESCUELA DE PTO HUMO </t>
  </si>
  <si>
    <t>5031303490</t>
  </si>
  <si>
    <t xml:space="preserve">YARITZA </t>
  </si>
  <si>
    <t xml:space="preserve">URIETA CARRILLO </t>
  </si>
  <si>
    <t>84395718</t>
  </si>
  <si>
    <t>001194</t>
  </si>
  <si>
    <t xml:space="preserve">COSTADO NORTE PLAZA DEPORTE PTO HUMO </t>
  </si>
  <si>
    <t>5035400940</t>
  </si>
  <si>
    <t xml:space="preserve">MARINETH </t>
  </si>
  <si>
    <t xml:space="preserve">CASTILLO URIETA </t>
  </si>
  <si>
    <t>001195</t>
  </si>
  <si>
    <t xml:space="preserve">FRENTE REDONDEL DE PTO HUMO </t>
  </si>
  <si>
    <t>5012405840</t>
  </si>
  <si>
    <t xml:space="preserve">LIDIETH </t>
  </si>
  <si>
    <t xml:space="preserve">FONSECA CORTES </t>
  </si>
  <si>
    <t>88283008</t>
  </si>
  <si>
    <t>001196</t>
  </si>
  <si>
    <t xml:space="preserve">RIO CAÑAS VIEJO </t>
  </si>
  <si>
    <t xml:space="preserve">75 NORTE DE LA PLAZA FRENTE TANQUE AYA </t>
  </si>
  <si>
    <t>5010105750</t>
  </si>
  <si>
    <t xml:space="preserve">ALCIBIADES </t>
  </si>
  <si>
    <t xml:space="preserve">PERAZA BUSTOS </t>
  </si>
  <si>
    <t>84689070</t>
  </si>
  <si>
    <t>001197</t>
  </si>
  <si>
    <t xml:space="preserve">100 ESTE PLAZA DEPORTES </t>
  </si>
  <si>
    <t>5007506250</t>
  </si>
  <si>
    <t xml:space="preserve">MAXIMILIANO </t>
  </si>
  <si>
    <t xml:space="preserve">MENDOZA GÓMEZ </t>
  </si>
  <si>
    <t>84841520</t>
  </si>
  <si>
    <t>001198</t>
  </si>
  <si>
    <t xml:space="preserve">100ESTE PALZA DE DEPORTES </t>
  </si>
  <si>
    <t>5022307440</t>
  </si>
  <si>
    <t xml:space="preserve">ANA MARYORIE </t>
  </si>
  <si>
    <t xml:space="preserve">MENDOZA CHAVARRÍA </t>
  </si>
  <si>
    <t>001163</t>
  </si>
  <si>
    <t>800 OESTE DE LA CCSS</t>
  </si>
  <si>
    <t>155824818012</t>
  </si>
  <si>
    <t>ARACELI DEL CARMEN</t>
  </si>
  <si>
    <t>LÓPEZ SANDOVAL</t>
  </si>
  <si>
    <t>83285496</t>
  </si>
  <si>
    <t>1164</t>
  </si>
  <si>
    <t>500 MTS ESTE DEL PUENTE RIO CAÑAS</t>
  </si>
  <si>
    <t>0534108400</t>
  </si>
  <si>
    <t xml:space="preserve">HENRY </t>
  </si>
  <si>
    <t>MENDOZA ESPINOZA</t>
  </si>
  <si>
    <t>84668112</t>
  </si>
  <si>
    <t>001165</t>
  </si>
  <si>
    <t>RIO CAÑAS VIEJO</t>
  </si>
  <si>
    <t>RIO CAÑAS VIEJO 75 MES SUR</t>
  </si>
  <si>
    <t>0513917300</t>
  </si>
  <si>
    <t>SIDAR</t>
  </si>
  <si>
    <t>MONTES MONTES</t>
  </si>
  <si>
    <t>001169</t>
  </si>
  <si>
    <t>75 MTS SURESTE ANTES DEL PUENTE DE RIO CAÑAS</t>
  </si>
  <si>
    <t>0500800934</t>
  </si>
  <si>
    <t>CANDIDA</t>
  </si>
  <si>
    <t>LARA LARA</t>
  </si>
  <si>
    <t>87595684</t>
  </si>
  <si>
    <t>001170</t>
  </si>
  <si>
    <t>600 MTS OESTEDE LA ANTIGUA MUNICIPALIDAD</t>
  </si>
  <si>
    <t>0503980314</t>
  </si>
  <si>
    <t>LESLY MARIELA</t>
  </si>
  <si>
    <t>BUZANO GUIDO</t>
  </si>
  <si>
    <t>85268822</t>
  </si>
  <si>
    <t>1171</t>
  </si>
  <si>
    <t>600 MTS OESTE MUNICIPALIDAD SANTA CRUZ</t>
  </si>
  <si>
    <t>0700970431</t>
  </si>
  <si>
    <t xml:space="preserve">LIEDIETH </t>
  </si>
  <si>
    <t>GUTIERREZ ARROYO</t>
  </si>
  <si>
    <t>001172</t>
  </si>
  <si>
    <t>600 MTS OESTE MUNICIPALIDAD SANTA CRUZ.</t>
  </si>
  <si>
    <t>0501090996</t>
  </si>
  <si>
    <t>MARÍA PAULA</t>
  </si>
  <si>
    <t>GÓMEZ GÓMEZ</t>
  </si>
  <si>
    <t>86867821</t>
  </si>
  <si>
    <t>001199</t>
  </si>
  <si>
    <t xml:space="preserve">100ESTE PLAZA RIO CAÑS VIEJO </t>
  </si>
  <si>
    <t>5016402590</t>
  </si>
  <si>
    <t xml:space="preserve">GLADIS </t>
  </si>
  <si>
    <t>CHAVARRIA CHAVARRIA</t>
  </si>
  <si>
    <t>86221556</t>
  </si>
  <si>
    <t>001202</t>
  </si>
  <si>
    <t xml:space="preserve">GUAYABAL </t>
  </si>
  <si>
    <t xml:space="preserve">ESCUELA GUAYABAL 225 NORTE </t>
  </si>
  <si>
    <t>5040502210</t>
  </si>
  <si>
    <t xml:space="preserve">SUGEYDI </t>
  </si>
  <si>
    <t xml:space="preserve">GÓMEZ&lt; CARRANZA </t>
  </si>
  <si>
    <t>72115181</t>
  </si>
  <si>
    <t>001203</t>
  </si>
  <si>
    <t xml:space="preserve">100 NOROESTE DEL COLE TP GUAYABAL </t>
  </si>
  <si>
    <t>5018006460</t>
  </si>
  <si>
    <t xml:space="preserve">ANA GUISELLE </t>
  </si>
  <si>
    <t xml:space="preserve">GUTIERREZ GARCÍA </t>
  </si>
  <si>
    <t>87039552</t>
  </si>
  <si>
    <t>001204</t>
  </si>
  <si>
    <t xml:space="preserve">150 NORTE DE LA ESCUELA </t>
  </si>
  <si>
    <t>5028601950</t>
  </si>
  <si>
    <t>GUIDO ZUÑIGA</t>
  </si>
  <si>
    <t>60131563</t>
  </si>
  <si>
    <t>001205</t>
  </si>
  <si>
    <t xml:space="preserve">40OESTE CTP GUAYABAL </t>
  </si>
  <si>
    <t>5015804450</t>
  </si>
  <si>
    <t xml:space="preserve">MOLINA GÓMEZ </t>
  </si>
  <si>
    <t>74680555</t>
  </si>
  <si>
    <t>001206</t>
  </si>
  <si>
    <t xml:space="preserve">FRENTE LANTERA COSTADO OESTE ESCUELA GUAYABAL </t>
  </si>
  <si>
    <t>0503680757</t>
  </si>
  <si>
    <t>KARLA IVANA</t>
  </si>
  <si>
    <t>AGUILAR AGUILAR</t>
  </si>
  <si>
    <t>26805075</t>
  </si>
  <si>
    <t>001207</t>
  </si>
  <si>
    <t xml:space="preserve">DE LA ESCUELA 225 NORTE </t>
  </si>
  <si>
    <t>0503020387</t>
  </si>
  <si>
    <t>CARRANZA GUIDO</t>
  </si>
  <si>
    <t>26805054</t>
  </si>
  <si>
    <t>001208</t>
  </si>
  <si>
    <t xml:space="preserve">FRENTE A COLEGIO DE GUAYABAL </t>
  </si>
  <si>
    <t>7023205880</t>
  </si>
  <si>
    <t xml:space="preserve">NORMA </t>
  </si>
  <si>
    <t xml:space="preserve">ZAMORA ALVARENGO </t>
  </si>
  <si>
    <t>001209</t>
  </si>
  <si>
    <t xml:space="preserve">100 NORTE DEL CTP GUAYABAL </t>
  </si>
  <si>
    <t>5018109490</t>
  </si>
  <si>
    <t xml:space="preserve">LUDY </t>
  </si>
  <si>
    <t xml:space="preserve">NAVARRO SEQUIERA </t>
  </si>
  <si>
    <t>86292483</t>
  </si>
  <si>
    <t>001211</t>
  </si>
  <si>
    <t xml:space="preserve">100 ESTE DE LA PLAZA RIO CAÑAS </t>
  </si>
  <si>
    <t>5029903550</t>
  </si>
  <si>
    <t xml:space="preserve">MARICELA </t>
  </si>
  <si>
    <t>86385058</t>
  </si>
  <si>
    <t>001212</t>
  </si>
  <si>
    <t>100 ESTE PLAZA DEPORTES</t>
  </si>
  <si>
    <t>1109204460</t>
  </si>
  <si>
    <t xml:space="preserve">FANNY </t>
  </si>
  <si>
    <t xml:space="preserve">BRENES MENDOZA </t>
  </si>
  <si>
    <t>88057246</t>
  </si>
  <si>
    <t>001160</t>
  </si>
  <si>
    <t>RESIDENCIAL SAN JERONIMO</t>
  </si>
  <si>
    <t>CASA 2</t>
  </si>
  <si>
    <t>5024809690</t>
  </si>
  <si>
    <t>XIOMARA</t>
  </si>
  <si>
    <t>GUTIERREZ ROSALES</t>
  </si>
  <si>
    <t>001161</t>
  </si>
  <si>
    <t>URBANIZACION SAN GERARDO</t>
  </si>
  <si>
    <t>HATILLO CASA N° 12</t>
  </si>
  <si>
    <t>0602690613</t>
  </si>
  <si>
    <t>ANABEL</t>
  </si>
  <si>
    <t>ROJAS GODOY</t>
  </si>
  <si>
    <t>001162</t>
  </si>
  <si>
    <t>800MTS. OESTE DE LA CLINICA  CCSS</t>
  </si>
  <si>
    <t>0502560156</t>
  </si>
  <si>
    <t>VILLAFUERTE SILES</t>
  </si>
  <si>
    <t>26803013</t>
  </si>
  <si>
    <t>001213</t>
  </si>
  <si>
    <t>CASA N 5</t>
  </si>
  <si>
    <t>0502780932</t>
  </si>
  <si>
    <t>MARIA E</t>
  </si>
  <si>
    <t>GUTIERREZ VILLAFUERTE</t>
  </si>
  <si>
    <t>87715738</t>
  </si>
  <si>
    <t>001214</t>
  </si>
  <si>
    <t xml:space="preserve">HATILLO CASA 35 </t>
  </si>
  <si>
    <t>5016508760</t>
  </si>
  <si>
    <t xml:space="preserve">CECILIA </t>
  </si>
  <si>
    <t>85531389</t>
  </si>
  <si>
    <t>Aguirre</t>
  </si>
  <si>
    <t>002110</t>
  </si>
  <si>
    <t>LONDRES</t>
  </si>
  <si>
    <t>50 M ESTE DE LA ULTIMA PARADA DE BUSES</t>
  </si>
  <si>
    <t>0601690694</t>
  </si>
  <si>
    <t>VASQUEZ CRUZ</t>
  </si>
  <si>
    <t>27791309</t>
  </si>
  <si>
    <t>0604640399</t>
  </si>
  <si>
    <t>JORGE RODOLFO</t>
  </si>
  <si>
    <t>SEGURA VASQUEZ</t>
  </si>
  <si>
    <t>002123</t>
  </si>
  <si>
    <t>DEL CEMENTERIO, 200 M DESPUES</t>
  </si>
  <si>
    <t>0602970738</t>
  </si>
  <si>
    <t>CRUZ UMAÑA</t>
  </si>
  <si>
    <t>62583245</t>
  </si>
  <si>
    <t>002124</t>
  </si>
  <si>
    <t>ULTIMA PARADA DE BUSES 50 M NORTE</t>
  </si>
  <si>
    <t>0104300624</t>
  </si>
  <si>
    <t>MARIA CECILIA</t>
  </si>
  <si>
    <t>GODINEZ PADILLA</t>
  </si>
  <si>
    <t>85871504</t>
  </si>
  <si>
    <t>002092</t>
  </si>
  <si>
    <t>Marítima, 2km hacia playa El Rey</t>
  </si>
  <si>
    <t>0501260706</t>
  </si>
  <si>
    <t>Juana</t>
  </si>
  <si>
    <t>Pizarro Espinoza</t>
  </si>
  <si>
    <t>86180371</t>
  </si>
  <si>
    <t>002093</t>
  </si>
  <si>
    <t>Inmaculada</t>
  </si>
  <si>
    <t>La Laguna, por el taller de Chango</t>
  </si>
  <si>
    <t>0114820326</t>
  </si>
  <si>
    <t>Lucía</t>
  </si>
  <si>
    <t>Venegas Saborío</t>
  </si>
  <si>
    <t>61834602</t>
  </si>
  <si>
    <t>002094</t>
  </si>
  <si>
    <t>Londres</t>
  </si>
  <si>
    <t>Londres, de la delegación 25 sur, primera casa, mano izquierda</t>
  </si>
  <si>
    <t>0115230277</t>
  </si>
  <si>
    <t>Pérez jiménez</t>
  </si>
  <si>
    <t>84791557</t>
  </si>
  <si>
    <t>002096</t>
  </si>
  <si>
    <t>La Pascua, detrás del super RJ, 240 mts este</t>
  </si>
  <si>
    <t>0104410363</t>
  </si>
  <si>
    <t>Gerardina</t>
  </si>
  <si>
    <t>Méndez Jiménez</t>
  </si>
  <si>
    <t>86714050</t>
  </si>
  <si>
    <t>002098</t>
  </si>
  <si>
    <t>Junta Naranjo</t>
  </si>
  <si>
    <t>Del CTP de Quepos, 200mts sur</t>
  </si>
  <si>
    <t>0304040148</t>
  </si>
  <si>
    <t>Roger Manuel</t>
  </si>
  <si>
    <t>Brenes Salguero</t>
  </si>
  <si>
    <t>60777711</t>
  </si>
  <si>
    <t>002100</t>
  </si>
  <si>
    <t>De la escuela el Cocal, 500mts oeste</t>
  </si>
  <si>
    <t>0604100730</t>
  </si>
  <si>
    <t>Tatiana</t>
  </si>
  <si>
    <t>Jiménez Arias</t>
  </si>
  <si>
    <t>87206219</t>
  </si>
  <si>
    <t>002101</t>
  </si>
  <si>
    <t>Del CTP Quepos 400mts sur</t>
  </si>
  <si>
    <t>0700230875</t>
  </si>
  <si>
    <t>Mora Loaiza</t>
  </si>
  <si>
    <t>86598849</t>
  </si>
  <si>
    <t>002102</t>
  </si>
  <si>
    <t>CNP, frente a Servicentro Total</t>
  </si>
  <si>
    <t>0602010301</t>
  </si>
  <si>
    <t xml:space="preserve">Francisca </t>
  </si>
  <si>
    <t>Alfaro Mora</t>
  </si>
  <si>
    <t>86388408</t>
  </si>
  <si>
    <t>002103</t>
  </si>
  <si>
    <t>De escuela el Cocal, 500m mano izquierda casa color verde</t>
  </si>
  <si>
    <t>0603820377</t>
  </si>
  <si>
    <t>Brayner Jesús</t>
  </si>
  <si>
    <t>86771161</t>
  </si>
  <si>
    <t>002104</t>
  </si>
  <si>
    <t>CNp frente a Servicentro Total</t>
  </si>
  <si>
    <t>0115520532</t>
  </si>
  <si>
    <t>Grettel María</t>
  </si>
  <si>
    <t>Ortega Valverde</t>
  </si>
  <si>
    <t>88625868</t>
  </si>
  <si>
    <t>002105</t>
  </si>
  <si>
    <t>CNP de pulpería Mora 100 mts este</t>
  </si>
  <si>
    <t>0602080242</t>
  </si>
  <si>
    <t>Muria</t>
  </si>
  <si>
    <t>Gatjens Pérez</t>
  </si>
  <si>
    <t>83248109</t>
  </si>
  <si>
    <t>002107</t>
  </si>
  <si>
    <t>El Cocal, por la escuela</t>
  </si>
  <si>
    <t>0207240443</t>
  </si>
  <si>
    <t>Daniela</t>
  </si>
  <si>
    <t>Ramos Fajardo</t>
  </si>
  <si>
    <t>84598837</t>
  </si>
  <si>
    <t>002108</t>
  </si>
  <si>
    <t>MANUEL ANTONIO</t>
  </si>
  <si>
    <t>DEL SUPER JOSETH 350 M NOROESTE, PRIMERA ENTRADA MANO IZQUIERDA, 10 M</t>
  </si>
  <si>
    <t>0603490073</t>
  </si>
  <si>
    <t>JIMENEZ MELENDEZ</t>
  </si>
  <si>
    <t>84206166</t>
  </si>
  <si>
    <t>002109</t>
  </si>
  <si>
    <t>MARITIMA</t>
  </si>
  <si>
    <t>CALLE LOS PERES HACIA ASENTAMIENTO SAVEGRE, CASA #2 MANO DERECHA</t>
  </si>
  <si>
    <t>0603450048</t>
  </si>
  <si>
    <t>JESSI MARIA</t>
  </si>
  <si>
    <t>PEREZ VEGA</t>
  </si>
  <si>
    <t>86291543</t>
  </si>
  <si>
    <t>002111</t>
  </si>
  <si>
    <t>EL COCAL</t>
  </si>
  <si>
    <t>DE LA ESCUELA EL COCAL, 600 M NOROESTE</t>
  </si>
  <si>
    <t>155825024638</t>
  </si>
  <si>
    <t>PETRONA</t>
  </si>
  <si>
    <t>NARVAEZ CARBALLO</t>
  </si>
  <si>
    <t>84034853</t>
  </si>
  <si>
    <t>002113</t>
  </si>
  <si>
    <t>DE LA ESCUELA EL COCAL 300 M A MANO IZQUIERDA</t>
  </si>
  <si>
    <t>155822347909</t>
  </si>
  <si>
    <t>JANETH SOFIA</t>
  </si>
  <si>
    <t>CHAVARRIA CASTRO</t>
  </si>
  <si>
    <t>72210678</t>
  </si>
  <si>
    <t>002114</t>
  </si>
  <si>
    <t>DE LA ESCUELA EL COCAL, 500 M OESTE, ENTRADA BAR EL COQUITO</t>
  </si>
  <si>
    <t>155820246615</t>
  </si>
  <si>
    <t>REYNA ISABEL</t>
  </si>
  <si>
    <t>FLORES RUGAMA</t>
  </si>
  <si>
    <t>70953572</t>
  </si>
  <si>
    <t>002119</t>
  </si>
  <si>
    <t>PAQUITA</t>
  </si>
  <si>
    <t>LA TORTUGA, CONTGUO A CABINAS TORTUGA</t>
  </si>
  <si>
    <t>0604050272</t>
  </si>
  <si>
    <t>IVANIA</t>
  </si>
  <si>
    <t>ORDOÑEZ RECIO</t>
  </si>
  <si>
    <t>60198080</t>
  </si>
  <si>
    <t>002121</t>
  </si>
  <si>
    <t>ENTRADA SUPER H2O, 45 M NORTE DE LA PLAZA CASA COLOR AMARILLA.</t>
  </si>
  <si>
    <t>0601110027</t>
  </si>
  <si>
    <t xml:space="preserve">EDUARDO </t>
  </si>
  <si>
    <t>CORDOBA TEJADA</t>
  </si>
  <si>
    <t>86735404</t>
  </si>
  <si>
    <t>002122</t>
  </si>
  <si>
    <t>LA TORTUGA, 75 M ESTE DE CABINAS TORTUGA</t>
  </si>
  <si>
    <t>0602530552</t>
  </si>
  <si>
    <t>SHIRLEY</t>
  </si>
  <si>
    <t>ALVARADO UMAÑA</t>
  </si>
  <si>
    <t>002095</t>
  </si>
  <si>
    <t>Del puente 600mts entrada a la derecha, calle vieja.</t>
  </si>
  <si>
    <t>0602290415</t>
  </si>
  <si>
    <t xml:space="preserve">César </t>
  </si>
  <si>
    <t>Fernández Álvarez</t>
  </si>
  <si>
    <t>84901998</t>
  </si>
  <si>
    <t>002099</t>
  </si>
  <si>
    <t>Finca MArítima</t>
  </si>
  <si>
    <t>De entrada Finca Marítima, 2km oeste</t>
  </si>
  <si>
    <t>0501060557</t>
  </si>
  <si>
    <t>Aydee</t>
  </si>
  <si>
    <t>Pérez Jiménez</t>
  </si>
  <si>
    <t>002106</t>
  </si>
  <si>
    <t>De soda Eva, 400 mts sureste, casa color naranja</t>
  </si>
  <si>
    <t>0603070024</t>
  </si>
  <si>
    <t>Chávez Reyes</t>
  </si>
  <si>
    <t>86168110</t>
  </si>
  <si>
    <t>002112</t>
  </si>
  <si>
    <t>CONTIGUO A ENTRADA DE SABALO, BARRIO LOS PEREZ</t>
  </si>
  <si>
    <t>0602190180</t>
  </si>
  <si>
    <t>JIMENEZ PEREZ</t>
  </si>
  <si>
    <t>83502362</t>
  </si>
  <si>
    <t>002115</t>
  </si>
  <si>
    <t>SABALO</t>
  </si>
  <si>
    <t>DE ESCUELA SABALO 50 M SUR</t>
  </si>
  <si>
    <t>0602660419</t>
  </si>
  <si>
    <t>RANDALL</t>
  </si>
  <si>
    <t>ALVARADO SALAZAR</t>
  </si>
  <si>
    <t>57177671</t>
  </si>
  <si>
    <t>002116</t>
  </si>
  <si>
    <t>DE LA ESCUELA SABALO 50 M SUR</t>
  </si>
  <si>
    <t>0604330025</t>
  </si>
  <si>
    <t>RANDY MARCEL</t>
  </si>
  <si>
    <t>ALVARADO CORTES</t>
  </si>
  <si>
    <t>60029998</t>
  </si>
  <si>
    <t>002117</t>
  </si>
  <si>
    <t>CAPITAL</t>
  </si>
  <si>
    <t xml:space="preserve">DEL TALLER MOMA 2 KM CASA MANO IZQUIERDA </t>
  </si>
  <si>
    <t>0114880964</t>
  </si>
  <si>
    <t>GENESIS GABRIELA</t>
  </si>
  <si>
    <t>ARIAS FERNANDEZ</t>
  </si>
  <si>
    <t>64514912</t>
  </si>
  <si>
    <t>002118</t>
  </si>
  <si>
    <t>DEL TALLER MAMA, 2 KM</t>
  </si>
  <si>
    <t>0602690968</t>
  </si>
  <si>
    <t>NESMERY</t>
  </si>
  <si>
    <t>FERNANDEZ VALLE</t>
  </si>
  <si>
    <t>85914064</t>
  </si>
  <si>
    <t>002120</t>
  </si>
  <si>
    <t>DESPUES DEL PUENTE, PRIMER CASA, A MANO IZQUIERDA.  ASENTAMIENTO SAVEGRE.</t>
  </si>
  <si>
    <t>0604420529</t>
  </si>
  <si>
    <t>YAHAIRA KASANDRA</t>
  </si>
  <si>
    <t>HENRIQUEZ ALVAREZ</t>
  </si>
  <si>
    <t>62176214</t>
  </si>
  <si>
    <t>001251</t>
  </si>
  <si>
    <t>CURRE</t>
  </si>
  <si>
    <t>1 KM NORESTE ESCUELA CURRE PUENTE LA VIEJA</t>
  </si>
  <si>
    <t>6011000830</t>
  </si>
  <si>
    <t>MARGARITO</t>
  </si>
  <si>
    <t>MAVISCA LEIVA</t>
  </si>
  <si>
    <t>001252</t>
  </si>
  <si>
    <t>6046405090</t>
  </si>
  <si>
    <t xml:space="preserve">NOEL </t>
  </si>
  <si>
    <t xml:space="preserve">LAZARO ESTRADA </t>
  </si>
  <si>
    <t>001253</t>
  </si>
  <si>
    <t>500 M OESTE DEL PUENTE DE LA VIEJA</t>
  </si>
  <si>
    <t>1067802080</t>
  </si>
  <si>
    <t>MENA GODINEZ</t>
  </si>
  <si>
    <t>86165245</t>
  </si>
  <si>
    <t>001254</t>
  </si>
  <si>
    <t>1 NORESTE ESCUELA CURRE PUENTE LA VIEJA</t>
  </si>
  <si>
    <t>6026608830</t>
  </si>
  <si>
    <t>CARVAJAL SALDAÑA</t>
  </si>
  <si>
    <t>85635798</t>
  </si>
  <si>
    <t>001255</t>
  </si>
  <si>
    <t>1 KM AL ESTE DE LA ESCUELA REY CURRE</t>
  </si>
  <si>
    <t>0604210920</t>
  </si>
  <si>
    <t>MARLON JOHAN</t>
  </si>
  <si>
    <t xml:space="preserve">MAVISCA RUEDA </t>
  </si>
  <si>
    <t>84650368</t>
  </si>
  <si>
    <t>001256</t>
  </si>
  <si>
    <t>1 KM AL NORTE DE LA ESCUELA REY CURRE</t>
  </si>
  <si>
    <t>0901010573</t>
  </si>
  <si>
    <t>MORALES TORRES</t>
  </si>
  <si>
    <t>84021493</t>
  </si>
  <si>
    <t>001257</t>
  </si>
  <si>
    <t>1 KM NORESTE ESCUELA REY CURRE POR PUENTE RIO LA VIEJA</t>
  </si>
  <si>
    <t>0113360032</t>
  </si>
  <si>
    <t>ANA LUCIA</t>
  </si>
  <si>
    <t>84440656</t>
  </si>
  <si>
    <t>001258</t>
  </si>
  <si>
    <t>200 NORESTE DEL PUENTE LA VIEJA</t>
  </si>
  <si>
    <t>0602710006</t>
  </si>
  <si>
    <t>JOSE EDUARDO</t>
  </si>
  <si>
    <t>MAVISCA ROJAS</t>
  </si>
  <si>
    <t>83709108</t>
  </si>
  <si>
    <t>1259</t>
  </si>
  <si>
    <t>100 SUR DEL PUENTE LA VIEJA CURRE</t>
  </si>
  <si>
    <t>0604280843</t>
  </si>
  <si>
    <t>MARIA CRISTINA</t>
  </si>
  <si>
    <t>MARIN MARTINEZ</t>
  </si>
  <si>
    <t>85635210</t>
  </si>
  <si>
    <t>001260</t>
  </si>
  <si>
    <t xml:space="preserve">150 M NORESTE DLE PUENTE RIO LA VIEJA </t>
  </si>
  <si>
    <t>0603840584</t>
  </si>
  <si>
    <t>DANIA LUCRECIA</t>
  </si>
  <si>
    <t>AVILES MAVISCA</t>
  </si>
  <si>
    <t>85682799</t>
  </si>
  <si>
    <t>001261</t>
  </si>
  <si>
    <t>150 M NORESTE DEL PUENTE RIO LA VIEJA</t>
  </si>
  <si>
    <t>0114100703</t>
  </si>
  <si>
    <t xml:space="preserve">ALEXIS </t>
  </si>
  <si>
    <t>BUZANO FLORES</t>
  </si>
  <si>
    <t>84809476</t>
  </si>
  <si>
    <t>001262</t>
  </si>
  <si>
    <t>0111460241</t>
  </si>
  <si>
    <t>84804623</t>
  </si>
  <si>
    <t>001263</t>
  </si>
  <si>
    <t>1.5 KM NORESTE DE LA ESCUELA REY CURRE</t>
  </si>
  <si>
    <t>0600820575</t>
  </si>
  <si>
    <t>RUDECINDO</t>
  </si>
  <si>
    <t>001264</t>
  </si>
  <si>
    <t>CURRÉ</t>
  </si>
  <si>
    <t>150 NORESTE DEL PUENTE RÍO LA VIEJA</t>
  </si>
  <si>
    <t>0604000278</t>
  </si>
  <si>
    <t xml:space="preserve">EDUVIGILDO </t>
  </si>
  <si>
    <t xml:space="preserve">AVILES MAVISCA </t>
  </si>
  <si>
    <t>85268896</t>
  </si>
  <si>
    <t>001265</t>
  </si>
  <si>
    <t>1.5 KM NORESTE DE LA ESCUELA REY CURRÉ</t>
  </si>
  <si>
    <t>6024101480</t>
  </si>
  <si>
    <t xml:space="preserve">RONALD </t>
  </si>
  <si>
    <t>MORA MAROTO</t>
  </si>
  <si>
    <t>87071458</t>
  </si>
  <si>
    <t>001266</t>
  </si>
  <si>
    <t>6031103370</t>
  </si>
  <si>
    <t xml:space="preserve">YEINNER </t>
  </si>
  <si>
    <t>LORÍA RODRÍGUEZ</t>
  </si>
  <si>
    <t>86433454</t>
  </si>
  <si>
    <t>001267</t>
  </si>
  <si>
    <t>1129308600</t>
  </si>
  <si>
    <t>CEDEÑO MARTINEZ</t>
  </si>
  <si>
    <t>88104929</t>
  </si>
  <si>
    <t>001268</t>
  </si>
  <si>
    <t>ALEXANDER</t>
  </si>
  <si>
    <t>87701445</t>
  </si>
  <si>
    <t>001269</t>
  </si>
  <si>
    <t>COSTADO ESTE DE LA PLAZA DE FUTBOL REY CURRÉ.</t>
  </si>
  <si>
    <t>1124307180</t>
  </si>
  <si>
    <t>ULISES</t>
  </si>
  <si>
    <t>BORBÓN NAVISCA</t>
  </si>
  <si>
    <t>85229703</t>
  </si>
  <si>
    <t>001270</t>
  </si>
  <si>
    <t>0113760729</t>
  </si>
  <si>
    <t>JESSICA DE LOS ANGELES</t>
  </si>
  <si>
    <t>BORBÓN MAVISCA</t>
  </si>
  <si>
    <t>84255236</t>
  </si>
  <si>
    <t>001271</t>
  </si>
  <si>
    <t>125 OESTE DE LA PLAZA DE DEPORTES.</t>
  </si>
  <si>
    <t>1147207860</t>
  </si>
  <si>
    <t>VANESSA</t>
  </si>
  <si>
    <t>85553397</t>
  </si>
  <si>
    <t>001272</t>
  </si>
  <si>
    <t>6019006550</t>
  </si>
  <si>
    <t xml:space="preserve">GLISERIA </t>
  </si>
  <si>
    <t>86071907</t>
  </si>
  <si>
    <t>001273</t>
  </si>
  <si>
    <t>1102601980</t>
  </si>
  <si>
    <t>CESAR</t>
  </si>
  <si>
    <t>CHÁVEZ CHÁVEZ</t>
  </si>
  <si>
    <t>88992543</t>
  </si>
  <si>
    <t>001274</t>
  </si>
  <si>
    <t>HANNIA</t>
  </si>
  <si>
    <t>DUARTE</t>
  </si>
  <si>
    <t>85180653</t>
  </si>
  <si>
    <t>001275</t>
  </si>
  <si>
    <t>6037900350</t>
  </si>
  <si>
    <t xml:space="preserve">CÉSAR </t>
  </si>
  <si>
    <t>LÁZARO MAVISCA</t>
  </si>
  <si>
    <t>001276</t>
  </si>
  <si>
    <t>1152101720</t>
  </si>
  <si>
    <t xml:space="preserve">JOSETH </t>
  </si>
  <si>
    <t>ROJAS DELGADO</t>
  </si>
  <si>
    <t>84543982</t>
  </si>
  <si>
    <t>001277</t>
  </si>
  <si>
    <t>6022805500</t>
  </si>
  <si>
    <t>LAZARO NAJERA</t>
  </si>
  <si>
    <t>85986600</t>
  </si>
  <si>
    <t>001278</t>
  </si>
  <si>
    <t>6037205160</t>
  </si>
  <si>
    <t>LEONEL</t>
  </si>
  <si>
    <t>MAVISCA ESTRADA</t>
  </si>
  <si>
    <t>85963403</t>
  </si>
  <si>
    <t>001279</t>
  </si>
  <si>
    <t>1079501150</t>
  </si>
  <si>
    <t>ALICIA</t>
  </si>
  <si>
    <t>85762474</t>
  </si>
  <si>
    <t>001280</t>
  </si>
  <si>
    <t>ABELARDO</t>
  </si>
  <si>
    <t>MAVISCA MAVISCA</t>
  </si>
  <si>
    <t>001281</t>
  </si>
  <si>
    <t>350 AL SUR DE LA ESCUELA DE CURRÉ.</t>
  </si>
  <si>
    <t>6028201840</t>
  </si>
  <si>
    <t>CHÁVEZ HERRERA</t>
  </si>
  <si>
    <t>84294023</t>
  </si>
  <si>
    <t>6041303080</t>
  </si>
  <si>
    <t>FRANDER</t>
  </si>
  <si>
    <t>001282</t>
  </si>
  <si>
    <t>300 METROS OESTE PLAZA DE DEPORTES</t>
  </si>
  <si>
    <t>6023906750</t>
  </si>
  <si>
    <t>QUIRÓS MORA</t>
  </si>
  <si>
    <t>86840182</t>
  </si>
  <si>
    <t>001283</t>
  </si>
  <si>
    <t>400 SUR DEL SALÓN COMUNAL</t>
  </si>
  <si>
    <t>YIRI LEONEL</t>
  </si>
  <si>
    <t>ROJAS GARCÍA</t>
  </si>
  <si>
    <t>86316175</t>
  </si>
  <si>
    <t>001284</t>
  </si>
  <si>
    <t>100 METROS ESTE DEL COLEGIO ACADÉMICO YIMBA.</t>
  </si>
  <si>
    <t>6028504040</t>
  </si>
  <si>
    <t>ROJAS MORALES</t>
  </si>
  <si>
    <t>84130628</t>
  </si>
  <si>
    <t>001285</t>
  </si>
  <si>
    <t>100 METROS OESTE DEL COLEGIO ACADÉMICO YIMBA</t>
  </si>
  <si>
    <t>6003408930</t>
  </si>
  <si>
    <t>89729281</t>
  </si>
  <si>
    <t>001286</t>
  </si>
  <si>
    <t>1163009080</t>
  </si>
  <si>
    <t xml:space="preserve">KARLA </t>
  </si>
  <si>
    <t>CEDEÑO ROJAS</t>
  </si>
  <si>
    <t>001287</t>
  </si>
  <si>
    <t>100 METROS SUR DEL EBAIS</t>
  </si>
  <si>
    <t>6031204610</t>
  </si>
  <si>
    <t>SERGIO</t>
  </si>
  <si>
    <t>87861384</t>
  </si>
  <si>
    <t>001288</t>
  </si>
  <si>
    <t>100 METROS OESTE DEL COLEGIO ACADÉMICO YIMBA.</t>
  </si>
  <si>
    <t>6030103790</t>
  </si>
  <si>
    <t xml:space="preserve">MOISES </t>
  </si>
  <si>
    <t>001289</t>
  </si>
  <si>
    <t>400 OESTE DE LA ESCUELA CURRÉ</t>
  </si>
  <si>
    <t>6026707190</t>
  </si>
  <si>
    <t>DELGADO ROJAS</t>
  </si>
  <si>
    <t>84362049</t>
  </si>
  <si>
    <t>001290</t>
  </si>
  <si>
    <t>001291</t>
  </si>
  <si>
    <t>1118806740</t>
  </si>
  <si>
    <t>JOSÉ</t>
  </si>
  <si>
    <t>LEIVA CEDEÑO</t>
  </si>
  <si>
    <t>83826828</t>
  </si>
  <si>
    <t>001292</t>
  </si>
  <si>
    <t>0602980307</t>
  </si>
  <si>
    <t>SANDRA MARIA</t>
  </si>
  <si>
    <t>001293</t>
  </si>
  <si>
    <t>6035801920</t>
  </si>
  <si>
    <t xml:space="preserve">MAUREN </t>
  </si>
  <si>
    <t>GONZÁLEZ DELGADO</t>
  </si>
  <si>
    <t>84803866</t>
  </si>
  <si>
    <t>2071109970</t>
  </si>
  <si>
    <t>PORFIRIO</t>
  </si>
  <si>
    <t>JIMÉNEZ VARGAS</t>
  </si>
  <si>
    <t>001295</t>
  </si>
  <si>
    <t>0603630154</t>
  </si>
  <si>
    <t xml:space="preserve">Raquel </t>
  </si>
  <si>
    <t>Rojas Rojas</t>
  </si>
  <si>
    <t>88846209</t>
  </si>
  <si>
    <t>001296</t>
  </si>
  <si>
    <t>9007805350</t>
  </si>
  <si>
    <t xml:space="preserve">Gerardino </t>
  </si>
  <si>
    <t>Rojas Reyes</t>
  </si>
  <si>
    <t>001297</t>
  </si>
  <si>
    <t>50 Sur de la Escuela</t>
  </si>
  <si>
    <t>6030902840</t>
  </si>
  <si>
    <t xml:space="preserve">Silvia </t>
  </si>
  <si>
    <t>87054043</t>
  </si>
  <si>
    <t>001298</t>
  </si>
  <si>
    <t>6044108700</t>
  </si>
  <si>
    <t>Serrano Rojas</t>
  </si>
  <si>
    <t>001299</t>
  </si>
  <si>
    <t>6010002670</t>
  </si>
  <si>
    <t>Felix</t>
  </si>
  <si>
    <t>001300</t>
  </si>
  <si>
    <t>6026208010</t>
  </si>
  <si>
    <t>Everilda</t>
  </si>
  <si>
    <t>Rojas Morales</t>
  </si>
  <si>
    <t>87155380</t>
  </si>
  <si>
    <t>001301</t>
  </si>
  <si>
    <t>6027108820</t>
  </si>
  <si>
    <t>Gonzalez Villanueva</t>
  </si>
  <si>
    <t>001302</t>
  </si>
  <si>
    <t>250 Sur de la Escuela</t>
  </si>
  <si>
    <t>85949403</t>
  </si>
  <si>
    <t>001303</t>
  </si>
  <si>
    <t>1134205180</t>
  </si>
  <si>
    <t xml:space="preserve">Edwin </t>
  </si>
  <si>
    <t>Gamboa Méndez</t>
  </si>
  <si>
    <t>89147246</t>
  </si>
  <si>
    <t>001304</t>
  </si>
  <si>
    <t>A un costa do de la Plaza</t>
  </si>
  <si>
    <t>9008201730</t>
  </si>
  <si>
    <t>Maria de los Angeles</t>
  </si>
  <si>
    <t>Mora Bermudez</t>
  </si>
  <si>
    <t>83047291</t>
  </si>
  <si>
    <t>001305</t>
  </si>
  <si>
    <t>200 N. de la Escuela de Ujarras</t>
  </si>
  <si>
    <t>6014402200</t>
  </si>
  <si>
    <t>Vargas Fernandez</t>
  </si>
  <si>
    <t>83464851</t>
  </si>
  <si>
    <t>001306</t>
  </si>
  <si>
    <t>300 N. de la Escuela</t>
  </si>
  <si>
    <t>6031800330</t>
  </si>
  <si>
    <t xml:space="preserve">Maria </t>
  </si>
  <si>
    <t>Zuñiga Zuñiga</t>
  </si>
  <si>
    <t>001307</t>
  </si>
  <si>
    <t>300 Sur de la escuela de Ujarras</t>
  </si>
  <si>
    <t>6038706060</t>
  </si>
  <si>
    <t>Torres Vargas</t>
  </si>
  <si>
    <t>84878411</t>
  </si>
  <si>
    <t>001397</t>
  </si>
  <si>
    <t>150 M OESTE DEL COLEGIO REY CURRE</t>
  </si>
  <si>
    <t>0601440038</t>
  </si>
  <si>
    <t>ANITA</t>
  </si>
  <si>
    <t>CEDEÑO NAJERA</t>
  </si>
  <si>
    <t>68389097</t>
  </si>
  <si>
    <t>001398</t>
  </si>
  <si>
    <t>800 M SUROESTE LICEO YINBA CAJ</t>
  </si>
  <si>
    <t>0111450448</t>
  </si>
  <si>
    <t>LUIS ALEXANDER</t>
  </si>
  <si>
    <t>BRENES CEDEÑO</t>
  </si>
  <si>
    <t>85320263</t>
  </si>
  <si>
    <t>001442</t>
  </si>
  <si>
    <t>1 KM NORESTE ESCUELA CURRE, PUNTE LA VIEJA</t>
  </si>
  <si>
    <t>0601370376</t>
  </si>
  <si>
    <t>REINA</t>
  </si>
  <si>
    <t>84440676</t>
  </si>
  <si>
    <t>001308</t>
  </si>
  <si>
    <t>200 Sur de la Iglesia Católica</t>
  </si>
  <si>
    <t>6005709650</t>
  </si>
  <si>
    <t>Rafael</t>
  </si>
  <si>
    <t>Torres Estrada</t>
  </si>
  <si>
    <t>001309</t>
  </si>
  <si>
    <t>300 N. y 200 E. de la Escuela</t>
  </si>
  <si>
    <t>1161304940</t>
  </si>
  <si>
    <t>89797776</t>
  </si>
  <si>
    <t>001310</t>
  </si>
  <si>
    <t>500 N. de la Escuela</t>
  </si>
  <si>
    <t>0116270070</t>
  </si>
  <si>
    <t>Cristel</t>
  </si>
  <si>
    <t>Obando Zuñiga</t>
  </si>
  <si>
    <t>001311</t>
  </si>
  <si>
    <t>400 Sur de la Escuela</t>
  </si>
  <si>
    <t>0600270471</t>
  </si>
  <si>
    <t>Arcenia</t>
  </si>
  <si>
    <t>Fernandez Zuñiga</t>
  </si>
  <si>
    <t>84633908</t>
  </si>
  <si>
    <t>001312</t>
  </si>
  <si>
    <t xml:space="preserve">200 N. </t>
  </si>
  <si>
    <t>0601830749</t>
  </si>
  <si>
    <t>Martina</t>
  </si>
  <si>
    <t>Vargas Navas</t>
  </si>
  <si>
    <t>001313</t>
  </si>
  <si>
    <t>0106920072</t>
  </si>
  <si>
    <t>Juan Rafael</t>
  </si>
  <si>
    <t>Obando Mayorga</t>
  </si>
  <si>
    <t>83826581</t>
  </si>
  <si>
    <t>001314</t>
  </si>
  <si>
    <t>350 Sur de la Escuela</t>
  </si>
  <si>
    <t>0601280969</t>
  </si>
  <si>
    <t>Gregorio</t>
  </si>
  <si>
    <t>Rios Estrada</t>
  </si>
  <si>
    <t>85453294</t>
  </si>
  <si>
    <t>001315</t>
  </si>
  <si>
    <t>300 Sur de la Escuela</t>
  </si>
  <si>
    <t>0603780128</t>
  </si>
  <si>
    <t>Fernandez Vargas</t>
  </si>
  <si>
    <t>87704402</t>
  </si>
  <si>
    <t>001316</t>
  </si>
  <si>
    <t>Ujaarras</t>
  </si>
  <si>
    <t>150 N de la Escuela</t>
  </si>
  <si>
    <t>0603060073</t>
  </si>
  <si>
    <t xml:space="preserve">Secundino </t>
  </si>
  <si>
    <t>83399403</t>
  </si>
  <si>
    <t>001317</t>
  </si>
  <si>
    <t>0603060074</t>
  </si>
  <si>
    <t>Mayorga Villanueva</t>
  </si>
  <si>
    <t>85006799</t>
  </si>
  <si>
    <t>001318</t>
  </si>
  <si>
    <t>200 N de la Escuela</t>
  </si>
  <si>
    <t>0123603100</t>
  </si>
  <si>
    <t>Heidy</t>
  </si>
  <si>
    <t>Palma Montoya</t>
  </si>
  <si>
    <t>84884691</t>
  </si>
  <si>
    <t>001319</t>
  </si>
  <si>
    <t>300Sur y 200 Oeste de la Pulpería La Veranera</t>
  </si>
  <si>
    <t>0112080213</t>
  </si>
  <si>
    <t>Rios Zuñiga</t>
  </si>
  <si>
    <t>86510601</t>
  </si>
  <si>
    <t>001320</t>
  </si>
  <si>
    <t>150 N de la Escuela de Ujarras</t>
  </si>
  <si>
    <t>0900850862</t>
  </si>
  <si>
    <t xml:space="preserve">Isidora </t>
  </si>
  <si>
    <t>Ortiz Villanueva</t>
  </si>
  <si>
    <t>22064915</t>
  </si>
  <si>
    <t>001321</t>
  </si>
  <si>
    <t>18 N 100 E. de la Escuela de Ujarras</t>
  </si>
  <si>
    <t>0111070253</t>
  </si>
  <si>
    <t>Jose Rodolfo</t>
  </si>
  <si>
    <t>Rios Villanueva</t>
  </si>
  <si>
    <t>83818312</t>
  </si>
  <si>
    <t>001322</t>
  </si>
  <si>
    <t>200 N de la Escuela de Ujarras</t>
  </si>
  <si>
    <t>0112640160</t>
  </si>
  <si>
    <t>Rojas Fernandez</t>
  </si>
  <si>
    <t>85326713</t>
  </si>
  <si>
    <t>001323</t>
  </si>
  <si>
    <t>600 N. de la Escuela de Ujarras</t>
  </si>
  <si>
    <t>0601051166</t>
  </si>
  <si>
    <t xml:space="preserve">Rigoberto </t>
  </si>
  <si>
    <t>Rojas Villanueva</t>
  </si>
  <si>
    <t>001324</t>
  </si>
  <si>
    <t>UJARRAZ</t>
  </si>
  <si>
    <t>500 MTS SUR 25 OESTE DE LA ESCUELA DE UJARRAZ</t>
  </si>
  <si>
    <t>0602710138</t>
  </si>
  <si>
    <t>WILBERTH</t>
  </si>
  <si>
    <t>OBANDO RIOS</t>
  </si>
  <si>
    <t>88353285</t>
  </si>
  <si>
    <t>001325</t>
  </si>
  <si>
    <t>450 M SUR DE LA ESCUELA DE UJARRAZ</t>
  </si>
  <si>
    <t>0113130367</t>
  </si>
  <si>
    <t>FELIPE</t>
  </si>
  <si>
    <t>ESTRADA LEIVA</t>
  </si>
  <si>
    <t>85957608</t>
  </si>
  <si>
    <t>001326</t>
  </si>
  <si>
    <t>150 M SUR ESCUELA DE UJARRAZ</t>
  </si>
  <si>
    <t>0602080539</t>
  </si>
  <si>
    <t xml:space="preserve">DENIA </t>
  </si>
  <si>
    <t>QUESADA RAMIREZ</t>
  </si>
  <si>
    <t>87220652</t>
  </si>
  <si>
    <t>001327</t>
  </si>
  <si>
    <t>200 MTS SUR Y 50 MTS NORTE PULPERIA LA VERANERA</t>
  </si>
  <si>
    <t>0502200735</t>
  </si>
  <si>
    <t>MATIAS</t>
  </si>
  <si>
    <t>SUAREZ VILLALOBOS</t>
  </si>
  <si>
    <t>83744958</t>
  </si>
  <si>
    <t>001328</t>
  </si>
  <si>
    <t>500 SUR ESCUELA DE UJARRAZ</t>
  </si>
  <si>
    <t>0111170007</t>
  </si>
  <si>
    <t>VILLANUEVA OBANDO</t>
  </si>
  <si>
    <t>001329</t>
  </si>
  <si>
    <t>500 SUR ESCUELA UJARRAZ</t>
  </si>
  <si>
    <t>0116590603</t>
  </si>
  <si>
    <t>MAYNOR</t>
  </si>
  <si>
    <t>VARGAS FERNANDEZ</t>
  </si>
  <si>
    <t>84994860</t>
  </si>
  <si>
    <t>001330</t>
  </si>
  <si>
    <t>100 SUR ESCUELA DE UJARRAZ</t>
  </si>
  <si>
    <t>0117630237</t>
  </si>
  <si>
    <t>YANETH</t>
  </si>
  <si>
    <t>MAYORGA VILLANUEVA</t>
  </si>
  <si>
    <t>88985960</t>
  </si>
  <si>
    <t>001331</t>
  </si>
  <si>
    <t>150N DE LA ESCUELA DE UJARRAZ</t>
  </si>
  <si>
    <t>0900760188</t>
  </si>
  <si>
    <t>89382019</t>
  </si>
  <si>
    <t>001332</t>
  </si>
  <si>
    <t>75 METROS NORTE DE LA ESCUELA DE UJARRAZ</t>
  </si>
  <si>
    <t>0603500691</t>
  </si>
  <si>
    <t>FERNANDEZ ESTRADA</t>
  </si>
  <si>
    <t>84087516</t>
  </si>
  <si>
    <t>001333</t>
  </si>
  <si>
    <t>100 M SUR Y 50 OESTE DE LA ESCUELA DE UJARRAZ</t>
  </si>
  <si>
    <t>0602400726</t>
  </si>
  <si>
    <t>VILLANUEVA VARGAS</t>
  </si>
  <si>
    <t>86216388</t>
  </si>
  <si>
    <t>001334</t>
  </si>
  <si>
    <t>350 M SUR DE LA ESCUELA DE UJARRAZ</t>
  </si>
  <si>
    <t>0601070948</t>
  </si>
  <si>
    <t>86997354</t>
  </si>
  <si>
    <t>001335</t>
  </si>
  <si>
    <t>125 NORTE ESCUELA DE UJARRAZ</t>
  </si>
  <si>
    <t>0102370725</t>
  </si>
  <si>
    <t>CATALINA</t>
  </si>
  <si>
    <t>ROJAS ZUÑIGA</t>
  </si>
  <si>
    <t>80195782</t>
  </si>
  <si>
    <t>001336</t>
  </si>
  <si>
    <t>500 METROS SUR ESCUELA Y 150 AL OESTE</t>
  </si>
  <si>
    <t>0202610625</t>
  </si>
  <si>
    <t xml:space="preserve">ADOLFO </t>
  </si>
  <si>
    <t>VARGAS ACUÑA</t>
  </si>
  <si>
    <t>83723857</t>
  </si>
  <si>
    <t>001337</t>
  </si>
  <si>
    <t>FRENTE A LA CAPILLA METODISTA</t>
  </si>
  <si>
    <t>0602490738</t>
  </si>
  <si>
    <t xml:space="preserve">SUSANA </t>
  </si>
  <si>
    <t>VILLANUEVA VALDERRAMOS</t>
  </si>
  <si>
    <t>001338</t>
  </si>
  <si>
    <t>500 NORTE DE LA ESCUELA DE UJARRAZ</t>
  </si>
  <si>
    <t>0602910812</t>
  </si>
  <si>
    <t>EVANGELISTA</t>
  </si>
  <si>
    <t>FERNANDEZ FERNANDEZ</t>
  </si>
  <si>
    <t>001339</t>
  </si>
  <si>
    <t>400 NORTE ESCUELA DE UJARRAZ</t>
  </si>
  <si>
    <t>0603300220</t>
  </si>
  <si>
    <t>ZUÑIGA DIAZ</t>
  </si>
  <si>
    <t>85333510</t>
  </si>
  <si>
    <t>001340</t>
  </si>
  <si>
    <t>UAJARRAZ</t>
  </si>
  <si>
    <t>800 METROS SUR ESCUELA DE UJARRAZ</t>
  </si>
  <si>
    <t>0604040417</t>
  </si>
  <si>
    <t>RIVELINO EDEN</t>
  </si>
  <si>
    <t>88545164</t>
  </si>
  <si>
    <t>001341</t>
  </si>
  <si>
    <t>700 SUR Y 200 OESTE ESCUELA</t>
  </si>
  <si>
    <t>0600560436</t>
  </si>
  <si>
    <t>MIGUEL EUSTAQUIO</t>
  </si>
  <si>
    <t>001342</t>
  </si>
  <si>
    <t>700 METROS SUR 200 OESTE DE LA ESCUELA</t>
  </si>
  <si>
    <t>0602620238</t>
  </si>
  <si>
    <t>MARTIN</t>
  </si>
  <si>
    <t>VILLANUEVA ESTRADA</t>
  </si>
  <si>
    <t>001343</t>
  </si>
  <si>
    <t>ESCUELA 150 METROS NORTE</t>
  </si>
  <si>
    <t>0601830394</t>
  </si>
  <si>
    <t>OLMAN GERARDO</t>
  </si>
  <si>
    <t>OBANDO MAYORGA</t>
  </si>
  <si>
    <t>84053050</t>
  </si>
  <si>
    <t>001344</t>
  </si>
  <si>
    <t>0115760920</t>
  </si>
  <si>
    <t>LOANDER</t>
  </si>
  <si>
    <t>VARGAS RIOS</t>
  </si>
  <si>
    <t>86674832</t>
  </si>
  <si>
    <t>001345</t>
  </si>
  <si>
    <t>100 SUR Y 100 OESTE ESCUELA</t>
  </si>
  <si>
    <t>0603600992</t>
  </si>
  <si>
    <t>MICHAEL ADONAI</t>
  </si>
  <si>
    <t>001346</t>
  </si>
  <si>
    <t>200 METRSO SUR DE LA ESCUELA DE UJARRAZ</t>
  </si>
  <si>
    <t>0604280060</t>
  </si>
  <si>
    <t>JOSE TOMAS</t>
  </si>
  <si>
    <t>VILLANUEVA MAYORGA</t>
  </si>
  <si>
    <t>001347</t>
  </si>
  <si>
    <t>25 NORTE Y 250 OESTE ESCUELA DE UJARRAZ</t>
  </si>
  <si>
    <t>0901060063</t>
  </si>
  <si>
    <t>ZUÑIGA RIOS</t>
  </si>
  <si>
    <t>86536227</t>
  </si>
  <si>
    <t>001348</t>
  </si>
  <si>
    <t>1 KM SUR DE LA ESCUELA</t>
  </si>
  <si>
    <t>0111900414</t>
  </si>
  <si>
    <t>AURORA</t>
  </si>
  <si>
    <t>LEIVA VILLANUEVA</t>
  </si>
  <si>
    <t>88724101</t>
  </si>
  <si>
    <t>001349</t>
  </si>
  <si>
    <t>50 METROS SUR VERANERA</t>
  </si>
  <si>
    <t>0603146390</t>
  </si>
  <si>
    <t>RIOS ZUÑIGA</t>
  </si>
  <si>
    <t>001350</t>
  </si>
  <si>
    <t>500 METROS NORTE ESCUELA</t>
  </si>
  <si>
    <t>0116100846</t>
  </si>
  <si>
    <t>85950877</t>
  </si>
  <si>
    <t>001351</t>
  </si>
  <si>
    <t>100 METROS SUR DE LA ESCUELA</t>
  </si>
  <si>
    <t>0604050979</t>
  </si>
  <si>
    <t>VILLANUEVA VILLANUEVA</t>
  </si>
  <si>
    <t>001352</t>
  </si>
  <si>
    <t>UJARAZ</t>
  </si>
  <si>
    <t>100 NORTE DE LA ESCUELA</t>
  </si>
  <si>
    <t>0107590660</t>
  </si>
  <si>
    <t>60195782</t>
  </si>
  <si>
    <t>001353</t>
  </si>
  <si>
    <t>800 SUR DE LA ESCUELA</t>
  </si>
  <si>
    <t>0602720690</t>
  </si>
  <si>
    <t>84096285</t>
  </si>
  <si>
    <t>1354</t>
  </si>
  <si>
    <t>A la par del acueducto nuevo</t>
  </si>
  <si>
    <t>0600570623</t>
  </si>
  <si>
    <t>María</t>
  </si>
  <si>
    <t>Valderrama Atencio</t>
  </si>
  <si>
    <t>1355</t>
  </si>
  <si>
    <t>300 m y 100 este de la escuela</t>
  </si>
  <si>
    <t>0600398036</t>
  </si>
  <si>
    <t>Claudina</t>
  </si>
  <si>
    <t>Zúñig Fernández</t>
  </si>
  <si>
    <t>1356</t>
  </si>
  <si>
    <t>100 m norte del colegio de Ujarrás</t>
  </si>
  <si>
    <t>0104160325</t>
  </si>
  <si>
    <t>Luz Mary</t>
  </si>
  <si>
    <t>Barboza Torres</t>
  </si>
  <si>
    <t>83812796</t>
  </si>
  <si>
    <t>1357</t>
  </si>
  <si>
    <t>300 norte y 200 este escuela de Ujarrás</t>
  </si>
  <si>
    <t>0113370700</t>
  </si>
  <si>
    <t>Anselmo</t>
  </si>
  <si>
    <t>Mayorga Ríos</t>
  </si>
  <si>
    <t>85195368</t>
  </si>
  <si>
    <t>1358</t>
  </si>
  <si>
    <t>300 sur colegio Ujarrás</t>
  </si>
  <si>
    <t>0112620024</t>
  </si>
  <si>
    <t>Estrada Leiva</t>
  </si>
  <si>
    <t>89750627</t>
  </si>
  <si>
    <t>1359</t>
  </si>
  <si>
    <t>250 m norte Escuela de Ujarrás</t>
  </si>
  <si>
    <t>0112050313</t>
  </si>
  <si>
    <t xml:space="preserve">Karen </t>
  </si>
  <si>
    <t>Obando Valderramos</t>
  </si>
  <si>
    <t>1360</t>
  </si>
  <si>
    <t>500 m norte de la Escuela</t>
  </si>
  <si>
    <t>0601610701</t>
  </si>
  <si>
    <t>Froilana</t>
  </si>
  <si>
    <t>Fernández Estrada</t>
  </si>
  <si>
    <t>85223451</t>
  </si>
  <si>
    <t>1361</t>
  </si>
  <si>
    <t>200 m norte de la Escuela Ujarrás</t>
  </si>
  <si>
    <t>0601790671</t>
  </si>
  <si>
    <t>Elvia</t>
  </si>
  <si>
    <t>Valderramos Jiménez</t>
  </si>
  <si>
    <t>60821156</t>
  </si>
  <si>
    <t>1362</t>
  </si>
  <si>
    <t>300 norte y 100 este de la escuela de Ujarrás</t>
  </si>
  <si>
    <t>0602270246</t>
  </si>
  <si>
    <t>Zúñiga Fernández</t>
  </si>
  <si>
    <t>86364079</t>
  </si>
  <si>
    <t>1363</t>
  </si>
  <si>
    <t>250 sur de la escuela de Ujarrás</t>
  </si>
  <si>
    <t>0601350865</t>
  </si>
  <si>
    <t>Odilia</t>
  </si>
  <si>
    <t>Díaz Mayorga</t>
  </si>
  <si>
    <t>60321199</t>
  </si>
  <si>
    <t>1364</t>
  </si>
  <si>
    <t>500 sur der la escuela Ujarrás</t>
  </si>
  <si>
    <t>0604050270</t>
  </si>
  <si>
    <t>Erick</t>
  </si>
  <si>
    <t>Villanueva Obando</t>
  </si>
  <si>
    <t>86255960</t>
  </si>
  <si>
    <t>1365</t>
  </si>
  <si>
    <t>200 m norte escuela de Ujarrás</t>
  </si>
  <si>
    <t>0108840101</t>
  </si>
  <si>
    <t>Mayela</t>
  </si>
  <si>
    <t>63300197</t>
  </si>
  <si>
    <t>1366</t>
  </si>
  <si>
    <t>175 norte de la Escuela</t>
  </si>
  <si>
    <t>0115740690</t>
  </si>
  <si>
    <t>Kevin</t>
  </si>
  <si>
    <t>Obando Zúñiga</t>
  </si>
  <si>
    <t>1367</t>
  </si>
  <si>
    <t>200 norte y 100 este Escuela Ujarrás</t>
  </si>
  <si>
    <t>0602090015</t>
  </si>
  <si>
    <t xml:space="preserve">Paulino </t>
  </si>
  <si>
    <t>85161240</t>
  </si>
  <si>
    <t>1368</t>
  </si>
  <si>
    <t>Escuela 700 sur Ujarrás</t>
  </si>
  <si>
    <t>0602900388</t>
  </si>
  <si>
    <t>Villanueva estrada</t>
  </si>
  <si>
    <t>1369</t>
  </si>
  <si>
    <t>600 norte Escuela Ujarrás</t>
  </si>
  <si>
    <t>0111250211</t>
  </si>
  <si>
    <t>Fernández Obando</t>
  </si>
  <si>
    <t>1370</t>
  </si>
  <si>
    <t>400m norte 50 este Escuela de Ujarrás</t>
  </si>
  <si>
    <t>0113430852</t>
  </si>
  <si>
    <t>Jorge Arturo</t>
  </si>
  <si>
    <t>85655157</t>
  </si>
  <si>
    <t>1371</t>
  </si>
  <si>
    <t>200 norte escuela</t>
  </si>
  <si>
    <t>0600960870</t>
  </si>
  <si>
    <t>Leticia</t>
  </si>
  <si>
    <t>Montoya Sibaja</t>
  </si>
  <si>
    <t>84310497</t>
  </si>
  <si>
    <t>1372</t>
  </si>
  <si>
    <t>300 m norte Escuela de Ujarrás</t>
  </si>
  <si>
    <t>0601930662</t>
  </si>
  <si>
    <t>Angel</t>
  </si>
  <si>
    <t>88423862</t>
  </si>
  <si>
    <t>1373</t>
  </si>
  <si>
    <t>500 m sur de la Escuela de Ujarrás</t>
  </si>
  <si>
    <t>0204900807</t>
  </si>
  <si>
    <t>Elías Martín</t>
  </si>
  <si>
    <t>Hernández Sánchez</t>
  </si>
  <si>
    <t>62765292</t>
  </si>
  <si>
    <t>1374</t>
  </si>
  <si>
    <t>200 m norte de la escuela de Ujarrás</t>
  </si>
  <si>
    <t>0109520848</t>
  </si>
  <si>
    <t>Jose Edgar</t>
  </si>
  <si>
    <t>86198042</t>
  </si>
  <si>
    <t>1375</t>
  </si>
  <si>
    <t>75 m norte de la escuela de Ujarrás</t>
  </si>
  <si>
    <t>0900900944</t>
  </si>
  <si>
    <t>Alejandrina</t>
  </si>
  <si>
    <t>85870210</t>
  </si>
  <si>
    <t>1376</t>
  </si>
  <si>
    <t>600m norte de la Escuela de Ujarrás</t>
  </si>
  <si>
    <t>0634801900</t>
  </si>
  <si>
    <t>Roy</t>
  </si>
  <si>
    <t>Mayorga Acosta</t>
  </si>
  <si>
    <t>88034088</t>
  </si>
  <si>
    <t>1377</t>
  </si>
  <si>
    <t>50 m norte y 50 m este de la escuela</t>
  </si>
  <si>
    <t>0602260769</t>
  </si>
  <si>
    <t>María Margarita</t>
  </si>
  <si>
    <t>Fernández Fernández</t>
  </si>
  <si>
    <t>84989310</t>
  </si>
  <si>
    <t>1378</t>
  </si>
  <si>
    <t>150m este de la Escuela de Ujarrás</t>
  </si>
  <si>
    <t>0110860495</t>
  </si>
  <si>
    <t>Nemecio</t>
  </si>
  <si>
    <t>Fernández Zúñiga</t>
  </si>
  <si>
    <t>83540775</t>
  </si>
  <si>
    <t>1379</t>
  </si>
  <si>
    <t>300 m sur del Colegio de Ujarrás</t>
  </si>
  <si>
    <t>0603700205</t>
  </si>
  <si>
    <t>Yeimmy</t>
  </si>
  <si>
    <t>Ortiz Mayorga</t>
  </si>
  <si>
    <t>87407340</t>
  </si>
  <si>
    <t>1380</t>
  </si>
  <si>
    <t>100 m sur del Colegio de Ujarrás</t>
  </si>
  <si>
    <t>0602020119</t>
  </si>
  <si>
    <t>1381</t>
  </si>
  <si>
    <t>150m sur pulpería de veranera</t>
  </si>
  <si>
    <t>0601860706</t>
  </si>
  <si>
    <t>Obando Torres</t>
  </si>
  <si>
    <t>84236807</t>
  </si>
  <si>
    <t>1382</t>
  </si>
  <si>
    <t>500 sur Escuela Ujarrás</t>
  </si>
  <si>
    <t>0116350659</t>
  </si>
  <si>
    <t>Karla</t>
  </si>
  <si>
    <t>88109920</t>
  </si>
  <si>
    <t>1383</t>
  </si>
  <si>
    <t>600 sur Escuela de Ujarrás y 75 m este</t>
  </si>
  <si>
    <t>0601890922</t>
  </si>
  <si>
    <t>Rojas Beita</t>
  </si>
  <si>
    <t>89688098</t>
  </si>
  <si>
    <t>001384</t>
  </si>
  <si>
    <t>UJARRAS</t>
  </si>
  <si>
    <t>CERCA DE LA ESCUELA DE UJARRAS</t>
  </si>
  <si>
    <t>0603390737</t>
  </si>
  <si>
    <t>VILLALOBOS VARGAS</t>
  </si>
  <si>
    <t>89371174</t>
  </si>
  <si>
    <t>001385</t>
  </si>
  <si>
    <t>800 SUR DE ESCUELA</t>
  </si>
  <si>
    <t>0601490147</t>
  </si>
  <si>
    <t xml:space="preserve">JOVITA </t>
  </si>
  <si>
    <t>REYES SIBAR</t>
  </si>
  <si>
    <t>001386</t>
  </si>
  <si>
    <t>500 M SUR DE LA ESCUELA</t>
  </si>
  <si>
    <t>0603510684</t>
  </si>
  <si>
    <t>RODOLFO</t>
  </si>
  <si>
    <t>MAYORGA RIOS</t>
  </si>
  <si>
    <t>89568664</t>
  </si>
  <si>
    <t>001387</t>
  </si>
  <si>
    <t>800 M SUR DE LA ESCUELA</t>
  </si>
  <si>
    <t>0111760041</t>
  </si>
  <si>
    <t>RUTH ILIANA</t>
  </si>
  <si>
    <t>ZUÑIGA REYES</t>
  </si>
  <si>
    <t>84695974</t>
  </si>
  <si>
    <t>001389</t>
  </si>
  <si>
    <t>350 M SUR DE LA ESCUELA DE UJARRAS</t>
  </si>
  <si>
    <t>0111660701</t>
  </si>
  <si>
    <t xml:space="preserve">ELIZABETH </t>
  </si>
  <si>
    <t>REYES MAYORGA</t>
  </si>
  <si>
    <t>60602758</t>
  </si>
  <si>
    <t>001390</t>
  </si>
  <si>
    <t>600 M DE LA ESCUELA DE UJARRAS</t>
  </si>
  <si>
    <t>155822732608</t>
  </si>
  <si>
    <t>JENNY ANTONIA</t>
  </si>
  <si>
    <t>JARQUIN SABALLOS</t>
  </si>
  <si>
    <t>60019241</t>
  </si>
  <si>
    <t>001391</t>
  </si>
  <si>
    <t>800 M NORTE DE ESCUELA UJARRAS</t>
  </si>
  <si>
    <t>0602450508</t>
  </si>
  <si>
    <t>86586892</t>
  </si>
  <si>
    <t>001392</t>
  </si>
  <si>
    <t>800 M SUR DE LA ESCUELA DE UJARRAS</t>
  </si>
  <si>
    <t>0113880485</t>
  </si>
  <si>
    <t>NELSON</t>
  </si>
  <si>
    <t>001393</t>
  </si>
  <si>
    <t>200 M ESTE ESCUELA UJARRAS</t>
  </si>
  <si>
    <t>0113080054</t>
  </si>
  <si>
    <t>MARILU</t>
  </si>
  <si>
    <t>22064281</t>
  </si>
  <si>
    <t>001394</t>
  </si>
  <si>
    <t>ENTRADA DE LOS EUSTAQUIOS EN UJARRAS</t>
  </si>
  <si>
    <t>0109470277</t>
  </si>
  <si>
    <t>NORMAN</t>
  </si>
  <si>
    <t>DURAN JIMENEZ</t>
  </si>
  <si>
    <t>63196021</t>
  </si>
  <si>
    <t>001395</t>
  </si>
  <si>
    <t>1 KM AL SUR DE LA ESCUELA DE UJARRAS Y 125 M ESTE</t>
  </si>
  <si>
    <t>0114840290</t>
  </si>
  <si>
    <t>ADIS MAGALY</t>
  </si>
  <si>
    <t>84084763</t>
  </si>
  <si>
    <t>001396</t>
  </si>
  <si>
    <t>0600930389</t>
  </si>
  <si>
    <t>STANLEY</t>
  </si>
  <si>
    <t>VARGAS OBANDO</t>
  </si>
  <si>
    <t>87564504</t>
  </si>
  <si>
    <t>001399</t>
  </si>
  <si>
    <t>CEIBO</t>
  </si>
  <si>
    <t>PARCELAS CEIBO, 600 M SUR, PUENTE CEIBO, PARCELA 60</t>
  </si>
  <si>
    <t>0602500762</t>
  </si>
  <si>
    <t>GARCIA MENDOZA</t>
  </si>
  <si>
    <t>89426129</t>
  </si>
  <si>
    <t>001400</t>
  </si>
  <si>
    <t>300 M NORESTE SOBRE RIO CEIBO</t>
  </si>
  <si>
    <t>0109290589</t>
  </si>
  <si>
    <t>ESTRADA TORRES</t>
  </si>
  <si>
    <t>85395694</t>
  </si>
  <si>
    <t>001401</t>
  </si>
  <si>
    <t>EL CEIBO</t>
  </si>
  <si>
    <t>2 KM SUR DE LA ESCUELA CEIBO</t>
  </si>
  <si>
    <t>0108230689</t>
  </si>
  <si>
    <t>DANILO</t>
  </si>
  <si>
    <t>ABARCA PRADO</t>
  </si>
  <si>
    <t>83637356</t>
  </si>
  <si>
    <t>001402</t>
  </si>
  <si>
    <t>PARCELAS LLANO GRANDE</t>
  </si>
  <si>
    <t>1 KM AL SUR DE LA ESCUELA IDA SAN MARTIN</t>
  </si>
  <si>
    <t>0116450142</t>
  </si>
  <si>
    <t>AGUERO BORBON</t>
  </si>
  <si>
    <t>83708881</t>
  </si>
  <si>
    <t>001403</t>
  </si>
  <si>
    <t>PARCELAS DE CEIBO</t>
  </si>
  <si>
    <t>1 KM AL SUR DE LA ESCUELA IDA SAN  MARTIN</t>
  </si>
  <si>
    <t>0114810953</t>
  </si>
  <si>
    <t>MAIRON</t>
  </si>
  <si>
    <t>CASCANTE BORBON</t>
  </si>
  <si>
    <t>85976021</t>
  </si>
  <si>
    <t>001404</t>
  </si>
  <si>
    <t>0116890604</t>
  </si>
  <si>
    <t xml:space="preserve">JENDERSON </t>
  </si>
  <si>
    <t>86691197</t>
  </si>
  <si>
    <t>001405</t>
  </si>
  <si>
    <t>PARCELAS CEIBO</t>
  </si>
  <si>
    <t>0110060808</t>
  </si>
  <si>
    <t>CASCANTE QUIROS</t>
  </si>
  <si>
    <t>86279800</t>
  </si>
  <si>
    <t>001406</t>
  </si>
  <si>
    <t>0105310911</t>
  </si>
  <si>
    <t xml:space="preserve">MARIO ALFREDO </t>
  </si>
  <si>
    <t>CASCANTE VARGAS</t>
  </si>
  <si>
    <t>001407</t>
  </si>
  <si>
    <t>BAJO REMOLINO</t>
  </si>
  <si>
    <t>250 M OESTE DEL MERCADO</t>
  </si>
  <si>
    <t>0107390958</t>
  </si>
  <si>
    <t>ARAYA ALVARADO</t>
  </si>
  <si>
    <t>83242258</t>
  </si>
  <si>
    <t>001408</t>
  </si>
  <si>
    <t>BAJO REMOLINO, 600 M OESTE Y 50 M NORTE DE GAFESO</t>
  </si>
  <si>
    <t>0108010022</t>
  </si>
  <si>
    <t>IRMA</t>
  </si>
  <si>
    <t>86058072</t>
  </si>
  <si>
    <t>001443</t>
  </si>
  <si>
    <t xml:space="preserve">FRENTE COLEGIO UJARRAS CASA 2 PLANTAS </t>
  </si>
  <si>
    <t>0401370862</t>
  </si>
  <si>
    <t>PANIAGUA RAMREZ</t>
  </si>
  <si>
    <t>88484650</t>
  </si>
  <si>
    <t>001741</t>
  </si>
  <si>
    <t xml:space="preserve">KAMAKIRI </t>
  </si>
  <si>
    <t xml:space="preserve">100DE LA ESCUELA DE KAMAKIRI </t>
  </si>
  <si>
    <t>6028405830</t>
  </si>
  <si>
    <t xml:space="preserve">ROGOBERTO </t>
  </si>
  <si>
    <t xml:space="preserve">MONTENEGRO SANCHEZ </t>
  </si>
  <si>
    <t>80589035</t>
  </si>
  <si>
    <t>001747</t>
  </si>
  <si>
    <t xml:space="preserve">SAN BOSCO </t>
  </si>
  <si>
    <t>0207510407</t>
  </si>
  <si>
    <t xml:space="preserve">STEPHANIE </t>
  </si>
  <si>
    <t xml:space="preserve">PRENDAS NARANJO </t>
  </si>
  <si>
    <t>85612539</t>
  </si>
  <si>
    <t>San Vito</t>
  </si>
  <si>
    <t>001738</t>
  </si>
  <si>
    <t xml:space="preserve">LA ISLA </t>
  </si>
  <si>
    <t>300 ESTE DEL ANTIGUO INDER</t>
  </si>
  <si>
    <t>6026001450</t>
  </si>
  <si>
    <t xml:space="preserve">VEGA SERRANO </t>
  </si>
  <si>
    <t>88494699</t>
  </si>
  <si>
    <t>001739</t>
  </si>
  <si>
    <t xml:space="preserve">LA JUNTAS </t>
  </si>
  <si>
    <t xml:space="preserve">CONTIGUO A TALLER ERICK </t>
  </si>
  <si>
    <t>6032606510</t>
  </si>
  <si>
    <t xml:space="preserve">ANA YENFRY </t>
  </si>
  <si>
    <t xml:space="preserve">ROJAS SOTO </t>
  </si>
  <si>
    <t>60326065</t>
  </si>
  <si>
    <t>001740</t>
  </si>
  <si>
    <t>LOS CUBILLE</t>
  </si>
  <si>
    <t xml:space="preserve">2KM OESTE DE ESCUELA AGUACALIENTE </t>
  </si>
  <si>
    <t>6008707980</t>
  </si>
  <si>
    <t xml:space="preserve">PORRAS CHAVEZ </t>
  </si>
  <si>
    <t>87184609</t>
  </si>
  <si>
    <t>001742</t>
  </si>
  <si>
    <t xml:space="preserve">100 MTS DE LA ESCUELA DE KAMAKIRI </t>
  </si>
  <si>
    <t>6036006240</t>
  </si>
  <si>
    <t xml:space="preserve">VARGAS PADILLA </t>
  </si>
  <si>
    <t>85675610</t>
  </si>
  <si>
    <t>001743</t>
  </si>
  <si>
    <t xml:space="preserve">100 SUR DE LA ESCUELA DE KAMAKIRI </t>
  </si>
  <si>
    <t>0108160730</t>
  </si>
  <si>
    <t>VARGAS PADILLA</t>
  </si>
  <si>
    <t>89924723</t>
  </si>
  <si>
    <t>001744</t>
  </si>
  <si>
    <t xml:space="preserve">ISLA </t>
  </si>
  <si>
    <t xml:space="preserve">100 ANTES DE ENTRADA A LI ISLA </t>
  </si>
  <si>
    <t>6028106720</t>
  </si>
  <si>
    <t xml:space="preserve">YORLENY </t>
  </si>
  <si>
    <t xml:space="preserve">PATOY FERNANDEZ </t>
  </si>
  <si>
    <t>85252734</t>
  </si>
  <si>
    <t>001745</t>
  </si>
  <si>
    <t xml:space="preserve">ADMINISTRACION </t>
  </si>
  <si>
    <t xml:space="preserve">300 DE LA ESCUELA HACIA LA PLAZA </t>
  </si>
  <si>
    <t>1062604300</t>
  </si>
  <si>
    <t xml:space="preserve">CASTRO BERMUDEZ </t>
  </si>
  <si>
    <t>87652205</t>
  </si>
  <si>
    <t>001746</t>
  </si>
  <si>
    <t xml:space="preserve">150 NORTE DEL BENEFICIO COOPESABALITO DIAGONAL AL MINISUPER PINEDA </t>
  </si>
  <si>
    <t>1063906650</t>
  </si>
  <si>
    <t xml:space="preserve">MARIA JUANITA </t>
  </si>
  <si>
    <t xml:space="preserve">FONSECA ARAYA </t>
  </si>
  <si>
    <t>89467569</t>
  </si>
  <si>
    <t>001748</t>
  </si>
  <si>
    <t xml:space="preserve">AGUA BUENA </t>
  </si>
  <si>
    <t xml:space="preserve">300 SUR DEL PUENTE SALZAR </t>
  </si>
  <si>
    <t>6021409570</t>
  </si>
  <si>
    <t xml:space="preserve">PEDRO MARTIN </t>
  </si>
  <si>
    <t xml:space="preserve">ALFARO CHAVES </t>
  </si>
  <si>
    <t>85090413</t>
  </si>
  <si>
    <t>000625</t>
  </si>
  <si>
    <t>800 M NORTE ESCUELA CEDRAL</t>
  </si>
  <si>
    <t>0602850776</t>
  </si>
  <si>
    <t>KENETH RODRIGO</t>
  </si>
  <si>
    <t>SUAREZ ARAUJA</t>
  </si>
  <si>
    <t>84373909</t>
  </si>
  <si>
    <t>000626</t>
  </si>
  <si>
    <t>DE LA ESCUELA DEL CEDRAL 400 M NORTE</t>
  </si>
  <si>
    <t>0601010504</t>
  </si>
  <si>
    <t>GONZALEZ RAMIREZ</t>
  </si>
  <si>
    <t>26478167</t>
  </si>
  <si>
    <t>000627</t>
  </si>
  <si>
    <t>VENTANAS</t>
  </si>
  <si>
    <t>3 KM DE LA ESCUELA DE VENTANAS HACIA EL SUROESTE</t>
  </si>
  <si>
    <t>0600540027</t>
  </si>
  <si>
    <t>VICTOR MANUEL DEL SOCORRO</t>
  </si>
  <si>
    <t>FONSECA MEJIAS</t>
  </si>
  <si>
    <t>89831703</t>
  </si>
  <si>
    <t>000628</t>
  </si>
  <si>
    <t>200 MTS SUR DE LA ESCUELA DE VENTANAS</t>
  </si>
  <si>
    <t>0602080759</t>
  </si>
  <si>
    <t>JOSE ARNOLDO</t>
  </si>
  <si>
    <t>TREJOS FALLAS</t>
  </si>
  <si>
    <t>85024834</t>
  </si>
  <si>
    <t>000629</t>
  </si>
  <si>
    <t>100 M SUR DE LA ESCUELA</t>
  </si>
  <si>
    <t>0503980608</t>
  </si>
  <si>
    <t xml:space="preserve">ADRIAN </t>
  </si>
  <si>
    <t>MONTIEL AGUILAR</t>
  </si>
  <si>
    <t>85655611</t>
  </si>
  <si>
    <t>000630</t>
  </si>
  <si>
    <t>300 MTS NORTE DE LA ESCUELA AL MARGEN DERECHO</t>
  </si>
  <si>
    <t>0600830245</t>
  </si>
  <si>
    <t>ALISON</t>
  </si>
  <si>
    <t>000631</t>
  </si>
  <si>
    <t>100 M SUR DE LA ESCUELA DE VENTANAS</t>
  </si>
  <si>
    <t>0601760486</t>
  </si>
  <si>
    <t xml:space="preserve">VICTOR </t>
  </si>
  <si>
    <t>SIBAJA BENAVIDES</t>
  </si>
  <si>
    <t>26478036</t>
  </si>
  <si>
    <t>000632</t>
  </si>
  <si>
    <t>LAGUNA</t>
  </si>
  <si>
    <t>0603630515</t>
  </si>
  <si>
    <t xml:space="preserve">MARVIN </t>
  </si>
  <si>
    <t>MENDEZ JIMENEZ</t>
  </si>
  <si>
    <t>85611868</t>
  </si>
  <si>
    <t>000633</t>
  </si>
  <si>
    <t>150 M SUR DE LA ESCUELA LA LAGUNA</t>
  </si>
  <si>
    <t>0601140116</t>
  </si>
  <si>
    <t>LEON MESES</t>
  </si>
  <si>
    <t>86753927</t>
  </si>
  <si>
    <t>000634</t>
  </si>
  <si>
    <t>PALMITAL</t>
  </si>
  <si>
    <t>1,5 KM AL NORTE DE LA IGLESIA CATOLICA PALMITAL</t>
  </si>
  <si>
    <t>0604720637</t>
  </si>
  <si>
    <t>YARITZA</t>
  </si>
  <si>
    <t>HERRERA CAMBRONERO</t>
  </si>
  <si>
    <t>84300525</t>
  </si>
  <si>
    <t>000635</t>
  </si>
  <si>
    <t>0106660727</t>
  </si>
  <si>
    <t>ANA PATRICIA</t>
  </si>
  <si>
    <t>MADRIGAL CESPEDES</t>
  </si>
  <si>
    <t>26478344</t>
  </si>
  <si>
    <t>000636</t>
  </si>
  <si>
    <t>1 KM AL NORTE DE LA IGLESIA</t>
  </si>
  <si>
    <t>0602190293</t>
  </si>
  <si>
    <t xml:space="preserve">JOHNY </t>
  </si>
  <si>
    <t>ARGUEDAS HERRERA</t>
  </si>
  <si>
    <t>26478103</t>
  </si>
  <si>
    <t>000637</t>
  </si>
  <si>
    <t>DEL PUESTO DE SALUD 1 KM AL NORTE AL MARGEN IZQUIERDO CARRETERA A CEDRAL</t>
  </si>
  <si>
    <t>0601000363</t>
  </si>
  <si>
    <t>Vega Chavarria</t>
  </si>
  <si>
    <t>26478116</t>
  </si>
  <si>
    <t>000638</t>
  </si>
  <si>
    <t>500 mts norte de la plaza de palmital</t>
  </si>
  <si>
    <t>0604800798</t>
  </si>
  <si>
    <t>Arnoldo</t>
  </si>
  <si>
    <t>Naranjo Alvarado</t>
  </si>
  <si>
    <t>26478268</t>
  </si>
  <si>
    <t>00639</t>
  </si>
  <si>
    <t xml:space="preserve">PAMITAL </t>
  </si>
  <si>
    <t>1 KM NORTE DE LA IGLESIA CATOLICA DE PALMITAL</t>
  </si>
  <si>
    <t>0105820335</t>
  </si>
  <si>
    <t>MARIA ADONAY</t>
  </si>
  <si>
    <t>MARIN UMAÑA</t>
  </si>
  <si>
    <t>26478226</t>
  </si>
  <si>
    <t>000640</t>
  </si>
  <si>
    <t>500 MTS NORTE DE LA PLAZA DE DEPORTES, PALMITAL</t>
  </si>
  <si>
    <t>0600600203</t>
  </si>
  <si>
    <t xml:space="preserve">HERRERA QUESADA </t>
  </si>
  <si>
    <t>24678002</t>
  </si>
  <si>
    <t>000641</t>
  </si>
  <si>
    <t>EL ENCANTO</t>
  </si>
  <si>
    <t>800 MTS NO DE SALON COMUNAL, CASA COLOR CELESTE</t>
  </si>
  <si>
    <t>0602030174</t>
  </si>
  <si>
    <t>GENARO</t>
  </si>
  <si>
    <t>JIMENEZ MORALES</t>
  </si>
  <si>
    <t>85150906</t>
  </si>
  <si>
    <t>000642</t>
  </si>
  <si>
    <t>DE LA PULPERIA SNA BUENA 300 MTS CALLE HACIA SAGA LA NUEVA 500 MTS NORTE</t>
  </si>
  <si>
    <t>6005304330</t>
  </si>
  <si>
    <t>OFELIA</t>
  </si>
  <si>
    <t>MONGE JIMENEZ</t>
  </si>
  <si>
    <t>85342293</t>
  </si>
  <si>
    <t>000643</t>
  </si>
  <si>
    <t xml:space="preserve">500 MTS NO DEL CALON COMUNAL, CASA COLOR CELESTE FRENTE A GALERON </t>
  </si>
  <si>
    <t>WALTER ANTONIO</t>
  </si>
  <si>
    <t>BENAVIDES</t>
  </si>
  <si>
    <t>83559259</t>
  </si>
  <si>
    <t>000644</t>
  </si>
  <si>
    <t>500 MTS NO DEL SALON COMUNAL</t>
  </si>
  <si>
    <t>0603520493</t>
  </si>
  <si>
    <t>CHRISTIAN</t>
  </si>
  <si>
    <t>PEREZ JIMENEZ</t>
  </si>
  <si>
    <t>83783423</t>
  </si>
  <si>
    <t>000645</t>
  </si>
  <si>
    <t>0600950217</t>
  </si>
  <si>
    <t>PEREZ OBANDO</t>
  </si>
  <si>
    <t>84467137</t>
  </si>
  <si>
    <t>000646</t>
  </si>
  <si>
    <t xml:space="preserve">500 MTS NO DEL SALON COMUNAL </t>
  </si>
  <si>
    <t>0604180049</t>
  </si>
  <si>
    <t>84090328</t>
  </si>
  <si>
    <t>00207</t>
  </si>
  <si>
    <t>Cuadrante Urbano Finca 9</t>
  </si>
  <si>
    <t>0604280085</t>
  </si>
  <si>
    <t>Joselyn María</t>
  </si>
  <si>
    <t>Obando Morales</t>
  </si>
  <si>
    <t>62782527</t>
  </si>
  <si>
    <t>001414</t>
  </si>
  <si>
    <t xml:space="preserve">ENBARCADERO </t>
  </si>
  <si>
    <t xml:space="preserve">CONTIGUO BAR AMIGOS </t>
  </si>
  <si>
    <t>6019002970</t>
  </si>
  <si>
    <t xml:space="preserve">ROBERTO </t>
  </si>
  <si>
    <t xml:space="preserve">ABRIGO CASCANTE </t>
  </si>
  <si>
    <t>85662336</t>
  </si>
  <si>
    <t>001622</t>
  </si>
  <si>
    <t>FINCA 7</t>
  </si>
  <si>
    <t>CONTIGUO A LA ESCUELA</t>
  </si>
  <si>
    <t>0701850575</t>
  </si>
  <si>
    <t>YOCSAN GERARDO</t>
  </si>
  <si>
    <t>PÉREZ PÉREZ</t>
  </si>
  <si>
    <t>86818148</t>
  </si>
  <si>
    <t>001623</t>
  </si>
  <si>
    <t>CONTIGUO A LAS ESACUELA</t>
  </si>
  <si>
    <t>6019508640</t>
  </si>
  <si>
    <t xml:space="preserve">WILLIAM </t>
  </si>
  <si>
    <t>CÉSPEDEZ ÁLVAREZ</t>
  </si>
  <si>
    <t>89130252</t>
  </si>
  <si>
    <t>001624</t>
  </si>
  <si>
    <t>0602740104</t>
  </si>
  <si>
    <t xml:space="preserve">HANNIA </t>
  </si>
  <si>
    <t>CHAVARRIA COBA</t>
  </si>
  <si>
    <t>87265251</t>
  </si>
  <si>
    <t>001625</t>
  </si>
  <si>
    <t>100 MTS DE LKA ESCUELA</t>
  </si>
  <si>
    <t>0104071039</t>
  </si>
  <si>
    <t>DUARTE ÁLVAREZ</t>
  </si>
  <si>
    <t>001626</t>
  </si>
  <si>
    <t>100 MTS DE LA ESCUELA</t>
  </si>
  <si>
    <t>6022506210</t>
  </si>
  <si>
    <t>MORA ZÚÑIGA</t>
  </si>
  <si>
    <t>86327075</t>
  </si>
  <si>
    <t>001627</t>
  </si>
  <si>
    <t>CUADRANTE  FINCA 7</t>
  </si>
  <si>
    <t>0205640655</t>
  </si>
  <si>
    <t>JUAN JOSÉ</t>
  </si>
  <si>
    <t>ZÚÑIGA PÉREZ</t>
  </si>
  <si>
    <t>001629</t>
  </si>
  <si>
    <t>CUADRANTE FINCA 7</t>
  </si>
  <si>
    <t>0603160519</t>
  </si>
  <si>
    <t xml:space="preserve">MÓNICA  </t>
  </si>
  <si>
    <t>TORRES GÓMEZ</t>
  </si>
  <si>
    <t>001630</t>
  </si>
  <si>
    <t>0601340593</t>
  </si>
  <si>
    <t>SEQUEIRA TORRES</t>
  </si>
  <si>
    <t>71959765</t>
  </si>
  <si>
    <t>001631</t>
  </si>
  <si>
    <t>SOSA</t>
  </si>
  <si>
    <t>001632</t>
  </si>
  <si>
    <t>0600930689</t>
  </si>
  <si>
    <t>ROJAS MADRIGAL</t>
  </si>
  <si>
    <t>83496883</t>
  </si>
  <si>
    <t>001633</t>
  </si>
  <si>
    <t>0800490558</t>
  </si>
  <si>
    <t xml:space="preserve">JUAN  </t>
  </si>
  <si>
    <t>RODRÍGUEZ RUIZ</t>
  </si>
  <si>
    <t>88953079</t>
  </si>
  <si>
    <t>001634</t>
  </si>
  <si>
    <t>0602300958</t>
  </si>
  <si>
    <t>DUNIA</t>
  </si>
  <si>
    <t>NAVARRETE VARGAS</t>
  </si>
  <si>
    <t>85994439</t>
  </si>
  <si>
    <t>001635</t>
  </si>
  <si>
    <t>150 MTS DEL CUADRANTE FINCA 7</t>
  </si>
  <si>
    <t>0702170907</t>
  </si>
  <si>
    <t>FRANKLIN</t>
  </si>
  <si>
    <t>KAYSVILLE MAIRIE SEQUEIRA</t>
  </si>
  <si>
    <t>61768857</t>
  </si>
  <si>
    <t>001636</t>
  </si>
  <si>
    <t>0604150246</t>
  </si>
  <si>
    <t>BRAYAN</t>
  </si>
  <si>
    <t>MORA CAMACHO</t>
  </si>
  <si>
    <t>63942637</t>
  </si>
  <si>
    <t>001637</t>
  </si>
  <si>
    <t>0602942070</t>
  </si>
  <si>
    <t>WARNER GERARDO</t>
  </si>
  <si>
    <t>MORA SEQUEIRA</t>
  </si>
  <si>
    <t>85442023</t>
  </si>
  <si>
    <t>001638</t>
  </si>
  <si>
    <t>0601030584</t>
  </si>
  <si>
    <t>GUTIERREZ G</t>
  </si>
  <si>
    <t>83888581</t>
  </si>
  <si>
    <t>001639</t>
  </si>
  <si>
    <t>0110710889</t>
  </si>
  <si>
    <t>ROJAS AGUERO</t>
  </si>
  <si>
    <t>87459133</t>
  </si>
  <si>
    <t>001640</t>
  </si>
  <si>
    <t>0603030648</t>
  </si>
  <si>
    <t>MARLEN</t>
  </si>
  <si>
    <t>001641</t>
  </si>
  <si>
    <t>0601490515</t>
  </si>
  <si>
    <t>87217827</t>
  </si>
  <si>
    <t>001642</t>
  </si>
  <si>
    <t>0602270919</t>
  </si>
  <si>
    <t>CECILIA</t>
  </si>
  <si>
    <t>CAMACHO ARGUELLO</t>
  </si>
  <si>
    <t>86084790</t>
  </si>
  <si>
    <t>001643</t>
  </si>
  <si>
    <t>CUANDRANTE FINCA 7</t>
  </si>
  <si>
    <t>0603390399</t>
  </si>
  <si>
    <t>62809596</t>
  </si>
  <si>
    <t>001644</t>
  </si>
  <si>
    <t>0610806364</t>
  </si>
  <si>
    <t>MARIA ELODIA</t>
  </si>
  <si>
    <t>SAMUDIO</t>
  </si>
  <si>
    <t>86329884</t>
  </si>
  <si>
    <t>001645</t>
  </si>
  <si>
    <t>0304850420</t>
  </si>
  <si>
    <t>JEYLIN TATIANA</t>
  </si>
  <si>
    <t>GONZALEZ MORALES</t>
  </si>
  <si>
    <t>61204787</t>
  </si>
  <si>
    <t>001646</t>
  </si>
  <si>
    <t>CUADRANTE FINCA 7.
TELEFONOS: 87197140/89407686</t>
  </si>
  <si>
    <t>0601990296</t>
  </si>
  <si>
    <t>MORALES GUTIERREZ</t>
  </si>
  <si>
    <t>83840718</t>
  </si>
  <si>
    <t>001647</t>
  </si>
  <si>
    <t>CUADRANTE FINA 7</t>
  </si>
  <si>
    <t>0106560297</t>
  </si>
  <si>
    <t>RODRIGUEZ TORRES</t>
  </si>
  <si>
    <t>001648</t>
  </si>
  <si>
    <t>CUADRANTE FINCA 7.
TELEFONOS 85731211/</t>
  </si>
  <si>
    <t>0605400442</t>
  </si>
  <si>
    <t>YEIMI</t>
  </si>
  <si>
    <t>CABRERAS GRANADA</t>
  </si>
  <si>
    <t>70319662</t>
  </si>
  <si>
    <t>001649</t>
  </si>
  <si>
    <t>CUADRIANTE FINCA7</t>
  </si>
  <si>
    <t>0604500382</t>
  </si>
  <si>
    <t>DIANA</t>
  </si>
  <si>
    <t>001650</t>
  </si>
  <si>
    <t>CUADRANTE FINCA 7.
TELEFONO: 84797642</t>
  </si>
  <si>
    <t>0108360027</t>
  </si>
  <si>
    <t>ODILIO</t>
  </si>
  <si>
    <t>PORRAS AGUILAR</t>
  </si>
  <si>
    <t>83542617</t>
  </si>
  <si>
    <t>001651</t>
  </si>
  <si>
    <t>FINCA 8</t>
  </si>
  <si>
    <t>CUADRANTE FINCA 8</t>
  </si>
  <si>
    <t>0501300914</t>
  </si>
  <si>
    <t>MARIA MERCEDES</t>
  </si>
  <si>
    <t>GOMEZ FONSECA</t>
  </si>
  <si>
    <t>001652</t>
  </si>
  <si>
    <t>FINCA 9</t>
  </si>
  <si>
    <t>CUADRANTE FINCA 9</t>
  </si>
  <si>
    <t>0602880395</t>
  </si>
  <si>
    <t>EDITH</t>
  </si>
  <si>
    <t>PRENDAS BUSTOS</t>
  </si>
  <si>
    <t>85314851</t>
  </si>
  <si>
    <t>001653</t>
  </si>
  <si>
    <t>1104800626</t>
  </si>
  <si>
    <t xml:space="preserve">CRISTIAN </t>
  </si>
  <si>
    <t>MARIN ACUÑA</t>
  </si>
  <si>
    <t>001654</t>
  </si>
  <si>
    <t>0604150042</t>
  </si>
  <si>
    <t>CORTES GUTIERREZ</t>
  </si>
  <si>
    <t>86181521</t>
  </si>
  <si>
    <t>001655</t>
  </si>
  <si>
    <t>CAUDRANTE FINCA 9</t>
  </si>
  <si>
    <t>0602210381</t>
  </si>
  <si>
    <t xml:space="preserve">PATRICIA </t>
  </si>
  <si>
    <t>GOMEZ ZAPATA</t>
  </si>
  <si>
    <t>001656</t>
  </si>
  <si>
    <t>0604270244</t>
  </si>
  <si>
    <t>JOSELYN</t>
  </si>
  <si>
    <t>RUIZ SAMUDI</t>
  </si>
  <si>
    <t>83687118</t>
  </si>
  <si>
    <t>001657</t>
  </si>
  <si>
    <t>3037600140</t>
  </si>
  <si>
    <t>CALDERON PORRAS</t>
  </si>
  <si>
    <t>001658</t>
  </si>
  <si>
    <t>0701670977</t>
  </si>
  <si>
    <t>SIANNY</t>
  </si>
  <si>
    <t xml:space="preserve">RODRIGUEZ </t>
  </si>
  <si>
    <t>001659</t>
  </si>
  <si>
    <t>0602250902</t>
  </si>
  <si>
    <t>JENNY</t>
  </si>
  <si>
    <t>SALAZAR SOTO</t>
  </si>
  <si>
    <t>001660</t>
  </si>
  <si>
    <t>0104480471</t>
  </si>
  <si>
    <t>87419454</t>
  </si>
  <si>
    <t>001661</t>
  </si>
  <si>
    <t>0603720743</t>
  </si>
  <si>
    <t>RIOS ATENCIO</t>
  </si>
  <si>
    <t>86283393</t>
  </si>
  <si>
    <t>001662</t>
  </si>
  <si>
    <t>0601950847</t>
  </si>
  <si>
    <t>ATENCIO ATENCXIO</t>
  </si>
  <si>
    <t>84841065</t>
  </si>
  <si>
    <t>001663</t>
  </si>
  <si>
    <t>0900730796</t>
  </si>
  <si>
    <t>BORBON PIEDRA</t>
  </si>
  <si>
    <t>87962599</t>
  </si>
  <si>
    <t>001664</t>
  </si>
  <si>
    <t>0603940714</t>
  </si>
  <si>
    <t>ORTEGA OCAMPO</t>
  </si>
  <si>
    <t>88666167</t>
  </si>
  <si>
    <t>001665</t>
  </si>
  <si>
    <t>0623300502</t>
  </si>
  <si>
    <t>BRICEÑO SANCHEZ</t>
  </si>
  <si>
    <t>86337233</t>
  </si>
  <si>
    <t>001666</t>
  </si>
  <si>
    <t>0604370756</t>
  </si>
  <si>
    <t>CRISTHOPHER</t>
  </si>
  <si>
    <t>HERNANDEZ SALAZAR</t>
  </si>
  <si>
    <t>86581194</t>
  </si>
  <si>
    <t>001667</t>
  </si>
  <si>
    <t>6034801310</t>
  </si>
  <si>
    <t xml:space="preserve">JOSE BERNARDO </t>
  </si>
  <si>
    <t xml:space="preserve">NUÑEZ GÓMEZ </t>
  </si>
  <si>
    <t>86093457</t>
  </si>
  <si>
    <t>001668</t>
  </si>
  <si>
    <t>6010301370</t>
  </si>
  <si>
    <t xml:space="preserve">DAISY </t>
  </si>
  <si>
    <t xml:space="preserve">MORA VINDAS </t>
  </si>
  <si>
    <t>85447924</t>
  </si>
  <si>
    <t>001669</t>
  </si>
  <si>
    <t xml:space="preserve">CUADRANTE FINCA 9 </t>
  </si>
  <si>
    <t>6022001000</t>
  </si>
  <si>
    <t xml:space="preserve">ORLANDO </t>
  </si>
  <si>
    <t xml:space="preserve">MADRIGAL DUARTE </t>
  </si>
  <si>
    <t>89155325</t>
  </si>
  <si>
    <t>001670</t>
  </si>
  <si>
    <t>CUANDRANTE FINCA 9</t>
  </si>
  <si>
    <t>0158206810</t>
  </si>
  <si>
    <t xml:space="preserve">MARIA ANGELA </t>
  </si>
  <si>
    <t xml:space="preserve">ARYA MUÑOZ </t>
  </si>
  <si>
    <t>87795504</t>
  </si>
  <si>
    <t>001671</t>
  </si>
  <si>
    <t xml:space="preserve">FINCA 9 </t>
  </si>
  <si>
    <t>6015305380</t>
  </si>
  <si>
    <t xml:space="preserve">MIGUEL ANGEL </t>
  </si>
  <si>
    <t xml:space="preserve">VASQUEZ MORALES </t>
  </si>
  <si>
    <t>85029405</t>
  </si>
  <si>
    <t>001672</t>
  </si>
  <si>
    <t>1077201250</t>
  </si>
  <si>
    <t xml:space="preserve">ANA ISABEL </t>
  </si>
  <si>
    <t xml:space="preserve">JIMENEZ NARANJO </t>
  </si>
  <si>
    <t>27866882</t>
  </si>
  <si>
    <t>001673</t>
  </si>
  <si>
    <t>6013705090</t>
  </si>
  <si>
    <t>ISACC</t>
  </si>
  <si>
    <t xml:space="preserve">ALFARO LEITÓN </t>
  </si>
  <si>
    <t>001674</t>
  </si>
  <si>
    <t>5043106860</t>
  </si>
  <si>
    <t xml:space="preserve">YERLIN </t>
  </si>
  <si>
    <t xml:space="preserve">LOPEZ CABRERA </t>
  </si>
  <si>
    <t>001675</t>
  </si>
  <si>
    <t>118708972994</t>
  </si>
  <si>
    <t xml:space="preserve">FRANCO </t>
  </si>
  <si>
    <t xml:space="preserve">OROCU </t>
  </si>
  <si>
    <t>001676</t>
  </si>
  <si>
    <t>6036003840</t>
  </si>
  <si>
    <t xml:space="preserve">JESSICA DAMARIS </t>
  </si>
  <si>
    <t xml:space="preserve">CORTÉS CABRERA </t>
  </si>
  <si>
    <t>84250897</t>
  </si>
  <si>
    <t>001677</t>
  </si>
  <si>
    <t>6022307820</t>
  </si>
  <si>
    <t xml:space="preserve">MARINA </t>
  </si>
  <si>
    <t xml:space="preserve">ESQUIVEL MENDOZA </t>
  </si>
  <si>
    <t>86686475</t>
  </si>
  <si>
    <t>001678</t>
  </si>
  <si>
    <t>CUADRANTE 9</t>
  </si>
  <si>
    <t>6029104550</t>
  </si>
  <si>
    <t xml:space="preserve">IVANNIA </t>
  </si>
  <si>
    <t xml:space="preserve">HERNANDEZ NUÑEZ </t>
  </si>
  <si>
    <t>86750674</t>
  </si>
  <si>
    <t>001679</t>
  </si>
  <si>
    <t xml:space="preserve">ALVARADO MORA </t>
  </si>
  <si>
    <t>84690878</t>
  </si>
  <si>
    <t>001680</t>
  </si>
  <si>
    <t>7017708820</t>
  </si>
  <si>
    <t xml:space="preserve">DEYLIN </t>
  </si>
  <si>
    <t>86159738</t>
  </si>
  <si>
    <t>001681</t>
  </si>
  <si>
    <t>FICA 9</t>
  </si>
  <si>
    <t>6037301750</t>
  </si>
  <si>
    <t xml:space="preserve">LETICIA </t>
  </si>
  <si>
    <t xml:space="preserve">RAMIREZ ARGUEDAS </t>
  </si>
  <si>
    <t>86020681</t>
  </si>
  <si>
    <t>001887</t>
  </si>
  <si>
    <t>0201830915</t>
  </si>
  <si>
    <t xml:space="preserve">Jose Jaime </t>
  </si>
  <si>
    <t>Hidalgo Perez</t>
  </si>
  <si>
    <t>001888</t>
  </si>
  <si>
    <t xml:space="preserve">Camibar </t>
  </si>
  <si>
    <t>Parcelas Finca 10</t>
  </si>
  <si>
    <t>co1365044</t>
  </si>
  <si>
    <t xml:space="preserve">Ever Reynaldo </t>
  </si>
  <si>
    <t xml:space="preserve">Cerdas Aleman </t>
  </si>
  <si>
    <t>84577465</t>
  </si>
  <si>
    <t>001889</t>
  </si>
  <si>
    <t xml:space="preserve">Zeneida </t>
  </si>
  <si>
    <t xml:space="preserve">Sequeira Gonzalez </t>
  </si>
  <si>
    <t>001890</t>
  </si>
  <si>
    <t>Finca 11</t>
  </si>
  <si>
    <t xml:space="preserve">Costado Este de la Plaza </t>
  </si>
  <si>
    <t>0603630908</t>
  </si>
  <si>
    <t xml:space="preserve">Marlon </t>
  </si>
  <si>
    <t xml:space="preserve">Hernandez Rosales </t>
  </si>
  <si>
    <t>86757468</t>
  </si>
  <si>
    <t>001891</t>
  </si>
  <si>
    <t>cuadrante urbano finca 11
esquina noreste 50m norte ultima casa</t>
  </si>
  <si>
    <t>0114420997</t>
  </si>
  <si>
    <t xml:space="preserve">Jonathan </t>
  </si>
  <si>
    <t xml:space="preserve">Sandi Badilla </t>
  </si>
  <si>
    <t>60027583</t>
  </si>
  <si>
    <t>001892</t>
  </si>
  <si>
    <t xml:space="preserve">Frente a la Iglesia costado Izquierdo </t>
  </si>
  <si>
    <t>0106030690</t>
  </si>
  <si>
    <t xml:space="preserve">Javier Ricardo </t>
  </si>
  <si>
    <t xml:space="preserve">Rodriguez Ceciliano </t>
  </si>
  <si>
    <t>85058547</t>
  </si>
  <si>
    <t>001893</t>
  </si>
  <si>
    <t xml:space="preserve">Costado Norte de la plaza de deportes </t>
  </si>
  <si>
    <t>0603700272</t>
  </si>
  <si>
    <t xml:space="preserve">Maribel </t>
  </si>
  <si>
    <t>Morales Barquero</t>
  </si>
  <si>
    <t>61159451</t>
  </si>
  <si>
    <t>001894</t>
  </si>
  <si>
    <t xml:space="preserve">Costado Norte de Plaza de Deportes </t>
  </si>
  <si>
    <t>0603210332</t>
  </si>
  <si>
    <t xml:space="preserve">Jurisan </t>
  </si>
  <si>
    <t>Alfaro Blanco</t>
  </si>
  <si>
    <t>84053999</t>
  </si>
  <si>
    <t>001895</t>
  </si>
  <si>
    <t xml:space="preserve">Detrás del comedor Escuela </t>
  </si>
  <si>
    <t>0601330881</t>
  </si>
  <si>
    <t xml:space="preserve">Esmeralda </t>
  </si>
  <si>
    <t xml:space="preserve">Valverde Segura </t>
  </si>
  <si>
    <t>86064147</t>
  </si>
  <si>
    <t>001896</t>
  </si>
  <si>
    <t xml:space="preserve">Detrás del comedor de la Escuela </t>
  </si>
  <si>
    <t>0603210530</t>
  </si>
  <si>
    <t xml:space="preserve">Damaris </t>
  </si>
  <si>
    <t xml:space="preserve">Castillo Obando </t>
  </si>
  <si>
    <t>63980670</t>
  </si>
  <si>
    <t>001897</t>
  </si>
  <si>
    <t xml:space="preserve">Cuadrante urbano finca 11
atrás del comedor de la escuela </t>
  </si>
  <si>
    <t>0601730689</t>
  </si>
  <si>
    <t xml:space="preserve">Maria Auxiliadora </t>
  </si>
  <si>
    <t xml:space="preserve">Obando Briones </t>
  </si>
  <si>
    <t>86118177</t>
  </si>
  <si>
    <t>001898</t>
  </si>
  <si>
    <t>Cuadrante urbano finca 11
4ta casa de la escuela</t>
  </si>
  <si>
    <t>0501940147</t>
  </si>
  <si>
    <t xml:space="preserve">Juanita </t>
  </si>
  <si>
    <t xml:space="preserve">Fernandez Bustos </t>
  </si>
  <si>
    <t>85836853</t>
  </si>
  <si>
    <t>001899</t>
  </si>
  <si>
    <t>Finca 11-6</t>
  </si>
  <si>
    <t xml:space="preserve">Cuadrante urbano finca 11-6
75m norte del Comedor de la Escuela </t>
  </si>
  <si>
    <t>0202540464</t>
  </si>
  <si>
    <t>Rojas Castro</t>
  </si>
  <si>
    <t>27881273</t>
  </si>
  <si>
    <t>001900</t>
  </si>
  <si>
    <t>Finca 6-11</t>
  </si>
  <si>
    <t xml:space="preserve">Cuadrante urbano finca 11
Costado Oeste de la plaza ultima casa </t>
  </si>
  <si>
    <t>0602780779</t>
  </si>
  <si>
    <t xml:space="preserve">Marjorie </t>
  </si>
  <si>
    <t xml:space="preserve">Medrano Morales </t>
  </si>
  <si>
    <t>88997009</t>
  </si>
  <si>
    <t>001901</t>
  </si>
  <si>
    <t>Finca 6</t>
  </si>
  <si>
    <t xml:space="preserve">Cuadrante urbano finca
Costado Este de la plaza Deportes </t>
  </si>
  <si>
    <t>0502550749</t>
  </si>
  <si>
    <t xml:space="preserve">Luis Gerardo  </t>
  </si>
  <si>
    <t>Villareal Villafuerte</t>
  </si>
  <si>
    <t>87697613</t>
  </si>
  <si>
    <t>001902</t>
  </si>
  <si>
    <t>Cuadrante Urbano finca 6
25 Oeste Plaza de Deportes 2da casa</t>
  </si>
  <si>
    <t>0502370261</t>
  </si>
  <si>
    <t xml:space="preserve">Villalobos Vindas </t>
  </si>
  <si>
    <t>84957266</t>
  </si>
  <si>
    <t>001903</t>
  </si>
  <si>
    <t xml:space="preserve">Cuadrante Urbano Finca 6
</t>
  </si>
  <si>
    <t>0602500745</t>
  </si>
  <si>
    <t xml:space="preserve">Enna </t>
  </si>
  <si>
    <t xml:space="preserve">Solorzano Villafuerte </t>
  </si>
  <si>
    <t>85493318</t>
  </si>
  <si>
    <t>001904</t>
  </si>
  <si>
    <t>Cuadrante urbano finca 6-11</t>
  </si>
  <si>
    <t>0601070113</t>
  </si>
  <si>
    <t xml:space="preserve">Bernardo </t>
  </si>
  <si>
    <t xml:space="preserve">Castro Barrantes </t>
  </si>
  <si>
    <t>27881134</t>
  </si>
  <si>
    <t>001905</t>
  </si>
  <si>
    <t>Finca 6 -11</t>
  </si>
  <si>
    <t>Cuadrante Urbano Finca 6 - 11</t>
  </si>
  <si>
    <t>0600870463</t>
  </si>
  <si>
    <t xml:space="preserve">Gladys </t>
  </si>
  <si>
    <t>Diaz Diaz</t>
  </si>
  <si>
    <t>27881164</t>
  </si>
  <si>
    <t>001906</t>
  </si>
  <si>
    <t>Cuadrante Urbano Finca 6-11</t>
  </si>
  <si>
    <t>0601580976</t>
  </si>
  <si>
    <t>Morales Najerz</t>
  </si>
  <si>
    <t>62136771</t>
  </si>
  <si>
    <t>001907</t>
  </si>
  <si>
    <t>0603030590</t>
  </si>
  <si>
    <t xml:space="preserve"> Vega Rosales </t>
  </si>
  <si>
    <t>89270582</t>
  </si>
  <si>
    <t>001908</t>
  </si>
  <si>
    <t>Finca 6 - 11</t>
  </si>
  <si>
    <t>Cuadrante Urbano finca 6 - 11</t>
  </si>
  <si>
    <t>0602610466</t>
  </si>
  <si>
    <t xml:space="preserve">Xinia </t>
  </si>
  <si>
    <t>27881098</t>
  </si>
  <si>
    <t>001909</t>
  </si>
  <si>
    <t>0602750798</t>
  </si>
  <si>
    <t xml:space="preserve">Henry </t>
  </si>
  <si>
    <t xml:space="preserve">Cespedes Berrocal </t>
  </si>
  <si>
    <t>86229266</t>
  </si>
  <si>
    <t>001910</t>
  </si>
  <si>
    <t>Cuadrante Urbano Finca  6 -11</t>
  </si>
  <si>
    <t>0606203930</t>
  </si>
  <si>
    <t xml:space="preserve">Amador Peralta </t>
  </si>
  <si>
    <t>27841021</t>
  </si>
  <si>
    <t>001911</t>
  </si>
  <si>
    <t xml:space="preserve">Walter </t>
  </si>
  <si>
    <t xml:space="preserve">Arauz Mora </t>
  </si>
  <si>
    <t>62448520</t>
  </si>
  <si>
    <t>001912</t>
  </si>
  <si>
    <t>FINCA 6-11</t>
  </si>
  <si>
    <t>CUADRANTE URBANO FINCA 6-11</t>
  </si>
  <si>
    <t>0601180528</t>
  </si>
  <si>
    <t>LAZARO MORA</t>
  </si>
  <si>
    <t>83297355</t>
  </si>
  <si>
    <t>001913</t>
  </si>
  <si>
    <t>0603170620</t>
  </si>
  <si>
    <t>ERIS MARIA</t>
  </si>
  <si>
    <t>LOZADA VIGIL</t>
  </si>
  <si>
    <t>89554842</t>
  </si>
  <si>
    <t>001914</t>
  </si>
  <si>
    <t>CUADRANTE FINCA 6-11</t>
  </si>
  <si>
    <t>0602930432</t>
  </si>
  <si>
    <t>JARDIEL</t>
  </si>
  <si>
    <t>LOBO CHAVARRIA</t>
  </si>
  <si>
    <t>85024790</t>
  </si>
  <si>
    <t>001915</t>
  </si>
  <si>
    <t>0603480134</t>
  </si>
  <si>
    <t>MORALES BARQUERO</t>
  </si>
  <si>
    <t>88552103</t>
  </si>
  <si>
    <t>001916</t>
  </si>
  <si>
    <t>0601160626</t>
  </si>
  <si>
    <t>ROSALIA</t>
  </si>
  <si>
    <t>BARQUERO NUÑEZ</t>
  </si>
  <si>
    <t>87299904</t>
  </si>
  <si>
    <t>001917</t>
  </si>
  <si>
    <t>FINCA 5</t>
  </si>
  <si>
    <t>DETRAS DEL CLUB DE FINCA 5 CASA MANO DERECHA</t>
  </si>
  <si>
    <t>0502230985</t>
  </si>
  <si>
    <t>LISBETH</t>
  </si>
  <si>
    <t>MATARRITA MURILLO</t>
  </si>
  <si>
    <t>83267493</t>
  </si>
  <si>
    <t>001918</t>
  </si>
  <si>
    <t>CUADRANTE URBANO FINCA 5 COSTADO NORTE DEL CLUB FINCA 5 PRIMERA CASA</t>
  </si>
  <si>
    <t>0601900859</t>
  </si>
  <si>
    <t>OSORNO CAMACHO</t>
  </si>
  <si>
    <t>27866771</t>
  </si>
  <si>
    <t>001919</t>
  </si>
  <si>
    <t>DETRAS DEL CLUB DE FINCA 5, ULTIMA FILA ULTIMA CASA</t>
  </si>
  <si>
    <t>0602340681</t>
  </si>
  <si>
    <t>REYES SEGURA</t>
  </si>
  <si>
    <t>61197722</t>
  </si>
  <si>
    <t>001920</t>
  </si>
  <si>
    <t>DETRAS DEL CLUB ULTIMA FILA CASA AZUL</t>
  </si>
  <si>
    <t>0602150727</t>
  </si>
  <si>
    <t>ALLAN</t>
  </si>
  <si>
    <t>JUAREZ PEREZ</t>
  </si>
  <si>
    <t>63528702</t>
  </si>
  <si>
    <t>001921</t>
  </si>
  <si>
    <t>ANTIGUA ZONA ADMINISTRATIVA</t>
  </si>
  <si>
    <t>0603480977</t>
  </si>
  <si>
    <t>MARNI LISETH</t>
  </si>
  <si>
    <t>84480688</t>
  </si>
  <si>
    <t>001922</t>
  </si>
  <si>
    <t>0600940576</t>
  </si>
  <si>
    <t>FERNANDEZ MORALES</t>
  </si>
  <si>
    <t>85329481</t>
  </si>
  <si>
    <t>001923</t>
  </si>
  <si>
    <t>PRIMERA CASA A LA PAR DE LA LECHERIA</t>
  </si>
  <si>
    <t>0604000531</t>
  </si>
  <si>
    <t>HEINER</t>
  </si>
  <si>
    <t>CABRERA GRANDA</t>
  </si>
  <si>
    <t>71417719</t>
  </si>
  <si>
    <t>001924</t>
  </si>
  <si>
    <t>DETRAS DEL CLUB ULTIMA FILA TERCERA CASA</t>
  </si>
  <si>
    <t>0604390590</t>
  </si>
  <si>
    <t>ALFARO VALERIN</t>
  </si>
  <si>
    <t>84309414</t>
  </si>
  <si>
    <t>0603940330</t>
  </si>
  <si>
    <t>ANDREA</t>
  </si>
  <si>
    <t>001925</t>
  </si>
  <si>
    <t>CUADRANTE URBANO FINCA 5</t>
  </si>
  <si>
    <t>0602990170</t>
  </si>
  <si>
    <t>LOPEZ JIMENEZ</t>
  </si>
  <si>
    <t>87819157</t>
  </si>
  <si>
    <t>001926</t>
  </si>
  <si>
    <t>50 METROS AL ESTE DE LA ESCUELA, LA SEGUNDA CASA</t>
  </si>
  <si>
    <t>0603100501</t>
  </si>
  <si>
    <t>ESTHER</t>
  </si>
  <si>
    <t>VALERIN HERNANDEZ</t>
  </si>
  <si>
    <t>86470591</t>
  </si>
  <si>
    <t>001927</t>
  </si>
  <si>
    <t>50 METROS ESTE DE LA ESCUELA DE FINCA 5</t>
  </si>
  <si>
    <t>0602460284</t>
  </si>
  <si>
    <t>88732774</t>
  </si>
  <si>
    <t>001928</t>
  </si>
  <si>
    <t>DETRAS DE LA ESCUELA, A MANO IZQUIERDA DE LA IGLESIA</t>
  </si>
  <si>
    <t>0603040734</t>
  </si>
  <si>
    <t>SIBAJA GUERRA</t>
  </si>
  <si>
    <t>86396830</t>
  </si>
  <si>
    <t>001929</t>
  </si>
  <si>
    <t>A UN COSTADO DE LA IGLESIA CATOLICA, SEGUNDA CASA DE MADERA</t>
  </si>
  <si>
    <t>0604320115</t>
  </si>
  <si>
    <t>VASQUEZ RIOS</t>
  </si>
  <si>
    <t>63817602</t>
  </si>
  <si>
    <t>001930</t>
  </si>
  <si>
    <t>DETRAS DE LA IGLESIA CATOLICA</t>
  </si>
  <si>
    <t>0604900716</t>
  </si>
  <si>
    <t>ROJAS CABRERA</t>
  </si>
  <si>
    <t>61665949</t>
  </si>
  <si>
    <t>001931</t>
  </si>
  <si>
    <t>0602430050</t>
  </si>
  <si>
    <t>PABLO</t>
  </si>
  <si>
    <t>ROJAS CHINCHILLA</t>
  </si>
  <si>
    <t>001932</t>
  </si>
  <si>
    <t>DETRAS DE LA IGLESIA</t>
  </si>
  <si>
    <t>001933</t>
  </si>
  <si>
    <t>0500840433</t>
  </si>
  <si>
    <t>PIZARRO CORTES</t>
  </si>
  <si>
    <t>001934</t>
  </si>
  <si>
    <t>COSTADO NORTE DE LA ESCUELA</t>
  </si>
  <si>
    <t>0201980738</t>
  </si>
  <si>
    <t>LEANDRO</t>
  </si>
  <si>
    <t>ALFARO ALFARO</t>
  </si>
  <si>
    <t>27867124</t>
  </si>
  <si>
    <t>001935</t>
  </si>
  <si>
    <t>200 METROS AL SUR DE LA ESCUELA</t>
  </si>
  <si>
    <t>0604360936</t>
  </si>
  <si>
    <t>KEILYN</t>
  </si>
  <si>
    <t>64441856</t>
  </si>
  <si>
    <t>001936</t>
  </si>
  <si>
    <t>DETRAS DE LA ESCUELA DE FINCA 5, TERCER CASA DE MADERA</t>
  </si>
  <si>
    <t>0603960212</t>
  </si>
  <si>
    <t>JIMENEZ MADRIGAL</t>
  </si>
  <si>
    <t>84172719</t>
  </si>
  <si>
    <t>001937</t>
  </si>
  <si>
    <t>0113360001</t>
  </si>
  <si>
    <t>AZOFEIFA VARGAS</t>
  </si>
  <si>
    <t>001938</t>
  </si>
  <si>
    <t>DETRAS DE LA ESCUELA ULTIMA CASA A LA DERECHA</t>
  </si>
  <si>
    <t>0601390334</t>
  </si>
  <si>
    <t>SAUL</t>
  </si>
  <si>
    <t>AZOFEIFA RIOS</t>
  </si>
  <si>
    <t>27866019</t>
  </si>
  <si>
    <t>001939</t>
  </si>
  <si>
    <t>DETRAS DE LA ESCUELA DE FINCA 5</t>
  </si>
  <si>
    <t>0603800772</t>
  </si>
  <si>
    <t>MARGOTH</t>
  </si>
  <si>
    <t>HERRERA GUTIERREZ</t>
  </si>
  <si>
    <t>89432672</t>
  </si>
  <si>
    <t>001940</t>
  </si>
  <si>
    <t>DE LA ENTRADA DE FINCA 5 200 METROS AL SUR</t>
  </si>
  <si>
    <t>0500980491</t>
  </si>
  <si>
    <t>TRINIDAD</t>
  </si>
  <si>
    <t>OROZCO AGUILAR</t>
  </si>
  <si>
    <t>85312822</t>
  </si>
  <si>
    <t>001941</t>
  </si>
  <si>
    <t>DE LA ENTRADA DE FINCA 5, 200 METROS AL SUR</t>
  </si>
  <si>
    <t>0603570517</t>
  </si>
  <si>
    <t>CORDERO ARTAVIA</t>
  </si>
  <si>
    <t>85799952</t>
  </si>
  <si>
    <t>001942</t>
  </si>
  <si>
    <t>DE LA ESCUELA DE FINCA 5, 200 METROS AL SUR</t>
  </si>
  <si>
    <t>0602980929</t>
  </si>
  <si>
    <t>YORLENY</t>
  </si>
  <si>
    <t>OROZCO MENDOZA</t>
  </si>
  <si>
    <t>001943</t>
  </si>
  <si>
    <t>250 METROS NORTE DE LA ESCUELA DE FINCA 5</t>
  </si>
  <si>
    <t>0603320246</t>
  </si>
  <si>
    <t>CINTHIA</t>
  </si>
  <si>
    <t>BRAVO ARAUZ</t>
  </si>
  <si>
    <t>85575017</t>
  </si>
  <si>
    <t>001944</t>
  </si>
  <si>
    <t>200 METROS NORTE DE LA ESCUELA DE FINCA 5</t>
  </si>
  <si>
    <t>0111620920</t>
  </si>
  <si>
    <t>GRACIELA</t>
  </si>
  <si>
    <t>RODRIGUEZ CARRILLO</t>
  </si>
  <si>
    <t>85177672</t>
  </si>
  <si>
    <t>001945</t>
  </si>
  <si>
    <t>0603270016</t>
  </si>
  <si>
    <t>CINTHIA DE LOS ANGELES</t>
  </si>
  <si>
    <t>ALVARADO DELGADO</t>
  </si>
  <si>
    <t>85827536</t>
  </si>
  <si>
    <t>001946</t>
  </si>
  <si>
    <t>0602410481</t>
  </si>
  <si>
    <t>MAYUIS</t>
  </si>
  <si>
    <t>MEDINA SEQUEIRA</t>
  </si>
  <si>
    <t>86210204</t>
  </si>
  <si>
    <t>001947</t>
  </si>
  <si>
    <t>0603700348</t>
  </si>
  <si>
    <t>JENNIFER</t>
  </si>
  <si>
    <t>MIRANDA MEDINA</t>
  </si>
  <si>
    <t>85062367</t>
  </si>
  <si>
    <t>001948</t>
  </si>
  <si>
    <t>0603770485</t>
  </si>
  <si>
    <t>ATENCIO SALAS</t>
  </si>
  <si>
    <t>83543341</t>
  </si>
  <si>
    <t>001949</t>
  </si>
  <si>
    <t>0601450052</t>
  </si>
  <si>
    <t>MARIA ODILIE CECILIA</t>
  </si>
  <si>
    <t>85106979</t>
  </si>
  <si>
    <t>001950</t>
  </si>
  <si>
    <t>0602980892</t>
  </si>
  <si>
    <t>ARBUROLA HERRERA</t>
  </si>
  <si>
    <t>86516272</t>
  </si>
  <si>
    <t>001951</t>
  </si>
  <si>
    <t>CUADRANTE URBANO FINCA5</t>
  </si>
  <si>
    <t>0600390044</t>
  </si>
  <si>
    <t>NATIVIDAD</t>
  </si>
  <si>
    <t>001952</t>
  </si>
  <si>
    <t>0600990195</t>
  </si>
  <si>
    <t>ELI</t>
  </si>
  <si>
    <t>LOPEZ MATARRITA</t>
  </si>
  <si>
    <t>86682553</t>
  </si>
  <si>
    <t>001953</t>
  </si>
  <si>
    <t>0602060585</t>
  </si>
  <si>
    <t>SALAS UGALDE</t>
  </si>
  <si>
    <t>89838047</t>
  </si>
  <si>
    <t>001954</t>
  </si>
  <si>
    <t>CONTIGUO A LA ESCUELA DE FINCA 5</t>
  </si>
  <si>
    <t>0601100449</t>
  </si>
  <si>
    <t>JIMENEZ ROJAS</t>
  </si>
  <si>
    <t>85168321</t>
  </si>
  <si>
    <t>001955</t>
  </si>
  <si>
    <t>COSTADO OESTE DE LA PLAZA DE DEPORTES, PRIMERA CASA</t>
  </si>
  <si>
    <t>0602720676</t>
  </si>
  <si>
    <t>87669057</t>
  </si>
  <si>
    <t>001956</t>
  </si>
  <si>
    <t>DETRAS DE LA IGLESIA CATOLICA, 150 METROS NORTE</t>
  </si>
  <si>
    <t>0604130028</t>
  </si>
  <si>
    <t>OLIVIER</t>
  </si>
  <si>
    <t>GONZALEZ HIDALGO</t>
  </si>
  <si>
    <t>85056330</t>
  </si>
  <si>
    <t>001957</t>
  </si>
  <si>
    <t>DETRAS DE LA IGLESIA CATOLICA, PRIMERA FILA ULTIMA CASA</t>
  </si>
  <si>
    <t>0603500907</t>
  </si>
  <si>
    <t>86850896</t>
  </si>
  <si>
    <t>001958</t>
  </si>
  <si>
    <t>DETRAS DE IGLESIA SEGUNDA FILA ULTIMA CASA</t>
  </si>
  <si>
    <t>0603400665</t>
  </si>
  <si>
    <t>OLGER</t>
  </si>
  <si>
    <t>85390102</t>
  </si>
  <si>
    <t>001959</t>
  </si>
  <si>
    <t>0602610403</t>
  </si>
  <si>
    <t>63527247</t>
  </si>
  <si>
    <t>001960</t>
  </si>
  <si>
    <t>DE LA PLAZA DE DEPORTES SEGUNDA CASA AL ESTE</t>
  </si>
  <si>
    <t>0603900978</t>
  </si>
  <si>
    <t>GRACE</t>
  </si>
  <si>
    <t>ALVARADO GUERRERO</t>
  </si>
  <si>
    <t>88749140</t>
  </si>
  <si>
    <t>001961</t>
  </si>
  <si>
    <t>ULTIMA CASA DE FINCA 5, ANTIGUO COMISARIATO</t>
  </si>
  <si>
    <t>0602030577</t>
  </si>
  <si>
    <t>SEGURA PIEDRA</t>
  </si>
  <si>
    <t>86160500</t>
  </si>
  <si>
    <t>001962</t>
  </si>
  <si>
    <t>COSTADO OESTE DE LA PLAZA, ULTIMA CASA</t>
  </si>
  <si>
    <t>0603950427</t>
  </si>
  <si>
    <t>ERICA</t>
  </si>
  <si>
    <t>BLANCO REYES</t>
  </si>
  <si>
    <t>61122717</t>
  </si>
  <si>
    <t>001963</t>
  </si>
  <si>
    <t>COSTADO OESTE DE LA PLAZA</t>
  </si>
  <si>
    <t>0603460107</t>
  </si>
  <si>
    <t>EVARISTO</t>
  </si>
  <si>
    <t>86280289</t>
  </si>
  <si>
    <t>001964</t>
  </si>
  <si>
    <t>100 METRSO SUR DE LA ESCUELA DE FINCA 5</t>
  </si>
  <si>
    <t>0600930875</t>
  </si>
  <si>
    <t>SALAMANCA ALVAREZ</t>
  </si>
  <si>
    <t>87299826</t>
  </si>
  <si>
    <t>001965</t>
  </si>
  <si>
    <t>FREBTE A LA IGLESIA CATOLICA</t>
  </si>
  <si>
    <t>0603390259</t>
  </si>
  <si>
    <t>MORAGA MATARRITA</t>
  </si>
  <si>
    <t>85946803</t>
  </si>
  <si>
    <t>001966</t>
  </si>
  <si>
    <t>DETRAS DE LA IGLESIA CATOLICA, 150 METROS NORTE MANO IZQUIERDA</t>
  </si>
  <si>
    <t>0604060945</t>
  </si>
  <si>
    <t>84509963</t>
  </si>
  <si>
    <t>001967</t>
  </si>
  <si>
    <t>50 METROS ESTE DE LA PLAZA DE DEPORTES</t>
  </si>
  <si>
    <t>0118320572</t>
  </si>
  <si>
    <t>ROJAS VALVERDE</t>
  </si>
  <si>
    <t>85876655</t>
  </si>
  <si>
    <t>001968</t>
  </si>
  <si>
    <t>0501503200</t>
  </si>
  <si>
    <t>SATURDINO</t>
  </si>
  <si>
    <t>LOPEZ GODINES</t>
  </si>
  <si>
    <t>84506602</t>
  </si>
  <si>
    <t>001969</t>
  </si>
  <si>
    <t>150 METROS ESTE DE LA PLAZA DE DEPORTES, CASA ESQUINERA</t>
  </si>
  <si>
    <t>0604300636</t>
  </si>
  <si>
    <t>STEVEN</t>
  </si>
  <si>
    <t>001970</t>
  </si>
  <si>
    <t>COSTADO NORTE DE LA PLAZA</t>
  </si>
  <si>
    <t>0602230409</t>
  </si>
  <si>
    <t>MADRIGAL CHAVERRI</t>
  </si>
  <si>
    <t>001971</t>
  </si>
  <si>
    <t>CUADRANTE URBANO FINCA COSTADO NORTE DE LA PLAZA DE DEPORTES , 4 CASA</t>
  </si>
  <si>
    <t>83580747</t>
  </si>
  <si>
    <t>001972</t>
  </si>
  <si>
    <t>CUADRANTE URBANO FINCA COSTADO ESTE DE LA PLAZA DE DEPORTES</t>
  </si>
  <si>
    <t>89126171</t>
  </si>
  <si>
    <t>001973</t>
  </si>
  <si>
    <t xml:space="preserve">FINCA 5 </t>
  </si>
  <si>
    <t>CUADRANTE URBANO FINCA COSTADO ESTE DE LA PLZA DE DEPORTES 2 DA CASA</t>
  </si>
  <si>
    <t>86402165</t>
  </si>
  <si>
    <t>001974</t>
  </si>
  <si>
    <t>DETRAS DEL CLUB FINCA FINCA 5 TERCERA FILA PRIMERA CASA</t>
  </si>
  <si>
    <t>0110960324</t>
  </si>
  <si>
    <t xml:space="preserve">JESSICA </t>
  </si>
  <si>
    <t xml:space="preserve">AZOFEIFA VARGAS </t>
  </si>
  <si>
    <t>86508911</t>
  </si>
  <si>
    <t>0109602400</t>
  </si>
  <si>
    <t>1975</t>
  </si>
  <si>
    <t xml:space="preserve">DETRAS DEL CLUB FINCA 5 CASA CREMA </t>
  </si>
  <si>
    <t>0109410099</t>
  </si>
  <si>
    <t>SILVIA ELENA</t>
  </si>
  <si>
    <t>VELAZQUEZ BUSTOS</t>
  </si>
  <si>
    <t>61713589</t>
  </si>
  <si>
    <t xml:space="preserve">SILVIA ELENA </t>
  </si>
  <si>
    <t>001976</t>
  </si>
  <si>
    <t>150 METROS AL NORTE DE LA ESCUELA PULPERIA</t>
  </si>
  <si>
    <t>88992080</t>
  </si>
  <si>
    <t>001998</t>
  </si>
  <si>
    <t>Cuadrante urbano finca 9</t>
  </si>
  <si>
    <t>0602520589</t>
  </si>
  <si>
    <t>Ronaldo</t>
  </si>
  <si>
    <t>Nuñez Moraga</t>
  </si>
  <si>
    <t>85734925</t>
  </si>
  <si>
    <t>001999</t>
  </si>
  <si>
    <t>0601180861</t>
  </si>
  <si>
    <t>Jesus</t>
  </si>
  <si>
    <t>Alvarez Sandoval</t>
  </si>
  <si>
    <t>61826724</t>
  </si>
  <si>
    <t>002000</t>
  </si>
  <si>
    <t>0601900721</t>
  </si>
  <si>
    <t>Reyes Vega</t>
  </si>
  <si>
    <t>87521805</t>
  </si>
  <si>
    <t>002001</t>
  </si>
  <si>
    <t>Prendas Bustos</t>
  </si>
  <si>
    <t>002002</t>
  </si>
  <si>
    <t>0602000141</t>
  </si>
  <si>
    <t>Elias</t>
  </si>
  <si>
    <t>Dominguez Vega</t>
  </si>
  <si>
    <t>002003</t>
  </si>
  <si>
    <t>0108820969</t>
  </si>
  <si>
    <t>Carlos Enrique</t>
  </si>
  <si>
    <t>Lopez Gutierrez</t>
  </si>
  <si>
    <t>002004</t>
  </si>
  <si>
    <t>0102990239</t>
  </si>
  <si>
    <t>Corrales Brenes</t>
  </si>
  <si>
    <t>84223141</t>
  </si>
  <si>
    <t>002005</t>
  </si>
  <si>
    <t>Sequeira Mondoy</t>
  </si>
  <si>
    <t>002006</t>
  </si>
  <si>
    <t>0701850025</t>
  </si>
  <si>
    <t>Yessica</t>
  </si>
  <si>
    <t>Aguilar Díaz</t>
  </si>
  <si>
    <t>85852971</t>
  </si>
  <si>
    <t>002008</t>
  </si>
  <si>
    <t>0113760412</t>
  </si>
  <si>
    <t>Isaac</t>
  </si>
  <si>
    <t>Cháves Piedra</t>
  </si>
  <si>
    <t>85189321</t>
  </si>
  <si>
    <t>002009</t>
  </si>
  <si>
    <t>0603540698</t>
  </si>
  <si>
    <t>William</t>
  </si>
  <si>
    <t>Campos Araya</t>
  </si>
  <si>
    <t>84381848</t>
  </si>
  <si>
    <t>002010</t>
  </si>
  <si>
    <t>0602580279</t>
  </si>
  <si>
    <t>Laura</t>
  </si>
  <si>
    <t>Calderón Peralta</t>
  </si>
  <si>
    <t>84787927</t>
  </si>
  <si>
    <t>002011</t>
  </si>
  <si>
    <t>0603220845</t>
  </si>
  <si>
    <t>Roger Eduardo</t>
  </si>
  <si>
    <t>84566061</t>
  </si>
  <si>
    <t>002012</t>
  </si>
  <si>
    <t>0501170582</t>
  </si>
  <si>
    <t>Maximiliano</t>
  </si>
  <si>
    <t>Bogantes Campos</t>
  </si>
  <si>
    <t>002013</t>
  </si>
  <si>
    <t>0603980194</t>
  </si>
  <si>
    <t>Videlia</t>
  </si>
  <si>
    <t>López Cabrera</t>
  </si>
  <si>
    <t>61047190</t>
  </si>
  <si>
    <t>002014</t>
  </si>
  <si>
    <t>0115480420</t>
  </si>
  <si>
    <t>lópez Cabrera</t>
  </si>
  <si>
    <t>002015</t>
  </si>
  <si>
    <t>0501470063</t>
  </si>
  <si>
    <t>Haydee Paulina</t>
  </si>
  <si>
    <t>Garcia Garcia</t>
  </si>
  <si>
    <t>002016</t>
  </si>
  <si>
    <t>Después del puente casa de dos plantas M/D</t>
  </si>
  <si>
    <t>0602770228</t>
  </si>
  <si>
    <t>Ginet</t>
  </si>
  <si>
    <t>Orozco Mendoza</t>
  </si>
  <si>
    <t>85170068</t>
  </si>
  <si>
    <t>002017</t>
  </si>
  <si>
    <t>100 metros sur de la escuela</t>
  </si>
  <si>
    <t>0501360459</t>
  </si>
  <si>
    <t>Baltodano Diaz</t>
  </si>
  <si>
    <t>002018</t>
  </si>
  <si>
    <t>Contiguo a la escuela</t>
  </si>
  <si>
    <t>0602310469</t>
  </si>
  <si>
    <t>Obando Jiménez</t>
  </si>
  <si>
    <t>86489620</t>
  </si>
  <si>
    <t>002019</t>
  </si>
  <si>
    <t>Parcelas Finca 9</t>
  </si>
  <si>
    <t>Parcelas de Finca 9</t>
  </si>
  <si>
    <t>0603330151</t>
  </si>
  <si>
    <t>Rosales Vargas</t>
  </si>
  <si>
    <t>83981072</t>
  </si>
  <si>
    <t>002020</t>
  </si>
  <si>
    <t>Finca 10</t>
  </si>
  <si>
    <t xml:space="preserve">150 oeste de la iglesia </t>
  </si>
  <si>
    <t>0600880445</t>
  </si>
  <si>
    <t>Angelica</t>
  </si>
  <si>
    <t>Morales Cerdas</t>
  </si>
  <si>
    <t>83492854</t>
  </si>
  <si>
    <t>002021</t>
  </si>
  <si>
    <t>150 metros sur de la Iglesia</t>
  </si>
  <si>
    <t>0601140757</t>
  </si>
  <si>
    <t>Villareal Villareal</t>
  </si>
  <si>
    <t>62378526</t>
  </si>
  <si>
    <t>002022</t>
  </si>
  <si>
    <t>En la pulpería Jiménez</t>
  </si>
  <si>
    <t>0601220807</t>
  </si>
  <si>
    <t>Hilaria</t>
  </si>
  <si>
    <t>Morales Najera</t>
  </si>
  <si>
    <t>27866917</t>
  </si>
  <si>
    <t>002023</t>
  </si>
  <si>
    <t>25 metros oeste de la Iglesia</t>
  </si>
  <si>
    <t>0202660867</t>
  </si>
  <si>
    <t>Rueda Peréz</t>
  </si>
  <si>
    <t>83124919</t>
  </si>
  <si>
    <t>002024</t>
  </si>
  <si>
    <t>Contiguo a la iglesia</t>
  </si>
  <si>
    <t>0501170334</t>
  </si>
  <si>
    <t>23100789</t>
  </si>
  <si>
    <t>002025</t>
  </si>
  <si>
    <t>Frente a la plaza de deportes Costa Norte, primera casa</t>
  </si>
  <si>
    <t>0601590320</t>
  </si>
  <si>
    <t>Agustín</t>
  </si>
  <si>
    <t>Leiva Lezcano</t>
  </si>
  <si>
    <t>64500242</t>
  </si>
  <si>
    <t>002026</t>
  </si>
  <si>
    <t>200 sur de la iglesia calle antigua empacadora</t>
  </si>
  <si>
    <t>0604240197</t>
  </si>
  <si>
    <t>Godinez Cubillo</t>
  </si>
  <si>
    <t>61150911</t>
  </si>
  <si>
    <t>002027</t>
  </si>
  <si>
    <t>25 Este de la escuela</t>
  </si>
  <si>
    <t>0110690496</t>
  </si>
  <si>
    <t>Godines Cubillo</t>
  </si>
  <si>
    <t>86502438</t>
  </si>
  <si>
    <t>002028</t>
  </si>
  <si>
    <t>35 m. este de la Escuela.</t>
  </si>
  <si>
    <t>0103520744</t>
  </si>
  <si>
    <t>Godinez Mora</t>
  </si>
  <si>
    <t>27867256</t>
  </si>
  <si>
    <t>002029</t>
  </si>
  <si>
    <t>Costado sur de la plaza</t>
  </si>
  <si>
    <t>0602420434</t>
  </si>
  <si>
    <t>Muñoz Sanchez</t>
  </si>
  <si>
    <t>62508387</t>
  </si>
  <si>
    <t>002030</t>
  </si>
  <si>
    <t>Costado este de la plaza</t>
  </si>
  <si>
    <t>0602180526</t>
  </si>
  <si>
    <t xml:space="preserve"> Avia Santamaría</t>
  </si>
  <si>
    <t>87159423</t>
  </si>
  <si>
    <t>002031</t>
  </si>
  <si>
    <t>Frente a la Iglesia</t>
  </si>
  <si>
    <t>0501431431</t>
  </si>
  <si>
    <t>Elizabet</t>
  </si>
  <si>
    <t>Sánchez Chávez</t>
  </si>
  <si>
    <t>72723929</t>
  </si>
  <si>
    <t>002032</t>
  </si>
  <si>
    <t>Entrada antigua empacadora, 4 casa.</t>
  </si>
  <si>
    <t>0205260966</t>
  </si>
  <si>
    <t>Olga</t>
  </si>
  <si>
    <t>Maltez Arragón</t>
  </si>
  <si>
    <t>60878091</t>
  </si>
  <si>
    <t>002033</t>
  </si>
  <si>
    <t>100 metros sur de la Iglesia.</t>
  </si>
  <si>
    <t>0602030998</t>
  </si>
  <si>
    <t>Blanca Rosa</t>
  </si>
  <si>
    <t>85205827</t>
  </si>
  <si>
    <t>002034</t>
  </si>
  <si>
    <t>De la Iglesia, 200 m. sur, última casa.</t>
  </si>
  <si>
    <t>0107250416</t>
  </si>
  <si>
    <t>Maria Eugenia</t>
  </si>
  <si>
    <t>Ramírez Vazques</t>
  </si>
  <si>
    <t>61021112</t>
  </si>
  <si>
    <t>002035</t>
  </si>
  <si>
    <t>Cuadrante urbano finca</t>
  </si>
  <si>
    <t>0601810073</t>
  </si>
  <si>
    <t>Sonia Damaris</t>
  </si>
  <si>
    <t>Hidalgo Quirós</t>
  </si>
  <si>
    <t>86653131</t>
  </si>
  <si>
    <t>002036</t>
  </si>
  <si>
    <t>Cuadrante urbano Finca 10</t>
  </si>
  <si>
    <t>0704807540</t>
  </si>
  <si>
    <t>Otoniel</t>
  </si>
  <si>
    <t>León Arias</t>
  </si>
  <si>
    <t>89192942</t>
  </si>
  <si>
    <t>002037</t>
  </si>
  <si>
    <t>0601800745</t>
  </si>
  <si>
    <t>Delgado Castillo</t>
  </si>
  <si>
    <t>86134229</t>
  </si>
  <si>
    <t>002038</t>
  </si>
  <si>
    <t>0602710946</t>
  </si>
  <si>
    <t>Reiner</t>
  </si>
  <si>
    <t>Navarrete Gómez</t>
  </si>
  <si>
    <t>60696322</t>
  </si>
  <si>
    <t>002039</t>
  </si>
  <si>
    <t>Cuandrante urbano Finca 10</t>
  </si>
  <si>
    <t>0602980715</t>
  </si>
  <si>
    <t>Duarte Villareal</t>
  </si>
  <si>
    <t>61224025</t>
  </si>
  <si>
    <t>002040</t>
  </si>
  <si>
    <t>0604330068</t>
  </si>
  <si>
    <t>Lisethe</t>
  </si>
  <si>
    <t>Alfaro Acevedo</t>
  </si>
  <si>
    <t>88735562</t>
  </si>
  <si>
    <t>002041</t>
  </si>
  <si>
    <t>0202290615</t>
  </si>
  <si>
    <t>Fernando</t>
  </si>
  <si>
    <t>Artavia Artavia</t>
  </si>
  <si>
    <t>002042</t>
  </si>
  <si>
    <t>0603120247</t>
  </si>
  <si>
    <t>José Adrian</t>
  </si>
  <si>
    <t>Jiménez Araya</t>
  </si>
  <si>
    <t>27866711</t>
  </si>
  <si>
    <t>002043</t>
  </si>
  <si>
    <t>0600540872</t>
  </si>
  <si>
    <t>Guevara Quintero</t>
  </si>
  <si>
    <t>27867029</t>
  </si>
  <si>
    <t>002044</t>
  </si>
  <si>
    <t>0603160722</t>
  </si>
  <si>
    <t>Edith Janet</t>
  </si>
  <si>
    <t>62763437</t>
  </si>
  <si>
    <t>002045</t>
  </si>
  <si>
    <t>0601670082</t>
  </si>
  <si>
    <t>José Angel</t>
  </si>
  <si>
    <t>Díaz Mararrita</t>
  </si>
  <si>
    <t>84653204</t>
  </si>
  <si>
    <t>002046</t>
  </si>
  <si>
    <t>Cuadrante urbano Finca 10. 100 metros sur, frente a la iglesia evangélica, mano izquierda.</t>
  </si>
  <si>
    <t>0900560524</t>
  </si>
  <si>
    <t>Niza Rufina</t>
  </si>
  <si>
    <t>Matarrita Moreno</t>
  </si>
  <si>
    <t>002047</t>
  </si>
  <si>
    <t>Cuadrante urbano Finca 10. 50 m. oeste de la iglesia evangélica, mano izquierda.</t>
  </si>
  <si>
    <t>0601070720</t>
  </si>
  <si>
    <t>Tomasa</t>
  </si>
  <si>
    <t>Villafuerte Pérez</t>
  </si>
  <si>
    <t>002048</t>
  </si>
  <si>
    <t>Cuadrante urbano Finca 10. 70 m. oeste de la Iglesia, casa rosada a mano izquierda.</t>
  </si>
  <si>
    <t>0104440807</t>
  </si>
  <si>
    <t>Lopez Badilla</t>
  </si>
  <si>
    <t>60859799</t>
  </si>
  <si>
    <t>002049</t>
  </si>
  <si>
    <t>Cuadrante urbano Finca 10. Costado este de la plaza, 4° fila.</t>
  </si>
  <si>
    <t>0603760070</t>
  </si>
  <si>
    <t>Caterin</t>
  </si>
  <si>
    <t>Muñoz Ruiz</t>
  </si>
  <si>
    <t>84839303</t>
  </si>
  <si>
    <t>002050</t>
  </si>
  <si>
    <t>Cuadrante urbano Finca 10. Costado este de la plaza, 3° fila.</t>
  </si>
  <si>
    <t>0617306970</t>
  </si>
  <si>
    <t>Xiodonia</t>
  </si>
  <si>
    <t>Ruiz Acebedo</t>
  </si>
  <si>
    <t>002051</t>
  </si>
  <si>
    <t>Cuadrante urbano Finca 10. Costado este de la Plaza, 3° fila.</t>
  </si>
  <si>
    <t>0602490688</t>
  </si>
  <si>
    <t>Damaris</t>
  </si>
  <si>
    <t>Arauz Ríos</t>
  </si>
  <si>
    <t>86884137</t>
  </si>
  <si>
    <t>002052</t>
  </si>
  <si>
    <t>Cuadrante urbano Finca 10. Costado este de la plaza, 3° fila, 2° casa.</t>
  </si>
  <si>
    <t>0602040487</t>
  </si>
  <si>
    <t>Acosta Ruiz</t>
  </si>
  <si>
    <t>63723634</t>
  </si>
  <si>
    <t>002053</t>
  </si>
  <si>
    <t>Cuadrante urbano Finca 10. Costado este de la plaza, fila 1°, 4° casa.</t>
  </si>
  <si>
    <t>0603600106</t>
  </si>
  <si>
    <t>Murillo Espinosa</t>
  </si>
  <si>
    <t>63531115</t>
  </si>
  <si>
    <t>002054</t>
  </si>
  <si>
    <t>Cuadrante urbano Finca 10. Costado este de la plaza.</t>
  </si>
  <si>
    <t>0500720848</t>
  </si>
  <si>
    <t>Diopoldino</t>
  </si>
  <si>
    <t>Obando Obando</t>
  </si>
  <si>
    <t>83892677</t>
  </si>
  <si>
    <t>002055</t>
  </si>
  <si>
    <t>Cuadrante urbano Finca 10. Costado este de la plaza, 1° fila, 2° casa.</t>
  </si>
  <si>
    <t>0600910788</t>
  </si>
  <si>
    <t>Yolanda</t>
  </si>
  <si>
    <t>Ledezma Ledezma</t>
  </si>
  <si>
    <t>27864007</t>
  </si>
  <si>
    <t>002056</t>
  </si>
  <si>
    <t>Cuadrante urbano Finca 10. Costado este de la plaza, 2° fila, primera casa.</t>
  </si>
  <si>
    <t>0202900227</t>
  </si>
  <si>
    <t>Jonathan</t>
  </si>
  <si>
    <t>84842428</t>
  </si>
  <si>
    <t>002057</t>
  </si>
  <si>
    <t>Finca  10</t>
  </si>
  <si>
    <t>Cuadrante urbano Finca 10
Teléfono 65527710</t>
  </si>
  <si>
    <t>0106730554</t>
  </si>
  <si>
    <t>Xinia Maria</t>
  </si>
  <si>
    <t>Fernandez Rojas</t>
  </si>
  <si>
    <t>84400871</t>
  </si>
  <si>
    <t>002058</t>
  </si>
  <si>
    <t>finca 10</t>
  </si>
  <si>
    <t>Cuadrante urbano  Finca 10</t>
  </si>
  <si>
    <t>0600730979</t>
  </si>
  <si>
    <t>Alvarado Saborio</t>
  </si>
  <si>
    <t>27865262</t>
  </si>
  <si>
    <t>002059</t>
  </si>
  <si>
    <t>cuadrante Urbano  Finca 10</t>
  </si>
  <si>
    <t>0602430412</t>
  </si>
  <si>
    <t>Aristides</t>
  </si>
  <si>
    <t>Mora Sanchez</t>
  </si>
  <si>
    <t>27866552</t>
  </si>
  <si>
    <t>002060</t>
  </si>
  <si>
    <t>Cuadrante Urbano Finca 10</t>
  </si>
  <si>
    <t>0701830402</t>
  </si>
  <si>
    <t>Martinez Mendoza</t>
  </si>
  <si>
    <t>88791578</t>
  </si>
  <si>
    <t>002061</t>
  </si>
  <si>
    <t>Cuadrante Urbano  Finca 10</t>
  </si>
  <si>
    <t>0602730446</t>
  </si>
  <si>
    <t>Leyner</t>
  </si>
  <si>
    <t>Murillo Gamboa</t>
  </si>
  <si>
    <t>87862908</t>
  </si>
  <si>
    <t>002062</t>
  </si>
  <si>
    <t>FDinca 10</t>
  </si>
  <si>
    <t>Cuadrante Urbano Finca 10
Teléfono 85458378</t>
  </si>
  <si>
    <t>0603270226</t>
  </si>
  <si>
    <t>Roxana</t>
  </si>
  <si>
    <t>88422505</t>
  </si>
  <si>
    <t>002063</t>
  </si>
  <si>
    <t>0900670283</t>
  </si>
  <si>
    <t>Chavarria Quiros</t>
  </si>
  <si>
    <t>002064</t>
  </si>
  <si>
    <t>0601640182</t>
  </si>
  <si>
    <t>Salazar Villareal</t>
  </si>
  <si>
    <t>84456813</t>
  </si>
  <si>
    <t>2366</t>
  </si>
  <si>
    <t>Finca</t>
  </si>
  <si>
    <t>Entrada del Guayabo frente iglesia católica</t>
  </si>
  <si>
    <t>0207220147</t>
  </si>
  <si>
    <t xml:space="preserve">Mariana </t>
  </si>
  <si>
    <t>Rivas Araya</t>
  </si>
  <si>
    <t>88707017</t>
  </si>
  <si>
    <t>2367</t>
  </si>
  <si>
    <t>Pulpería el Guayabo, frente iglesia</t>
  </si>
  <si>
    <t>0506320479</t>
  </si>
  <si>
    <t>Ana María</t>
  </si>
  <si>
    <t>Ledezma Rodríguez</t>
  </si>
  <si>
    <t>2368</t>
  </si>
  <si>
    <t>Finca ___</t>
  </si>
  <si>
    <t>25m este y 50 m norte Pulpería Flory</t>
  </si>
  <si>
    <t>0601070754</t>
  </si>
  <si>
    <t>Isabel</t>
  </si>
  <si>
    <t>Gómez Gómez</t>
  </si>
  <si>
    <t>27881027</t>
  </si>
  <si>
    <t>2369</t>
  </si>
  <si>
    <t>25 m este y 50m norte Pulpería Flory</t>
  </si>
  <si>
    <t>0602080877</t>
  </si>
  <si>
    <t xml:space="preserve">Fran </t>
  </si>
  <si>
    <t>Díaz Matarrita</t>
  </si>
  <si>
    <t>86016092</t>
  </si>
  <si>
    <t>2370</t>
  </si>
  <si>
    <t>Finca ____</t>
  </si>
  <si>
    <t>25 m este y 50 m norte de la Pulpería Flory</t>
  </si>
  <si>
    <t>Ena</t>
  </si>
  <si>
    <t>Solano</t>
  </si>
  <si>
    <t>2371</t>
  </si>
  <si>
    <t>De la Pulpería el Guayabo - frente iglesia católica</t>
  </si>
  <si>
    <t>0601510503</t>
  </si>
  <si>
    <t>50108470</t>
  </si>
  <si>
    <t>2372</t>
  </si>
  <si>
    <t>25 m este y 100 m norte de la Pulpería Flory</t>
  </si>
  <si>
    <t>0609360342</t>
  </si>
  <si>
    <t xml:space="preserve">Marcos </t>
  </si>
  <si>
    <t>Chavez</t>
  </si>
  <si>
    <t>87029772</t>
  </si>
  <si>
    <t>2373</t>
  </si>
  <si>
    <t>25 m este y 50 m norte de la Pulpería Flory
Finca 6-11</t>
  </si>
  <si>
    <t>0603140819</t>
  </si>
  <si>
    <t>Gesenia</t>
  </si>
  <si>
    <t>Montero Alvarado</t>
  </si>
  <si>
    <t>2374</t>
  </si>
  <si>
    <t>Entrada a Guayabo frente a la iglesia católica</t>
  </si>
  <si>
    <t>0207080855</t>
  </si>
  <si>
    <t>Pablo Agustin</t>
  </si>
  <si>
    <t>85684219</t>
  </si>
  <si>
    <t>2375</t>
  </si>
  <si>
    <t>200 m este y 150 m norte de la plaza de deportes F-6</t>
  </si>
  <si>
    <t>0603110553</t>
  </si>
  <si>
    <t>85498813</t>
  </si>
  <si>
    <t>2376</t>
  </si>
  <si>
    <t>200 m y 100 norte de la plaza de futbol Finca 6</t>
  </si>
  <si>
    <t>158100198113</t>
  </si>
  <si>
    <t>Alicia</t>
  </si>
  <si>
    <t>Salazar Cubillo</t>
  </si>
  <si>
    <t>87979496</t>
  </si>
  <si>
    <t>2377</t>
  </si>
  <si>
    <t>De la pulpería Flory 75 m este y 100 m norte</t>
  </si>
  <si>
    <t>0603390710</t>
  </si>
  <si>
    <t>Cerdas Esquivel</t>
  </si>
  <si>
    <t>87670328</t>
  </si>
  <si>
    <t>2378</t>
  </si>
  <si>
    <t>200 m este de la plaza de deportes Finca 6 Bodega celeste</t>
  </si>
  <si>
    <t>0604330367</t>
  </si>
  <si>
    <t>Mixy</t>
  </si>
  <si>
    <t>Ibarra Molina</t>
  </si>
  <si>
    <t>83238636</t>
  </si>
  <si>
    <t>2379</t>
  </si>
  <si>
    <t>De la plaza de deportes Finca 6, 100 m este</t>
  </si>
  <si>
    <t>0601240569</t>
  </si>
  <si>
    <t>Díaz</t>
  </si>
  <si>
    <t>83216874</t>
  </si>
  <si>
    <t>2380</t>
  </si>
  <si>
    <t>250 m este de la plaza de deportes</t>
  </si>
  <si>
    <t>0103420333</t>
  </si>
  <si>
    <t>Barboza</t>
  </si>
  <si>
    <t>2381</t>
  </si>
  <si>
    <t>50 m norte, 50 m este y 100 m norte de la Pulpería El Guayabo</t>
  </si>
  <si>
    <t>0108690281</t>
  </si>
  <si>
    <t>Fanny</t>
  </si>
  <si>
    <t>Urbina Sánchez</t>
  </si>
  <si>
    <t>86445254</t>
  </si>
  <si>
    <t>2382</t>
  </si>
  <si>
    <t>50 m norte, 50 m este y 100m norte de la pulpería el Guayabo, última casa</t>
  </si>
  <si>
    <t>0603240933</t>
  </si>
  <si>
    <t>Jenny</t>
  </si>
  <si>
    <t>Espinoza Alvarado</t>
  </si>
  <si>
    <t>87013272</t>
  </si>
  <si>
    <t>2383</t>
  </si>
  <si>
    <t>Pulpería Flory 25m al este y 25m norte</t>
  </si>
  <si>
    <t>0205750465</t>
  </si>
  <si>
    <t xml:space="preserve">Alicia </t>
  </si>
  <si>
    <t>Arrieta Hidalgo</t>
  </si>
  <si>
    <t>88678085</t>
  </si>
  <si>
    <t>2384</t>
  </si>
  <si>
    <t>De la pulpería Guayabo 50 m norte, 50m este, 50 m norte</t>
  </si>
  <si>
    <t>0604220548</t>
  </si>
  <si>
    <t>Mora Solano</t>
  </si>
  <si>
    <t>83600292</t>
  </si>
  <si>
    <t>2385</t>
  </si>
  <si>
    <t>De la pulpería Guayabo 50 m norte, 50 m este y 75 m norte</t>
  </si>
  <si>
    <t>0400720257</t>
  </si>
  <si>
    <t>Margarita</t>
  </si>
  <si>
    <t>Esquivel Rodríguez</t>
  </si>
  <si>
    <t>2386</t>
  </si>
  <si>
    <t>Empacadora</t>
  </si>
  <si>
    <t>0601120323</t>
  </si>
  <si>
    <t>Ricardo</t>
  </si>
  <si>
    <t>Ibarra Chacón</t>
  </si>
  <si>
    <t>86534937</t>
  </si>
  <si>
    <t>2387</t>
  </si>
  <si>
    <t>De la pulpería Flory 50 m noroeste</t>
  </si>
  <si>
    <t>0701230662</t>
  </si>
  <si>
    <t>Ibarra Ledezma</t>
  </si>
  <si>
    <t>86781270</t>
  </si>
  <si>
    <t>2388</t>
  </si>
  <si>
    <t>50 m este de la parada de buses</t>
  </si>
  <si>
    <t>0604220517</t>
  </si>
  <si>
    <t>Ivan</t>
  </si>
  <si>
    <t>88482720</t>
  </si>
  <si>
    <t>2389</t>
  </si>
  <si>
    <t>300 m noroeste de la calla última</t>
  </si>
  <si>
    <t>0602100170</t>
  </si>
  <si>
    <t>Herlin Gerardo</t>
  </si>
  <si>
    <t>Chavarría Campos</t>
  </si>
  <si>
    <t>84256634</t>
  </si>
  <si>
    <t>2390</t>
  </si>
  <si>
    <t>De la bodega 100 m</t>
  </si>
  <si>
    <t>0600540828</t>
  </si>
  <si>
    <t>Alvarez Busto</t>
  </si>
  <si>
    <t>84061941</t>
  </si>
  <si>
    <t>2391</t>
  </si>
  <si>
    <t>100 al norte de la bodega</t>
  </si>
  <si>
    <t>0603670469</t>
  </si>
  <si>
    <t>Mónica</t>
  </si>
  <si>
    <t>Vazquez Angulo</t>
  </si>
  <si>
    <t>87477234</t>
  </si>
  <si>
    <t>2392</t>
  </si>
  <si>
    <t>50 m noroeste de la bodega de Agroquímicos</t>
  </si>
  <si>
    <t>0602700503</t>
  </si>
  <si>
    <t>Dany</t>
  </si>
  <si>
    <t>Carrillo Rojas</t>
  </si>
  <si>
    <t>86070978</t>
  </si>
  <si>
    <t>2393</t>
  </si>
  <si>
    <t>Última entrada 3a casa</t>
  </si>
  <si>
    <t>0501110848</t>
  </si>
  <si>
    <t>Leoncio</t>
  </si>
  <si>
    <t>Carrillo Pérez</t>
  </si>
  <si>
    <t>85319288</t>
  </si>
  <si>
    <t>2394</t>
  </si>
  <si>
    <t>50 m sur pulpería El Guayabo</t>
  </si>
  <si>
    <t>0601410579</t>
  </si>
  <si>
    <t>Fanny Mireya</t>
  </si>
  <si>
    <t>Ezquivel López</t>
  </si>
  <si>
    <t>2395</t>
  </si>
  <si>
    <t>Frente pulpería Guayabo</t>
  </si>
  <si>
    <t>0602430910</t>
  </si>
  <si>
    <t>Liceidy</t>
  </si>
  <si>
    <t>Ezquivel Chavez</t>
  </si>
  <si>
    <t>002396</t>
  </si>
  <si>
    <t>Pulpería el Guayabo, 50m norte</t>
  </si>
  <si>
    <t>0601790174</t>
  </si>
  <si>
    <t>Rosales garcía</t>
  </si>
  <si>
    <t>88112778</t>
  </si>
  <si>
    <t>002397</t>
  </si>
  <si>
    <t>Diagonal pulpería Flory, finca 6-11</t>
  </si>
  <si>
    <t>0600820094</t>
  </si>
  <si>
    <t>Ramírez Alvarado</t>
  </si>
  <si>
    <t>002398</t>
  </si>
  <si>
    <t>125 mts al este de la plaza finca 6</t>
  </si>
  <si>
    <t>0900470249</t>
  </si>
  <si>
    <t>María Ibet</t>
  </si>
  <si>
    <t>Viachico Chavarría</t>
  </si>
  <si>
    <t>002399</t>
  </si>
  <si>
    <t>25m norte pulpería Flory</t>
  </si>
  <si>
    <t>Patricia Mayela</t>
  </si>
  <si>
    <t>Angulo Angulo</t>
  </si>
  <si>
    <t>84966160</t>
  </si>
  <si>
    <t>002400</t>
  </si>
  <si>
    <t>Frente pulpería Katerine</t>
  </si>
  <si>
    <t>0602000696</t>
  </si>
  <si>
    <t>Rosibel</t>
  </si>
  <si>
    <t>83142106</t>
  </si>
  <si>
    <t>002401</t>
  </si>
  <si>
    <t>A un costado de pulpería Katerine</t>
  </si>
  <si>
    <t>0603840711</t>
  </si>
  <si>
    <t>Mirian</t>
  </si>
  <si>
    <t>Rodríguez Hidalgo</t>
  </si>
  <si>
    <t>002402</t>
  </si>
  <si>
    <t>Diagonal pulpería Flory</t>
  </si>
  <si>
    <t>0602980142</t>
  </si>
  <si>
    <t>Gloria</t>
  </si>
  <si>
    <t>83613407</t>
  </si>
  <si>
    <t>002403</t>
  </si>
  <si>
    <t>0601860234</t>
  </si>
  <si>
    <t>Navarrete Valencia</t>
  </si>
  <si>
    <t>87203234</t>
  </si>
  <si>
    <t>002404</t>
  </si>
  <si>
    <t>A la par de la escuela</t>
  </si>
  <si>
    <t>0603800856</t>
  </si>
  <si>
    <t>Kenneth</t>
  </si>
  <si>
    <t>Retana Álvarez</t>
  </si>
  <si>
    <t>89540446</t>
  </si>
  <si>
    <t>002405</t>
  </si>
  <si>
    <t>Entrada de pulpería el Guayabo</t>
  </si>
  <si>
    <t>Álvarez Rosales</t>
  </si>
  <si>
    <t>86117177</t>
  </si>
  <si>
    <t>002406</t>
  </si>
  <si>
    <t>Finca 3</t>
  </si>
  <si>
    <t>Casa número 17</t>
  </si>
  <si>
    <t>0702380752</t>
  </si>
  <si>
    <t>Jéssica</t>
  </si>
  <si>
    <t>86667731</t>
  </si>
  <si>
    <t>002407</t>
  </si>
  <si>
    <t>Casa # 19</t>
  </si>
  <si>
    <t>0114580228</t>
  </si>
  <si>
    <t>Yendri</t>
  </si>
  <si>
    <t>Flores Ávila</t>
  </si>
  <si>
    <t>87149794</t>
  </si>
  <si>
    <t>002408</t>
  </si>
  <si>
    <t>Casa #18</t>
  </si>
  <si>
    <t>0604520251</t>
  </si>
  <si>
    <t>Margoth</t>
  </si>
  <si>
    <t>Angulo Arias</t>
  </si>
  <si>
    <t>87183178</t>
  </si>
  <si>
    <t>002409</t>
  </si>
  <si>
    <t>Cuadrante finca 3, casa #29</t>
  </si>
  <si>
    <t>0601890168</t>
  </si>
  <si>
    <t>Álvaro</t>
  </si>
  <si>
    <t>González Montiel</t>
  </si>
  <si>
    <t>002410</t>
  </si>
  <si>
    <t>Casa #25</t>
  </si>
  <si>
    <t>C-01463882</t>
  </si>
  <si>
    <t>Montalbán</t>
  </si>
  <si>
    <t>84873851</t>
  </si>
  <si>
    <t>002411</t>
  </si>
  <si>
    <t>Casa #15 y 14</t>
  </si>
  <si>
    <t>0603040621</t>
  </si>
  <si>
    <t>Pérez Vigil</t>
  </si>
  <si>
    <t>60819944</t>
  </si>
  <si>
    <t>002412</t>
  </si>
  <si>
    <t>Finca 2-4</t>
  </si>
  <si>
    <t>Frente antigua bodega de materiales</t>
  </si>
  <si>
    <t>0601500264</t>
  </si>
  <si>
    <t>Rafael Ángel</t>
  </si>
  <si>
    <t>Medina Mora</t>
  </si>
  <si>
    <t>86837037</t>
  </si>
  <si>
    <t>002413</t>
  </si>
  <si>
    <t>2da fila, primer casa de la Esc 2-4</t>
  </si>
  <si>
    <t>0701020821</t>
  </si>
  <si>
    <t>Villafuerte</t>
  </si>
  <si>
    <t>87326909</t>
  </si>
  <si>
    <t>002414</t>
  </si>
  <si>
    <t>Costado sur de plaza de fútbol, casa #10</t>
  </si>
  <si>
    <t>0603580359</t>
  </si>
  <si>
    <t>Zúñiga Cubillo</t>
  </si>
  <si>
    <t>84737620</t>
  </si>
  <si>
    <t>002415</t>
  </si>
  <si>
    <t>Costado sur de plaza, casa #11</t>
  </si>
  <si>
    <t>0601530941</t>
  </si>
  <si>
    <t>María José</t>
  </si>
  <si>
    <t>Cubillo Pérez</t>
  </si>
  <si>
    <t>84516048</t>
  </si>
  <si>
    <t>002416</t>
  </si>
  <si>
    <t>Costado oeste de la plaza</t>
  </si>
  <si>
    <t>0113020861</t>
  </si>
  <si>
    <t>Michael A.</t>
  </si>
  <si>
    <t>Núñez Durán</t>
  </si>
  <si>
    <t>27867321</t>
  </si>
  <si>
    <t>002417</t>
  </si>
  <si>
    <t>0602660108</t>
  </si>
  <si>
    <t>Jesús Francisco</t>
  </si>
  <si>
    <t>Jiménez Mendiolo</t>
  </si>
  <si>
    <t>61010458</t>
  </si>
  <si>
    <t>002418</t>
  </si>
  <si>
    <t>De la pulpería Génesis, última casa</t>
  </si>
  <si>
    <t>0603390641</t>
  </si>
  <si>
    <t>Esquivel Gómez</t>
  </si>
  <si>
    <t>50180511</t>
  </si>
  <si>
    <t>002419</t>
  </si>
  <si>
    <t>Frente a iglesia, última casa</t>
  </si>
  <si>
    <t>0601170919</t>
  </si>
  <si>
    <t>Gómez Juárez</t>
  </si>
  <si>
    <t>86130457</t>
  </si>
  <si>
    <t>002420</t>
  </si>
  <si>
    <t>Costado oeste de la plaza, 3era fila</t>
  </si>
  <si>
    <t>0110720787</t>
  </si>
  <si>
    <t>Bryan</t>
  </si>
  <si>
    <t>Mora González</t>
  </si>
  <si>
    <t>87786459</t>
  </si>
  <si>
    <t>002421</t>
  </si>
  <si>
    <t>Diagonal a la bodega, frente al comisariato</t>
  </si>
  <si>
    <t>0600480766</t>
  </si>
  <si>
    <t>Cecilio</t>
  </si>
  <si>
    <t>Castroverde Castroverde</t>
  </si>
  <si>
    <t>27866875</t>
  </si>
  <si>
    <t>002422</t>
  </si>
  <si>
    <t>Frente a la bodega, 75 norte, última casa.</t>
  </si>
  <si>
    <t>0601680260</t>
  </si>
  <si>
    <t>Castillo Gómez</t>
  </si>
  <si>
    <t>87241497</t>
  </si>
  <si>
    <t>002423</t>
  </si>
  <si>
    <t>Ávila Amador</t>
  </si>
  <si>
    <t>86300043</t>
  </si>
  <si>
    <t>002424</t>
  </si>
  <si>
    <t>Sánchez Dávila</t>
  </si>
  <si>
    <t>89591610</t>
  </si>
  <si>
    <t>002425</t>
  </si>
  <si>
    <t>15582555426</t>
  </si>
  <si>
    <t>87499218</t>
  </si>
  <si>
    <t>002426</t>
  </si>
  <si>
    <t>Costado Norte  la plaza</t>
  </si>
  <si>
    <t>0602910359</t>
  </si>
  <si>
    <t>Nuñez Ramirez</t>
  </si>
  <si>
    <t>88101307</t>
  </si>
  <si>
    <t>002427</t>
  </si>
  <si>
    <t>Palmar Sur frente al tanque del AYA</t>
  </si>
  <si>
    <t>0602670005</t>
  </si>
  <si>
    <t xml:space="preserve">Robert </t>
  </si>
  <si>
    <t>Arce Fonceca</t>
  </si>
  <si>
    <t>83695932</t>
  </si>
  <si>
    <t>002428</t>
  </si>
  <si>
    <t>Del comisariato 200 metros</t>
  </si>
  <si>
    <t>0108120035</t>
  </si>
  <si>
    <t>Gomez Tores</t>
  </si>
  <si>
    <t>85664497</t>
  </si>
  <si>
    <t>002429</t>
  </si>
  <si>
    <t>De la antigua bodega 25 Norte 2da casa</t>
  </si>
  <si>
    <t>0603700695</t>
  </si>
  <si>
    <t xml:space="preserve">Karolina </t>
  </si>
  <si>
    <t>Espinoza Morales</t>
  </si>
  <si>
    <t>89839434</t>
  </si>
  <si>
    <t>002430</t>
  </si>
  <si>
    <t>De la Bodega 50 mts Norte</t>
  </si>
  <si>
    <t>0600900491</t>
  </si>
  <si>
    <t xml:space="preserve">Andres </t>
  </si>
  <si>
    <t>Guzman Guzman</t>
  </si>
  <si>
    <t>85841546</t>
  </si>
  <si>
    <t>002431</t>
  </si>
  <si>
    <t>Frente a la bomba 50 norte</t>
  </si>
  <si>
    <t>0601070223</t>
  </si>
  <si>
    <t>Federico</t>
  </si>
  <si>
    <t>Sandi Porras</t>
  </si>
  <si>
    <t>85138931</t>
  </si>
  <si>
    <t>002432</t>
  </si>
  <si>
    <t>De la bodega 50 norte</t>
  </si>
  <si>
    <t>63770660</t>
  </si>
  <si>
    <t>002433</t>
  </si>
  <si>
    <t>Frente a la bodega</t>
  </si>
  <si>
    <t>Guzman Morales</t>
  </si>
  <si>
    <t>002434</t>
  </si>
  <si>
    <t>Palmar finca 2-4 comisariato</t>
  </si>
  <si>
    <t>0600750127</t>
  </si>
  <si>
    <t xml:space="preserve">Ulises </t>
  </si>
  <si>
    <t>Vargas Rojas</t>
  </si>
  <si>
    <t>27866947</t>
  </si>
  <si>
    <t>002435</t>
  </si>
  <si>
    <t>200 sur del comisariato</t>
  </si>
  <si>
    <t>86295575</t>
  </si>
  <si>
    <t>002436</t>
  </si>
  <si>
    <t>Contiguo al antiguo dispensario</t>
  </si>
  <si>
    <t>88879075</t>
  </si>
  <si>
    <t>002437</t>
  </si>
  <si>
    <t>Costado Oeste del tanque AyA</t>
  </si>
  <si>
    <t>86441630</t>
  </si>
  <si>
    <t>002438</t>
  </si>
  <si>
    <t>Costado Oeste de los tanques del AyA</t>
  </si>
  <si>
    <t>62365013</t>
  </si>
  <si>
    <t>002439</t>
  </si>
  <si>
    <t>Frente Iglesia Metodista</t>
  </si>
  <si>
    <t>0603210654</t>
  </si>
  <si>
    <t>Castillo Gomez</t>
  </si>
  <si>
    <t>87109570</t>
  </si>
  <si>
    <t>002440</t>
  </si>
  <si>
    <t>Frente Iglesia Metodista 50 sur</t>
  </si>
  <si>
    <t>86226741</t>
  </si>
  <si>
    <t>002441</t>
  </si>
  <si>
    <t xml:space="preserve">Finca </t>
  </si>
  <si>
    <t xml:space="preserve">Frente Metodista Iglesia </t>
  </si>
  <si>
    <t>0603430139</t>
  </si>
  <si>
    <t xml:space="preserve">Alba </t>
  </si>
  <si>
    <t>Juarez</t>
  </si>
  <si>
    <t>86253551</t>
  </si>
  <si>
    <t>002442</t>
  </si>
  <si>
    <t>Finca 2 - 4</t>
  </si>
  <si>
    <t xml:space="preserve">Frente Iglesia Metodista 3era casa </t>
  </si>
  <si>
    <t>0602430137</t>
  </si>
  <si>
    <t xml:space="preserve">Nuñez Durán </t>
  </si>
  <si>
    <t>002443</t>
  </si>
  <si>
    <t xml:space="preserve">Frente Iglesia Metodista </t>
  </si>
  <si>
    <t>0601470409</t>
  </si>
  <si>
    <t xml:space="preserve">Luis Gerardo </t>
  </si>
  <si>
    <t>Rojas Arroyo</t>
  </si>
  <si>
    <t>86551445</t>
  </si>
  <si>
    <t>002444</t>
  </si>
  <si>
    <t>Finca 2 -4</t>
  </si>
  <si>
    <t xml:space="preserve">Frente Iglesia Metodista 25m </t>
  </si>
  <si>
    <t>0103280801</t>
  </si>
  <si>
    <t xml:space="preserve">Oriundo </t>
  </si>
  <si>
    <t xml:space="preserve">Chacon Rojas </t>
  </si>
  <si>
    <t>84952477</t>
  </si>
  <si>
    <t>002445</t>
  </si>
  <si>
    <t>Frente Iglesia Met 3era casa</t>
  </si>
  <si>
    <t>0602510819</t>
  </si>
  <si>
    <t xml:space="preserve">Rafael Angel </t>
  </si>
  <si>
    <t>Cruz Sequeira</t>
  </si>
  <si>
    <t>86567259</t>
  </si>
  <si>
    <t>002446</t>
  </si>
  <si>
    <t>50m noroeste de la finca 2 - 4</t>
  </si>
  <si>
    <t>0305080512</t>
  </si>
  <si>
    <t xml:space="preserve">Valerio </t>
  </si>
  <si>
    <t xml:space="preserve">Castro Fernandez </t>
  </si>
  <si>
    <t>002447</t>
  </si>
  <si>
    <t>35m noroeste Esc Finca 2 - 4</t>
  </si>
  <si>
    <t>0603190683</t>
  </si>
  <si>
    <t xml:space="preserve">Freddy </t>
  </si>
  <si>
    <t>002448</t>
  </si>
  <si>
    <t>30m noroeste Esc Finca 2 - 4</t>
  </si>
  <si>
    <t>0603970203</t>
  </si>
  <si>
    <t>Abrigo Gomez</t>
  </si>
  <si>
    <t>84768988</t>
  </si>
  <si>
    <t>002449</t>
  </si>
  <si>
    <t xml:space="preserve">Iglesia met " lirios de los Valles " 75m noroeste </t>
  </si>
  <si>
    <t>0602570680</t>
  </si>
  <si>
    <t xml:space="preserve">Luis A </t>
  </si>
  <si>
    <t xml:space="preserve">Castillo Mora </t>
  </si>
  <si>
    <t>87285311</t>
  </si>
  <si>
    <t>002450</t>
  </si>
  <si>
    <t xml:space="preserve">Iglesia  Met "Lirios de los Valles"  75m noroeste </t>
  </si>
  <si>
    <t>0102760762</t>
  </si>
  <si>
    <t>Virginio</t>
  </si>
  <si>
    <t>Gonzales Muñoz</t>
  </si>
  <si>
    <t>27867515</t>
  </si>
  <si>
    <t>002451</t>
  </si>
  <si>
    <t xml:space="preserve">Frente a la Iglesia </t>
  </si>
  <si>
    <t>0603690620</t>
  </si>
  <si>
    <t>Iris</t>
  </si>
  <si>
    <t xml:space="preserve">Perez Vigil </t>
  </si>
  <si>
    <t>85177014</t>
  </si>
  <si>
    <t>002452</t>
  </si>
  <si>
    <t xml:space="preserve">Frente a la Iglesia metodista ultima casa </t>
  </si>
  <si>
    <t>0604429064</t>
  </si>
  <si>
    <t>Yosacn David</t>
  </si>
  <si>
    <t>Cabrera Cabrera</t>
  </si>
  <si>
    <t>002453</t>
  </si>
  <si>
    <t xml:space="preserve">Frente a la Iglesia metodista </t>
  </si>
  <si>
    <t>0603450261</t>
  </si>
  <si>
    <t xml:space="preserve">Emilia </t>
  </si>
  <si>
    <t>Perez Vigil</t>
  </si>
  <si>
    <t>002454</t>
  </si>
  <si>
    <t xml:space="preserve">Frente a la iglesia Metodista 3era casa </t>
  </si>
  <si>
    <t>0600960687</t>
  </si>
  <si>
    <t xml:space="preserve">Chamorro Baldelomar </t>
  </si>
  <si>
    <t>87916994</t>
  </si>
  <si>
    <t>002455</t>
  </si>
  <si>
    <t xml:space="preserve">Frente a la Iglesia Metodista </t>
  </si>
  <si>
    <t>0601330664</t>
  </si>
  <si>
    <t xml:space="preserve">Sime </t>
  </si>
  <si>
    <t xml:space="preserve">Morales rodriguez </t>
  </si>
  <si>
    <t>002456</t>
  </si>
  <si>
    <t xml:space="preserve">FINCA </t>
  </si>
  <si>
    <t>FRENTE A LA IGLESIA METODISTA</t>
  </si>
  <si>
    <t>0101515085</t>
  </si>
  <si>
    <t>MERIELLEN</t>
  </si>
  <si>
    <t>MORALES CALVO</t>
  </si>
  <si>
    <t>84100800</t>
  </si>
  <si>
    <t>002457</t>
  </si>
  <si>
    <t>FINCA 24</t>
  </si>
  <si>
    <t>ESQUINA NOROESTE DE LA CANCHA</t>
  </si>
  <si>
    <t>0602820754</t>
  </si>
  <si>
    <t>DIGNA</t>
  </si>
  <si>
    <t>MORA SANCHEZ</t>
  </si>
  <si>
    <t>62081667</t>
  </si>
  <si>
    <t>002458</t>
  </si>
  <si>
    <t>FINCA 2-4</t>
  </si>
  <si>
    <t>0601150911</t>
  </si>
  <si>
    <t>CORDOBA CORDOBA</t>
  </si>
  <si>
    <t>84199983</t>
  </si>
  <si>
    <t>002459</t>
  </si>
  <si>
    <t>COSTADO NORESTE DE LA CANCHA</t>
  </si>
  <si>
    <t>0604380820</t>
  </si>
  <si>
    <t>VILLANUEVA MORA</t>
  </si>
  <si>
    <t>002460</t>
  </si>
  <si>
    <t xml:space="preserve">DE LA IGLESIA METODISTA 100 NORTE </t>
  </si>
  <si>
    <t>0900750912</t>
  </si>
  <si>
    <t>SOILA MARIA</t>
  </si>
  <si>
    <t>GUERRA GUERRA</t>
  </si>
  <si>
    <t>85705055</t>
  </si>
  <si>
    <t>002461</t>
  </si>
  <si>
    <t xml:space="preserve">CONTIGUO A LA ESCUELA </t>
  </si>
  <si>
    <t>0603900934</t>
  </si>
  <si>
    <t>CAMPOS MOSQUERA</t>
  </si>
  <si>
    <t>60131794</t>
  </si>
  <si>
    <t>002462</t>
  </si>
  <si>
    <t>FRENTE IGLESIA METODISTA 4TA CASA M/I</t>
  </si>
  <si>
    <t>0603560144</t>
  </si>
  <si>
    <t>ELSY</t>
  </si>
  <si>
    <t>MIRANDA ZUÑIGA</t>
  </si>
  <si>
    <t>86933128</t>
  </si>
  <si>
    <t>002463</t>
  </si>
  <si>
    <t>2-4</t>
  </si>
  <si>
    <t>FRENTE A LA IGLESIA METODISTA PENULTIMA CASA</t>
  </si>
  <si>
    <t>002464</t>
  </si>
  <si>
    <t xml:space="preserve">FRENTE IGLESIA ULTIMA CASA </t>
  </si>
  <si>
    <t>0602460174</t>
  </si>
  <si>
    <t>HERRERA SANCHEZ</t>
  </si>
  <si>
    <t>86514832</t>
  </si>
  <si>
    <t>002465</t>
  </si>
  <si>
    <t>FRENTE A LA IGLESIA METODISTA ULTIMA CASA</t>
  </si>
  <si>
    <t>0701980187</t>
  </si>
  <si>
    <t>LISEDT</t>
  </si>
  <si>
    <t>CAÑAS HERRERA</t>
  </si>
  <si>
    <t>84828068</t>
  </si>
  <si>
    <t>002466</t>
  </si>
  <si>
    <t xml:space="preserve">FRENTE A LA IGLESIA METODISTA </t>
  </si>
  <si>
    <t>155814513909</t>
  </si>
  <si>
    <t>ABEL</t>
  </si>
  <si>
    <t>MENDEZ TOLEDO</t>
  </si>
  <si>
    <t>50093012</t>
  </si>
  <si>
    <t>001250</t>
  </si>
  <si>
    <t>CUADRANTE 15</t>
  </si>
  <si>
    <t>CONTIGUO A IGLESIA CUANDRANGULAR CORTES</t>
  </si>
  <si>
    <t>0501220525</t>
  </si>
  <si>
    <t>JOSE GERARDO</t>
  </si>
  <si>
    <t>ALVAREZ ALVAREZ</t>
  </si>
  <si>
    <t>88369120</t>
  </si>
  <si>
    <t>001294</t>
  </si>
  <si>
    <t>CORTES CENTRO</t>
  </si>
  <si>
    <t>175 METROS OESTE DE EL MINI SUPER  EL PASO</t>
  </si>
  <si>
    <t>0601200277</t>
  </si>
  <si>
    <t>SEVILLA AGURRE</t>
  </si>
  <si>
    <t>88062128</t>
  </si>
  <si>
    <t>01914189</t>
  </si>
  <si>
    <t>RODRIGUEZ GARCIA</t>
  </si>
  <si>
    <t>001409</t>
  </si>
  <si>
    <t>EL EMBARCADERO</t>
  </si>
  <si>
    <t>CONTIGUO A BAR SUS AMIGOS</t>
  </si>
  <si>
    <t>0604060124</t>
  </si>
  <si>
    <t>DANIA</t>
  </si>
  <si>
    <t>GOMEZ MUNGUIA</t>
  </si>
  <si>
    <t>84537607</t>
  </si>
  <si>
    <t>001410</t>
  </si>
  <si>
    <t>DETRAS DEL BAR DE TACK</t>
  </si>
  <si>
    <t>0103740239</t>
  </si>
  <si>
    <t xml:space="preserve">ALBIS </t>
  </si>
  <si>
    <t>MORA NAVARRO</t>
  </si>
  <si>
    <t>001411</t>
  </si>
  <si>
    <t>FRENTE AL ANTIGUO REDONDEL, 25 M SUR DEL BAR AMIGOS</t>
  </si>
  <si>
    <t xml:space="preserve">MIGUEL </t>
  </si>
  <si>
    <t>SAMUDIO MORA</t>
  </si>
  <si>
    <t>001412</t>
  </si>
  <si>
    <t>FRENTE AL ANTIGUO REDONDEL</t>
  </si>
  <si>
    <t>0603820288</t>
  </si>
  <si>
    <t>GUERRERO CHAVEZ</t>
  </si>
  <si>
    <t>83477938</t>
  </si>
  <si>
    <t>001413</t>
  </si>
  <si>
    <t>0602130593</t>
  </si>
  <si>
    <t xml:space="preserve">JORGE </t>
  </si>
  <si>
    <t>SAMUDIO AVILES</t>
  </si>
  <si>
    <t>87373394</t>
  </si>
  <si>
    <t>001415</t>
  </si>
  <si>
    <t xml:space="preserve">EL ENBARCADERO </t>
  </si>
  <si>
    <t xml:space="preserve">CONOCIDA COMO LA PIANGUERA FRENTE A LOS IBARRA </t>
  </si>
  <si>
    <t>9006700200</t>
  </si>
  <si>
    <t xml:space="preserve">ROSA ESMERALDA </t>
  </si>
  <si>
    <t xml:space="preserve">ALVAREZ BATISTA </t>
  </si>
  <si>
    <t>001416</t>
  </si>
  <si>
    <t xml:space="preserve">CEMENTERIO </t>
  </si>
  <si>
    <t xml:space="preserve">200 MTS OESTE DEL PARQUE CIUDAD CORTES </t>
  </si>
  <si>
    <t>6012408940</t>
  </si>
  <si>
    <t xml:space="preserve">HERMINIA </t>
  </si>
  <si>
    <t xml:space="preserve">LOPEZ RIVAS </t>
  </si>
  <si>
    <t>85913219</t>
  </si>
  <si>
    <t>001417</t>
  </si>
  <si>
    <t xml:space="preserve">400 OESTE DEL PARQUE CENTRAL DE CIUDAD CORTEZ </t>
  </si>
  <si>
    <t>1134008360</t>
  </si>
  <si>
    <t xml:space="preserve">MANFRED </t>
  </si>
  <si>
    <t xml:space="preserve">MORA SALZAR </t>
  </si>
  <si>
    <t>27888414</t>
  </si>
  <si>
    <t>001419</t>
  </si>
  <si>
    <t xml:space="preserve">600 DE PARQUE DECIUDAD CORTEZ </t>
  </si>
  <si>
    <t>6018706390</t>
  </si>
  <si>
    <t xml:space="preserve">ROSIBEL </t>
  </si>
  <si>
    <t xml:space="preserve">CASTILLO HERRERA </t>
  </si>
  <si>
    <t>86505586</t>
  </si>
  <si>
    <t>001420</t>
  </si>
  <si>
    <t>1119002600</t>
  </si>
  <si>
    <t xml:space="preserve">EVELYN </t>
  </si>
  <si>
    <t xml:space="preserve">ALVAREZ OVARES </t>
  </si>
  <si>
    <t>84101261</t>
  </si>
  <si>
    <t>001421</t>
  </si>
  <si>
    <t xml:space="preserve">CALLE DEL CEMENTERIO 150 SUR DEL ESTADIO </t>
  </si>
  <si>
    <t>9005408910</t>
  </si>
  <si>
    <t xml:space="preserve">TERESITA </t>
  </si>
  <si>
    <t xml:space="preserve">BARQUERO CHACON </t>
  </si>
  <si>
    <t>17888140</t>
  </si>
  <si>
    <t>001422</t>
  </si>
  <si>
    <t xml:space="preserve">350 OESTE DEL PARQUE CENTRAL DE CIUDAD CORTES </t>
  </si>
  <si>
    <t>6007406320</t>
  </si>
  <si>
    <t xml:space="preserve">LUCIA </t>
  </si>
  <si>
    <t xml:space="preserve">MARTINEZ ESCALANTE </t>
  </si>
  <si>
    <t>84081825</t>
  </si>
  <si>
    <t>001423</t>
  </si>
  <si>
    <t xml:space="preserve">CENTRO CORTES </t>
  </si>
  <si>
    <t xml:space="preserve">100 OESTE 80 SUR DEL PARQUE CIUDAD CORTES </t>
  </si>
  <si>
    <t>1112301080</t>
  </si>
  <si>
    <t xml:space="preserve">MARCELA </t>
  </si>
  <si>
    <t>MONGE LATOUCHE</t>
  </si>
  <si>
    <t>001425</t>
  </si>
  <si>
    <t xml:space="preserve">400OESTE DEL PARQUE DE CIUDAD CORTES </t>
  </si>
  <si>
    <t>1135508840</t>
  </si>
  <si>
    <t xml:space="preserve">GUTIERREZ DIAZ </t>
  </si>
  <si>
    <t>86089644</t>
  </si>
  <si>
    <t>001427</t>
  </si>
  <si>
    <t xml:space="preserve">CIUDAD CORTES </t>
  </si>
  <si>
    <t xml:space="preserve">100 OESTE 80 SUR DEL PARQUE CENTRAL DE CIUDAD CORTES </t>
  </si>
  <si>
    <t>6009008080</t>
  </si>
  <si>
    <t xml:space="preserve">BETHY </t>
  </si>
  <si>
    <t xml:space="preserve">LATOUCHE WHITE </t>
  </si>
  <si>
    <t>62809409</t>
  </si>
  <si>
    <t>001428</t>
  </si>
  <si>
    <t xml:space="preserve">75 OESTE DEL MINISUPER EL POZO </t>
  </si>
  <si>
    <t>6017106730</t>
  </si>
  <si>
    <t xml:space="preserve">GERMAN </t>
  </si>
  <si>
    <t xml:space="preserve">PICADO SEGURA </t>
  </si>
  <si>
    <t>27887072</t>
  </si>
  <si>
    <t>001429</t>
  </si>
  <si>
    <t xml:space="preserve">75 OESTE DEL MINI SUPER EL POZO </t>
  </si>
  <si>
    <t>6039809710</t>
  </si>
  <si>
    <t xml:space="preserve">PAOLA </t>
  </si>
  <si>
    <t xml:space="preserve">PICADO QUIROS </t>
  </si>
  <si>
    <t>85088230</t>
  </si>
  <si>
    <t>001430</t>
  </si>
  <si>
    <t xml:space="preserve">CORTES CENTRO </t>
  </si>
  <si>
    <t xml:space="preserve">100O ESTE DEL MINISUPER EL POZO </t>
  </si>
  <si>
    <t>6034700880</t>
  </si>
  <si>
    <t xml:space="preserve">MONICA </t>
  </si>
  <si>
    <t xml:space="preserve">BENDAÑA ALANIZ </t>
  </si>
  <si>
    <t>27888217</t>
  </si>
  <si>
    <t>001432</t>
  </si>
  <si>
    <t xml:space="preserve">EL CENTRO </t>
  </si>
  <si>
    <t xml:space="preserve">200 OESTE DEL ANTIGUO CORREO CORTES </t>
  </si>
  <si>
    <t>6033405620</t>
  </si>
  <si>
    <t xml:space="preserve">ANA LUZ </t>
  </si>
  <si>
    <t xml:space="preserve">FERNANDEZ DIAZ </t>
  </si>
  <si>
    <t>84170591</t>
  </si>
  <si>
    <t>001433</t>
  </si>
  <si>
    <t xml:space="preserve">250OESTE DEL ANTIGUO CORREO CORTES </t>
  </si>
  <si>
    <t>1112405770</t>
  </si>
  <si>
    <t xml:space="preserve">ADRIANA </t>
  </si>
  <si>
    <t xml:space="preserve">CABRERA JIMENEZ </t>
  </si>
  <si>
    <t>84634692</t>
  </si>
  <si>
    <t>001434</t>
  </si>
  <si>
    <t xml:space="preserve">CIUDAD CENTRO CORTES </t>
  </si>
  <si>
    <t>FRENTE AL ANTIGUO HOSPITAL TOMAS CASA BLOQUE 7</t>
  </si>
  <si>
    <t>0602070878</t>
  </si>
  <si>
    <t xml:space="preserve">IVAN </t>
  </si>
  <si>
    <t xml:space="preserve">CORTES PORRAS </t>
  </si>
  <si>
    <t>001435</t>
  </si>
  <si>
    <t>FRENTE AL HOSPITAL VIEJO BLOQUE 4</t>
  </si>
  <si>
    <t>6009106330</t>
  </si>
  <si>
    <t xml:space="preserve">ROMULO </t>
  </si>
  <si>
    <t>CRUZ GÓMEZ</t>
  </si>
  <si>
    <t>83381199</t>
  </si>
  <si>
    <t>001436</t>
  </si>
  <si>
    <t>175 SUR DEL ANTIGUO HOSPITAL DE CORTES BLOQUE 1</t>
  </si>
  <si>
    <t>6003502530</t>
  </si>
  <si>
    <t xml:space="preserve">ALEJANDRA </t>
  </si>
  <si>
    <t xml:space="preserve">GOMEZ CASTILLO </t>
  </si>
  <si>
    <t>001438</t>
  </si>
  <si>
    <t xml:space="preserve">CUADRANTE 1 CORTES CENTRO </t>
  </si>
  <si>
    <t>200SUR ANTIGUO HOSPITAL DE CORTES BLOQUE 1</t>
  </si>
  <si>
    <t>6020904380</t>
  </si>
  <si>
    <t xml:space="preserve">WUNG QUESADA </t>
  </si>
  <si>
    <t>89701507</t>
  </si>
  <si>
    <t>001439</t>
  </si>
  <si>
    <t>CIUDAD CORTEZ</t>
  </si>
  <si>
    <t xml:space="preserve">50 ESTE DEL EBAIS DE CORTES BLOQUE 7 </t>
  </si>
  <si>
    <t>6013304020</t>
  </si>
  <si>
    <t xml:space="preserve">ZELEDON CHAN </t>
  </si>
  <si>
    <t>88118065</t>
  </si>
  <si>
    <t>001440</t>
  </si>
  <si>
    <t xml:space="preserve">CIUDAD  CORTES </t>
  </si>
  <si>
    <t xml:space="preserve">BLOQUE </t>
  </si>
  <si>
    <t>0601090711</t>
  </si>
  <si>
    <t>CRUZ GOMEZ</t>
  </si>
  <si>
    <t>001441</t>
  </si>
  <si>
    <t>DEL EBAIS DE CIUDAD CORTES 75 AL SUR CASA #3 BLOQUE 1</t>
  </si>
  <si>
    <t>6018100640</t>
  </si>
  <si>
    <t xml:space="preserve">PILAR </t>
  </si>
  <si>
    <t xml:space="preserve">WONG CUBERO </t>
  </si>
  <si>
    <t>86404437</t>
  </si>
  <si>
    <t>001445</t>
  </si>
  <si>
    <t>Ciudad Cortes centro</t>
  </si>
  <si>
    <t>50m sur de la escuela Nieborowsky, contiguo a la venta de concentrados del rancho bloques</t>
  </si>
  <si>
    <t>0500820082</t>
  </si>
  <si>
    <t>Nicanor de Jesus</t>
  </si>
  <si>
    <t>Cerdas Chavarría</t>
  </si>
  <si>
    <t>27888095</t>
  </si>
  <si>
    <t>001446</t>
  </si>
  <si>
    <t>Ciudad Cortés centro</t>
  </si>
  <si>
    <t>Bloque 2</t>
  </si>
  <si>
    <t>0600560764</t>
  </si>
  <si>
    <t>Raul</t>
  </si>
  <si>
    <t>Sanchez Lee</t>
  </si>
  <si>
    <t>001447</t>
  </si>
  <si>
    <t>50 metros este de la escuela Nievoyowsky, bloque 2</t>
  </si>
  <si>
    <t>0600500208</t>
  </si>
  <si>
    <t>Orozco Elizondo</t>
  </si>
  <si>
    <t>85021420</t>
  </si>
  <si>
    <t>001448</t>
  </si>
  <si>
    <t>100 METROS OESTE DEL MAG</t>
  </si>
  <si>
    <t>0600850591</t>
  </si>
  <si>
    <t>DENNIS</t>
  </si>
  <si>
    <t>GUTIERREZ RAMIREZ</t>
  </si>
  <si>
    <t>85745944</t>
  </si>
  <si>
    <t>001449</t>
  </si>
  <si>
    <t>Ciudad Cortés Centro</t>
  </si>
  <si>
    <t>100 metros Norte del edificio del Poder Judicial</t>
  </si>
  <si>
    <t>0601350295</t>
  </si>
  <si>
    <t>Israel</t>
  </si>
  <si>
    <t>Ríos Sibaja</t>
  </si>
  <si>
    <t>001450</t>
  </si>
  <si>
    <t>80 metros Norte de la Iglesia Católica</t>
  </si>
  <si>
    <t>0603890839</t>
  </si>
  <si>
    <t>Ábrigo Gómez</t>
  </si>
  <si>
    <t>001451</t>
  </si>
  <si>
    <t>25 metros Norte de la Iglesia Católica</t>
  </si>
  <si>
    <t>0800800168</t>
  </si>
  <si>
    <t>Paulina</t>
  </si>
  <si>
    <t>Sánchez Senin</t>
  </si>
  <si>
    <t>88404407</t>
  </si>
  <si>
    <t>001453</t>
  </si>
  <si>
    <t>Bloque 10</t>
  </si>
  <si>
    <t>0900400845</t>
  </si>
  <si>
    <t>Jose Angel</t>
  </si>
  <si>
    <t>Castillo Alvarado</t>
  </si>
  <si>
    <t>001454</t>
  </si>
  <si>
    <t>Frente a la iglesia catolica</t>
  </si>
  <si>
    <t>6003761680</t>
  </si>
  <si>
    <t xml:space="preserve">Priscilla </t>
  </si>
  <si>
    <t>Barquero Ruiz</t>
  </si>
  <si>
    <t>88176112</t>
  </si>
  <si>
    <t>001455</t>
  </si>
  <si>
    <t>Cuidad</t>
  </si>
  <si>
    <t>Costado norte del edificio del Poder Judicial</t>
  </si>
  <si>
    <t>0500740014</t>
  </si>
  <si>
    <t>27888214</t>
  </si>
  <si>
    <t>001456</t>
  </si>
  <si>
    <t>No indica</t>
  </si>
  <si>
    <t>0501280779</t>
  </si>
  <si>
    <t xml:space="preserve">Flor </t>
  </si>
  <si>
    <t>Alfaro Alfaro</t>
  </si>
  <si>
    <t>27887041</t>
  </si>
  <si>
    <t>0110510292</t>
  </si>
  <si>
    <t>Porras Alfaro</t>
  </si>
  <si>
    <t>Muñoz Aragón</t>
  </si>
  <si>
    <t>001457</t>
  </si>
  <si>
    <t>Restaurante Kings</t>
  </si>
  <si>
    <t>1115600328623</t>
  </si>
  <si>
    <t>ZHenG</t>
  </si>
  <si>
    <t>ShenGtan G.</t>
  </si>
  <si>
    <t>27888218</t>
  </si>
  <si>
    <t>001458</t>
  </si>
  <si>
    <t>Contiguo a la Corte, Casa Cemento</t>
  </si>
  <si>
    <t>0601130547</t>
  </si>
  <si>
    <t>Matarrita Matarrita</t>
  </si>
  <si>
    <t>27888015</t>
  </si>
  <si>
    <t>0601050083</t>
  </si>
  <si>
    <t>Teresa</t>
  </si>
  <si>
    <t>001459</t>
  </si>
  <si>
    <t>25 metros norte de la Iglesia Católica</t>
  </si>
  <si>
    <t xml:space="preserve">Minor </t>
  </si>
  <si>
    <t>Arbustini Rivera</t>
  </si>
  <si>
    <t>27887696</t>
  </si>
  <si>
    <t>001462</t>
  </si>
  <si>
    <t>cortes centro</t>
  </si>
  <si>
    <t>25 m oeste del antiguo correo bloques</t>
  </si>
  <si>
    <t>0102860553</t>
  </si>
  <si>
    <t>Quiros Badilla</t>
  </si>
  <si>
    <t>85085597</t>
  </si>
  <si>
    <t>001463</t>
  </si>
  <si>
    <t>Diagonal antigua delegación bloques</t>
  </si>
  <si>
    <t>0301230312</t>
  </si>
  <si>
    <t>Odili</t>
  </si>
  <si>
    <t>Segura Sanchez</t>
  </si>
  <si>
    <t>27888201</t>
  </si>
  <si>
    <t>001464</t>
  </si>
  <si>
    <t>centro cortes</t>
  </si>
  <si>
    <t>del megasuper 50 m oeste bloques</t>
  </si>
  <si>
    <t>0602410711</t>
  </si>
  <si>
    <t>Wong Miranda</t>
  </si>
  <si>
    <t>88254294</t>
  </si>
  <si>
    <t>001466</t>
  </si>
  <si>
    <t>Bloque 6</t>
  </si>
  <si>
    <t>Frente la escuela Nieborowsky</t>
  </si>
  <si>
    <t>0602100336</t>
  </si>
  <si>
    <t>Manfred</t>
  </si>
  <si>
    <t>Chavez Gómez</t>
  </si>
  <si>
    <t>57023549</t>
  </si>
  <si>
    <t>001471</t>
  </si>
  <si>
    <t>Bloque 9</t>
  </si>
  <si>
    <t>Rene</t>
  </si>
  <si>
    <t>Oviedo Hernandez</t>
  </si>
  <si>
    <t>001472</t>
  </si>
  <si>
    <t>Cortes Centro Bloque 10</t>
  </si>
  <si>
    <t>Diagonal Escuela Nievorowsky</t>
  </si>
  <si>
    <t>0101450429</t>
  </si>
  <si>
    <t>Elizondo Hernandez</t>
  </si>
  <si>
    <t>86689310</t>
  </si>
  <si>
    <t>001473</t>
  </si>
  <si>
    <t>Bloque 10 Cortes Centro</t>
  </si>
  <si>
    <t>50 metros N escuela Nievorowski Ciudad Cortes</t>
  </si>
  <si>
    <t>0800350752</t>
  </si>
  <si>
    <t>Vela Gutierrez</t>
  </si>
  <si>
    <t>001474</t>
  </si>
  <si>
    <t>Cortes Centro</t>
  </si>
  <si>
    <t>Costado del parque Cortes</t>
  </si>
  <si>
    <t>155816403012</t>
  </si>
  <si>
    <t>Annel Pamela</t>
  </si>
  <si>
    <t>Treminio Samorriba</t>
  </si>
  <si>
    <t>85210561</t>
  </si>
  <si>
    <t>001475</t>
  </si>
  <si>
    <t>Bloque 13</t>
  </si>
  <si>
    <t>Frente Iglesia Bethel</t>
  </si>
  <si>
    <t>0600650852</t>
  </si>
  <si>
    <t>Zulema del Carmen</t>
  </si>
  <si>
    <t>Chavarria Chavarria</t>
  </si>
  <si>
    <t>86324870</t>
  </si>
  <si>
    <t>001476</t>
  </si>
  <si>
    <t>Frente al salón parroquial</t>
  </si>
  <si>
    <t>0303340295</t>
  </si>
  <si>
    <t>Oscar Javier</t>
  </si>
  <si>
    <t>Salas Rodriguez</t>
  </si>
  <si>
    <t>64360316</t>
  </si>
  <si>
    <t>001477</t>
  </si>
  <si>
    <t>0617604880</t>
  </si>
  <si>
    <t>Sergio</t>
  </si>
  <si>
    <t>Li Wong</t>
  </si>
  <si>
    <t>001478</t>
  </si>
  <si>
    <t>125 metros al norte de la Iglesia católica</t>
  </si>
  <si>
    <t>0601150314</t>
  </si>
  <si>
    <t xml:space="preserve">Anabelle </t>
  </si>
  <si>
    <t>Campos Mena</t>
  </si>
  <si>
    <t>001479</t>
  </si>
  <si>
    <t>100 metros norte y 25 oeste de la escuela</t>
  </si>
  <si>
    <t>0602520930</t>
  </si>
  <si>
    <t>Rodriguez Sánchez</t>
  </si>
  <si>
    <t>001480</t>
  </si>
  <si>
    <t>Cuadrante 13</t>
  </si>
  <si>
    <t>Contiguo a bar Yeyos, Cortés</t>
  </si>
  <si>
    <t>0600981316</t>
  </si>
  <si>
    <t>Maria del Socorro</t>
  </si>
  <si>
    <t>Rodríguez Mojica</t>
  </si>
  <si>
    <t>86300636</t>
  </si>
  <si>
    <t>001481</t>
  </si>
  <si>
    <t>CUADANTE 13</t>
  </si>
  <si>
    <t>250 M SUR ESCUELA NIERINWESKI</t>
  </si>
  <si>
    <t>0602750017</t>
  </si>
  <si>
    <t>LORENA</t>
  </si>
  <si>
    <t>SALAZAR ALVARADO</t>
  </si>
  <si>
    <t>86704375</t>
  </si>
  <si>
    <t>001482</t>
  </si>
  <si>
    <t>CUADRANTE 13</t>
  </si>
  <si>
    <t>DETRAS DE LA CASA CURAL</t>
  </si>
  <si>
    <t>0601520760</t>
  </si>
  <si>
    <t>CHAVEZ BONILLA</t>
  </si>
  <si>
    <t>001483</t>
  </si>
  <si>
    <t>50 METROS SUR Y 25 ESTE DE LA IGLESIA CATOLICA</t>
  </si>
  <si>
    <t>0603240139</t>
  </si>
  <si>
    <t>HANNIA MARIA</t>
  </si>
  <si>
    <t>SALAZAR ARIAS</t>
  </si>
  <si>
    <t>62587276</t>
  </si>
  <si>
    <t>001484</t>
  </si>
  <si>
    <t>200 METROS NORTE IGLESIA CATOLICA</t>
  </si>
  <si>
    <t>0601090740</t>
  </si>
  <si>
    <t>GONZALEZ ACEVEDO</t>
  </si>
  <si>
    <t>84140047</t>
  </si>
  <si>
    <t>001485</t>
  </si>
  <si>
    <t>BLOQUE 14</t>
  </si>
  <si>
    <t>15O MTS NORTE DE LOS TRIBUNALES</t>
  </si>
  <si>
    <t>0601070684</t>
  </si>
  <si>
    <t>27888650</t>
  </si>
  <si>
    <t>001486</t>
  </si>
  <si>
    <t>CUADRATE 14</t>
  </si>
  <si>
    <t>125 MTS NORTE DE LA IGLESIA CATOLICA</t>
  </si>
  <si>
    <t>0602160296</t>
  </si>
  <si>
    <t>IBARRA ROSALES</t>
  </si>
  <si>
    <t>80006929</t>
  </si>
  <si>
    <t>001487</t>
  </si>
  <si>
    <t>CONTIGUO A LA IGLESIA CUADRANGULAR</t>
  </si>
  <si>
    <t>0121800409</t>
  </si>
  <si>
    <t>MARIA JOSEFA</t>
  </si>
  <si>
    <t>CESPEDES FERNANDEZ</t>
  </si>
  <si>
    <t>001488</t>
  </si>
  <si>
    <t>0604260397</t>
  </si>
  <si>
    <t>MONTES CESPEDES</t>
  </si>
  <si>
    <t>001489</t>
  </si>
  <si>
    <t>CUDRANTE 15</t>
  </si>
  <si>
    <t>100 METROS OESTE DEL ANTIGUO ICE</t>
  </si>
  <si>
    <t>0501100989</t>
  </si>
  <si>
    <t>RAFAELA ALICIA</t>
  </si>
  <si>
    <t>BLANCO MORA</t>
  </si>
  <si>
    <t>83208094</t>
  </si>
  <si>
    <t>001490</t>
  </si>
  <si>
    <t>DETRAS DEL ICE ANTIGUO</t>
  </si>
  <si>
    <t>0601610858</t>
  </si>
  <si>
    <t xml:space="preserve">GUADAMUZ NOVOA </t>
  </si>
  <si>
    <t>86877103</t>
  </si>
  <si>
    <t>001491</t>
  </si>
  <si>
    <t>0602090238</t>
  </si>
  <si>
    <t>RAMIREZ SALAZAR</t>
  </si>
  <si>
    <t>001492</t>
  </si>
  <si>
    <t>BLOQUE 15</t>
  </si>
  <si>
    <t xml:space="preserve">FRENTE AL TALLER DAVILA </t>
  </si>
  <si>
    <t>0602900584</t>
  </si>
  <si>
    <t xml:space="preserve">MONTES CESPEDES </t>
  </si>
  <si>
    <t>001493</t>
  </si>
  <si>
    <t>BLOQUE 16</t>
  </si>
  <si>
    <t>BARRIO IMAS CASA 24</t>
  </si>
  <si>
    <t>0202780552</t>
  </si>
  <si>
    <t>LUZ MIRIAM</t>
  </si>
  <si>
    <t>JIMENEZ</t>
  </si>
  <si>
    <t>60445315</t>
  </si>
  <si>
    <t>001494</t>
  </si>
  <si>
    <t>IMAS</t>
  </si>
  <si>
    <t>FRENTE A CAMERINOS DEL ESTADIO MUNICIPAL. BLOQUE 16</t>
  </si>
  <si>
    <t>0601860862</t>
  </si>
  <si>
    <t>MAYRA CRISTINA</t>
  </si>
  <si>
    <t>RUIZ DINARTE</t>
  </si>
  <si>
    <t>001495</t>
  </si>
  <si>
    <t xml:space="preserve">BLOQUE 16 </t>
  </si>
  <si>
    <t>BARRIO IMAS CASA 31</t>
  </si>
  <si>
    <t>0604080508</t>
  </si>
  <si>
    <t>ROBLAN</t>
  </si>
  <si>
    <t>MONGE FALLAS</t>
  </si>
  <si>
    <t>86603615</t>
  </si>
  <si>
    <t>001496</t>
  </si>
  <si>
    <t>IMAS, FRENTE AL ESTADIO</t>
  </si>
  <si>
    <t>0601960631</t>
  </si>
  <si>
    <t>RODRIGUEZ HERNANDEZ</t>
  </si>
  <si>
    <t>85384247</t>
  </si>
  <si>
    <t>001497</t>
  </si>
  <si>
    <t xml:space="preserve">IMAS, CASA 120 </t>
  </si>
  <si>
    <t>0600750288</t>
  </si>
  <si>
    <t>ADAY</t>
  </si>
  <si>
    <t>DINARTE DINARTE</t>
  </si>
  <si>
    <t>83435836</t>
  </si>
  <si>
    <t>001498</t>
  </si>
  <si>
    <t>BLOOUE 16</t>
  </si>
  <si>
    <t>BARRIO IMAS CASA 27</t>
  </si>
  <si>
    <t>6049901376</t>
  </si>
  <si>
    <t>ARAYA ARIAS</t>
  </si>
  <si>
    <t>85585158</t>
  </si>
  <si>
    <t>001499</t>
  </si>
  <si>
    <t>bloque 16</t>
  </si>
  <si>
    <t xml:space="preserve">BARRIO IMAS </t>
  </si>
  <si>
    <t>NOMBRE</t>
  </si>
  <si>
    <t>DESCONOCIDO</t>
  </si>
  <si>
    <t>001500</t>
  </si>
  <si>
    <t>CASA 27 BLOQUE 16</t>
  </si>
  <si>
    <t>0603020075</t>
  </si>
  <si>
    <t>NAVARRETE MORALES</t>
  </si>
  <si>
    <t>88772022</t>
  </si>
  <si>
    <t>001501</t>
  </si>
  <si>
    <t>BARRIO IMAS CASA 25</t>
  </si>
  <si>
    <t>0104130556</t>
  </si>
  <si>
    <t>PEÑA CERDAS</t>
  </si>
  <si>
    <t>001502</t>
  </si>
  <si>
    <t>CASA 3 BLOQUE 16</t>
  </si>
  <si>
    <t>0602440353</t>
  </si>
  <si>
    <t>GARITA GUTIERREZ</t>
  </si>
  <si>
    <t>001503</t>
  </si>
  <si>
    <t>CASA 7 BLOQUE 16</t>
  </si>
  <si>
    <t>0602400660</t>
  </si>
  <si>
    <t>MARISOL DEL CARMEN</t>
  </si>
  <si>
    <t>TORRENS VALVERDE</t>
  </si>
  <si>
    <t>001504</t>
  </si>
  <si>
    <t>CASA 21 BLOQUE 16</t>
  </si>
  <si>
    <t>0602650525</t>
  </si>
  <si>
    <t>VENEGAS</t>
  </si>
  <si>
    <t>86990296</t>
  </si>
  <si>
    <t>001505</t>
  </si>
  <si>
    <t>CASA 1 COSTADO ESTE DEL ESTADIO MUNICIPAL</t>
  </si>
  <si>
    <t>0601440758</t>
  </si>
  <si>
    <t>001506</t>
  </si>
  <si>
    <t>CASA 5</t>
  </si>
  <si>
    <t>0601450107</t>
  </si>
  <si>
    <t>CASCANTE FONSECA</t>
  </si>
  <si>
    <t>84832864</t>
  </si>
  <si>
    <t>001507</t>
  </si>
  <si>
    <t>100 MTS NORTE DEL ESTADIO MUNICIPAL, ANTINGUA CASA DOÑA HERMINIA</t>
  </si>
  <si>
    <t>CASTILLO ESQUIVEL</t>
  </si>
  <si>
    <t>001508</t>
  </si>
  <si>
    <t>MARTINEZ HIDALGO</t>
  </si>
  <si>
    <t>001509</t>
  </si>
  <si>
    <t>FRENTE A CALLE PRINCIPAL CASA 6</t>
  </si>
  <si>
    <t>0900680396</t>
  </si>
  <si>
    <t>MARIA TERESA</t>
  </si>
  <si>
    <t>001510</t>
  </si>
  <si>
    <t>BARRIO IMAS FRENTE A CALLE, TERCERA CASA BLOQUE 16</t>
  </si>
  <si>
    <t>0601540299</t>
  </si>
  <si>
    <t>SANDRA RAMONA</t>
  </si>
  <si>
    <t>SOTO RODRIGUEZ</t>
  </si>
  <si>
    <t>86581960</t>
  </si>
  <si>
    <t>001511</t>
  </si>
  <si>
    <t>BARRIO IMAS, 200 METROS OESTE DE ANTIGUO ICE BLOQUE 16</t>
  </si>
  <si>
    <t>0602000036</t>
  </si>
  <si>
    <t xml:space="preserve">YAMILETH </t>
  </si>
  <si>
    <t>JARA RODRIGUEZ</t>
  </si>
  <si>
    <t>88085422</t>
  </si>
  <si>
    <t>001512</t>
  </si>
  <si>
    <t>0601860092</t>
  </si>
  <si>
    <t>FLOR DE LIS</t>
  </si>
  <si>
    <t>BARQUERO BARRANTES</t>
  </si>
  <si>
    <t>001513</t>
  </si>
  <si>
    <t>100 M ESTE DEL ESTADIO MUNICIPAL DE OSA</t>
  </si>
  <si>
    <t>0601370878</t>
  </si>
  <si>
    <t xml:space="preserve">DORIS </t>
  </si>
  <si>
    <t>PICADO SEGURA</t>
  </si>
  <si>
    <t>89535536</t>
  </si>
  <si>
    <t>001514</t>
  </si>
  <si>
    <t>25 OESTE DEL TALLER DAVILA BLOQUE 16</t>
  </si>
  <si>
    <t>0601170053</t>
  </si>
  <si>
    <t>GONZALEZ JARA</t>
  </si>
  <si>
    <t>86572816</t>
  </si>
  <si>
    <t>001515</t>
  </si>
  <si>
    <t>BLOQUE 23</t>
  </si>
  <si>
    <t>FRENTE A ANTIGUA CASA DE SASTRERIA CAMACHO</t>
  </si>
  <si>
    <t>0602930534</t>
  </si>
  <si>
    <t>YENCY REBECA</t>
  </si>
  <si>
    <t>HERNANDEZ NUÑEZ</t>
  </si>
  <si>
    <t>001516</t>
  </si>
  <si>
    <t>300 METROS NORTE DE LAS ANTIGUAS OFICINAS DEL ICE BLOQUE 23</t>
  </si>
  <si>
    <t>0601650624</t>
  </si>
  <si>
    <t>MARCHENA SANTAMARIA</t>
  </si>
  <si>
    <t>001517</t>
  </si>
  <si>
    <t>0203660130</t>
  </si>
  <si>
    <t>VICTOR MANUEL</t>
  </si>
  <si>
    <t>MORALES AGUERO</t>
  </si>
  <si>
    <t>87011089</t>
  </si>
  <si>
    <t>001518</t>
  </si>
  <si>
    <t xml:space="preserve">200 METROS OESTE DEL MINISUPER EL POZO </t>
  </si>
  <si>
    <t>0601660299</t>
  </si>
  <si>
    <t>SALAS ALVARADO</t>
  </si>
  <si>
    <t>001519</t>
  </si>
  <si>
    <t>COSTADO NORTE DE LOS TRIBUANLES DE JUSTICIA</t>
  </si>
  <si>
    <t>0603330806</t>
  </si>
  <si>
    <t>ANA YANCI</t>
  </si>
  <si>
    <t>GOMEZ ROSALES</t>
  </si>
  <si>
    <t>64621874</t>
  </si>
  <si>
    <t>01522</t>
  </si>
  <si>
    <t>100 MEROS OESTE DE LAS OFICINAS DEL MAG</t>
  </si>
  <si>
    <t>0603700640</t>
  </si>
  <si>
    <t>001523</t>
  </si>
  <si>
    <t>BLOQUE 17</t>
  </si>
  <si>
    <t>BARRIO SAN ANTONIO 150 METROS SUR DEL MAG BLOQUE  17</t>
  </si>
  <si>
    <t>0602290404</t>
  </si>
  <si>
    <t>IBARRA UREÑA</t>
  </si>
  <si>
    <t>87659090</t>
  </si>
  <si>
    <t>001524</t>
  </si>
  <si>
    <t>VEGA SOLIS</t>
  </si>
  <si>
    <t>61397043</t>
  </si>
  <si>
    <t>001525</t>
  </si>
  <si>
    <t>CUADRANTE 17</t>
  </si>
  <si>
    <t>75 METROS SUR DEL MAG</t>
  </si>
  <si>
    <t>0601060366</t>
  </si>
  <si>
    <t>86404327</t>
  </si>
  <si>
    <t>001526</t>
  </si>
  <si>
    <t>MAG</t>
  </si>
  <si>
    <t>CONTIGUO AL MAG BLOQUE 17</t>
  </si>
  <si>
    <t>0601350538</t>
  </si>
  <si>
    <t>MARIO</t>
  </si>
  <si>
    <t>SOLIS NAVARRO</t>
  </si>
  <si>
    <t>001527</t>
  </si>
  <si>
    <t>BLOQUE 18</t>
  </si>
  <si>
    <t>25 METROS AL SU CONTIGUO A LAS OFICINAS DEL MAG</t>
  </si>
  <si>
    <t>0106170948</t>
  </si>
  <si>
    <t>CARVAJAL VALDIVIA</t>
  </si>
  <si>
    <t>85065634</t>
  </si>
  <si>
    <t>001528</t>
  </si>
  <si>
    <t>100 METROS NORTE Y 50 ESTE DEL ANTIGUO ICE</t>
  </si>
  <si>
    <t>0603330140</t>
  </si>
  <si>
    <t>CHAVES JUAREZ</t>
  </si>
  <si>
    <t>60140375</t>
  </si>
  <si>
    <t>001529</t>
  </si>
  <si>
    <t>CUADRANTE 18</t>
  </si>
  <si>
    <t>100 METROS SUR DE LA IGLESIA CUADRANGULAR</t>
  </si>
  <si>
    <t>0609802900</t>
  </si>
  <si>
    <t>YULIA</t>
  </si>
  <si>
    <t>MORALES CEDEÑO</t>
  </si>
  <si>
    <t>27888093</t>
  </si>
  <si>
    <t>001530</t>
  </si>
  <si>
    <t>100 METROS NORTE, 50 METROS ESTE DEL MAG</t>
  </si>
  <si>
    <t>0601920215</t>
  </si>
  <si>
    <t>ELTY MAYELA DE LOS ANGELES</t>
  </si>
  <si>
    <t>ORTIZ MURILO</t>
  </si>
  <si>
    <t>27888315</t>
  </si>
  <si>
    <t>001531</t>
  </si>
  <si>
    <t>75 METROS NORTE DEL MAG</t>
  </si>
  <si>
    <t>0603480987</t>
  </si>
  <si>
    <t>ANCHIA ANGULO</t>
  </si>
  <si>
    <t>86661334</t>
  </si>
  <si>
    <t>001532</t>
  </si>
  <si>
    <t>DE LAS ANTIGUAS OFICNAS DEL ICE 75 M NORTE Y 100 METROS OESTE</t>
  </si>
  <si>
    <t>0601000696</t>
  </si>
  <si>
    <t>27888020</t>
  </si>
  <si>
    <t>001533</t>
  </si>
  <si>
    <t>SUN</t>
  </si>
  <si>
    <t>100 METROS NORTE Y 75 METROS OESTE DE LAS ANTIGUAS OFICINAS DEL ICE BLOQUE 19</t>
  </si>
  <si>
    <t>0500650464</t>
  </si>
  <si>
    <t>DOMINGO</t>
  </si>
  <si>
    <t>DAVILA CHAVARRIA</t>
  </si>
  <si>
    <t>001534</t>
  </si>
  <si>
    <t>DE LA ANTIGUA AGENCIA DEL ICE 75 M NORTE Y 75 METROS OESTE BLOQUE 19</t>
  </si>
  <si>
    <t>0102860206</t>
  </si>
  <si>
    <t>LUCRECIA</t>
  </si>
  <si>
    <t>MORA QUIROS</t>
  </si>
  <si>
    <t>86536531</t>
  </si>
  <si>
    <t>001535</t>
  </si>
  <si>
    <t>50 NORTE Y 35 OESTE DE LA IGLESIA BIBLICA BAUTISTA. BLQOUE 19</t>
  </si>
  <si>
    <t>1145107340</t>
  </si>
  <si>
    <t>WAINER MAURICIO</t>
  </si>
  <si>
    <t>QUINTERO LEZCANO</t>
  </si>
  <si>
    <t>86992441</t>
  </si>
  <si>
    <t>06092079</t>
  </si>
  <si>
    <t xml:space="preserve">LUSMILDA </t>
  </si>
  <si>
    <t>LEZCANO VALDEZ</t>
  </si>
  <si>
    <t>NELSON ENRIQUE</t>
  </si>
  <si>
    <t>001536</t>
  </si>
  <si>
    <t>50M NORTE Y 25 M OESTE DE LA IGLESIA BIBLICA BAUTISTA CASA COLOR AMARILLO A MANO DERECHA BLOQUE 19</t>
  </si>
  <si>
    <t>0501090054</t>
  </si>
  <si>
    <t>HERRERA REYES</t>
  </si>
  <si>
    <t>27888705</t>
  </si>
  <si>
    <t>001537</t>
  </si>
  <si>
    <t>175 METROS OESTE DE LAS OFICINAS DEL MAG BLOQUE 19</t>
  </si>
  <si>
    <t>0600850504</t>
  </si>
  <si>
    <t xml:space="preserve">LEILA </t>
  </si>
  <si>
    <t>PICADO DUARTE</t>
  </si>
  <si>
    <t>001538</t>
  </si>
  <si>
    <t>175 METROS OOESTE DE LAS OFICINAS DEL MAG BLOQUE  19</t>
  </si>
  <si>
    <t>0601290646</t>
  </si>
  <si>
    <t>RIGOBERTO</t>
  </si>
  <si>
    <t>VILLACHICA CHAVARRIA</t>
  </si>
  <si>
    <t>84959585</t>
  </si>
  <si>
    <t>001539</t>
  </si>
  <si>
    <t>75 NORTE 100 OESTE Y 75 NORTE DE LAS ANTIGUAS OFICINAS DEL ICE BLOQUE 19</t>
  </si>
  <si>
    <t>0900600421</t>
  </si>
  <si>
    <t>VEGA JARA</t>
  </si>
  <si>
    <t>84939812</t>
  </si>
  <si>
    <t>001540</t>
  </si>
  <si>
    <t>BARRIO PRECARIO</t>
  </si>
  <si>
    <t>CASA#11 BARRIO PRECARIO BLOQUE 20</t>
  </si>
  <si>
    <t>0602470664</t>
  </si>
  <si>
    <t>OBANDO VARGAS</t>
  </si>
  <si>
    <t>72511719</t>
  </si>
  <si>
    <t>001541</t>
  </si>
  <si>
    <t>PRECARIO</t>
  </si>
  <si>
    <t>CASA#12 BARRIO PRECARIO BLOQUE20</t>
  </si>
  <si>
    <t>0107890809</t>
  </si>
  <si>
    <t>SAMUDIO LOPEZ</t>
  </si>
  <si>
    <t>61399864</t>
  </si>
  <si>
    <t>001542</t>
  </si>
  <si>
    <t>BLOQUE 20</t>
  </si>
  <si>
    <t>0115670805</t>
  </si>
  <si>
    <t>LUIS DIEGO</t>
  </si>
  <si>
    <t>BRICEÑO DIAZ</t>
  </si>
  <si>
    <t>001543</t>
  </si>
  <si>
    <t>CASA#12 BARRIO PRECARIO BLOQUE 20</t>
  </si>
  <si>
    <t>0603990894</t>
  </si>
  <si>
    <t>MARIAM</t>
  </si>
  <si>
    <t>MATARRITA JIMENEZ</t>
  </si>
  <si>
    <t>83828448</t>
  </si>
  <si>
    <t>001544</t>
  </si>
  <si>
    <t>CASA#15 MARRIO MUNICIPAL BLOQUE 20</t>
  </si>
  <si>
    <t>0604320346</t>
  </si>
  <si>
    <t>PEREZ SEQUEIRA</t>
  </si>
  <si>
    <t>60140298</t>
  </si>
  <si>
    <t>001545</t>
  </si>
  <si>
    <t>60873025</t>
  </si>
  <si>
    <t>DETRAS DE LA CASA #15 BARRIO PRECARIO BLOQUE 20</t>
  </si>
  <si>
    <t>0602800826</t>
  </si>
  <si>
    <t>SEQUEIRA NUÑEZ</t>
  </si>
  <si>
    <t>001546</t>
  </si>
  <si>
    <t>Precario</t>
  </si>
  <si>
    <t>Ciudadela municipal casa #16</t>
  </si>
  <si>
    <t>0103750294</t>
  </si>
  <si>
    <t>Sandi Jimenez</t>
  </si>
  <si>
    <t>86101528</t>
  </si>
  <si>
    <t>001547</t>
  </si>
  <si>
    <t>Barrio precario casa #17 bloque 20</t>
  </si>
  <si>
    <t>0601170395</t>
  </si>
  <si>
    <t>Allen Zuñiga</t>
  </si>
  <si>
    <t>86239899</t>
  </si>
  <si>
    <t>001548</t>
  </si>
  <si>
    <t>Barrio precario casa #20. Bloque 20</t>
  </si>
  <si>
    <t>050149076805-0149-0768</t>
  </si>
  <si>
    <t>Mendoza Jimenez</t>
  </si>
  <si>
    <t>88249340</t>
  </si>
  <si>
    <t>001550</t>
  </si>
  <si>
    <t>precario, cuadrante 20</t>
  </si>
  <si>
    <t>bloque 20</t>
  </si>
  <si>
    <t>0601420252</t>
  </si>
  <si>
    <t>Josefina</t>
  </si>
  <si>
    <t>Sanchez Mena</t>
  </si>
  <si>
    <t>001551</t>
  </si>
  <si>
    <t>250 mts oeste, 30 suroeste de las oficinas MAG.  Bloque 20</t>
  </si>
  <si>
    <t>0602330770</t>
  </si>
  <si>
    <t>Maria Adilia</t>
  </si>
  <si>
    <t>89793093</t>
  </si>
  <si>
    <t>001552</t>
  </si>
  <si>
    <t>precario</t>
  </si>
  <si>
    <t>250 mts oeste, 30 suroeste de las oficinas del MAG.  Bloque 20.</t>
  </si>
  <si>
    <t>0603720517</t>
  </si>
  <si>
    <t>Kimberly</t>
  </si>
  <si>
    <t>Matarrita Jimenez</t>
  </si>
  <si>
    <t>86663771</t>
  </si>
  <si>
    <t>001553</t>
  </si>
  <si>
    <t>Cuadrante 20, precario</t>
  </si>
  <si>
    <t>Barrio precario, casa #2, bloque 20</t>
  </si>
  <si>
    <t>0602340920</t>
  </si>
  <si>
    <t>Kathia</t>
  </si>
  <si>
    <t>Rojas Arriola</t>
  </si>
  <si>
    <t>83029623</t>
  </si>
  <si>
    <t>001554</t>
  </si>
  <si>
    <t>Cuadrante 16</t>
  </si>
  <si>
    <t>Contiguo a Barrio precario 300 metros sur del MAG, bloque 20</t>
  </si>
  <si>
    <t>0111930480</t>
  </si>
  <si>
    <t>Quirós Rivera</t>
  </si>
  <si>
    <t>001555</t>
  </si>
  <si>
    <t>Imas, cuadrante 16</t>
  </si>
  <si>
    <t>Barrio Imas, 200 Sur, 25 Oeste del MAG, bloque 20</t>
  </si>
  <si>
    <t>0602560273</t>
  </si>
  <si>
    <t>Dennis</t>
  </si>
  <si>
    <t>Ruiz Avendaño</t>
  </si>
  <si>
    <t>84581082</t>
  </si>
  <si>
    <t>001556</t>
  </si>
  <si>
    <t>Imas cuadrante 16</t>
  </si>
  <si>
    <t>Calle 4, avenida 3, Barrio Imas, casa no. 40, bloque 20</t>
  </si>
  <si>
    <t>0105420553</t>
  </si>
  <si>
    <t>Ronny</t>
  </si>
  <si>
    <t>Chavarría Guerra</t>
  </si>
  <si>
    <t>60665506</t>
  </si>
  <si>
    <t>001557</t>
  </si>
  <si>
    <t>Cuadrante 12</t>
  </si>
  <si>
    <t>Bloque 20</t>
  </si>
  <si>
    <t>0604190192</t>
  </si>
  <si>
    <t>Byron</t>
  </si>
  <si>
    <t>Villachica López</t>
  </si>
  <si>
    <t>001558</t>
  </si>
  <si>
    <t>Cuadrante 18</t>
  </si>
  <si>
    <t>100 metros Sur de la Iglesia Cuadrangular, Bloque 20</t>
  </si>
  <si>
    <t>0603380662</t>
  </si>
  <si>
    <t>Sucetty</t>
  </si>
  <si>
    <t>Madrigal Morales</t>
  </si>
  <si>
    <t>84010004</t>
  </si>
  <si>
    <t>001559</t>
  </si>
  <si>
    <t>precario 300 metros oeste del MAG bloque 20</t>
  </si>
  <si>
    <t>0601610603</t>
  </si>
  <si>
    <t>zaida</t>
  </si>
  <si>
    <t>guadamuz ortiz</t>
  </si>
  <si>
    <t>83325817</t>
  </si>
  <si>
    <t>001560</t>
  </si>
  <si>
    <t>Bloque 22</t>
  </si>
  <si>
    <t>0601790273</t>
  </si>
  <si>
    <t>Maritza</t>
  </si>
  <si>
    <t>Sotamayor Barrios</t>
  </si>
  <si>
    <t>86171938</t>
  </si>
  <si>
    <t>001561</t>
  </si>
  <si>
    <t>De las oficinas del MAG 200m Norte y 25m oeste. Bloque 22</t>
  </si>
  <si>
    <t>0107190059</t>
  </si>
  <si>
    <t>Gustavo</t>
  </si>
  <si>
    <t>López Báez</t>
  </si>
  <si>
    <t>85032375</t>
  </si>
  <si>
    <t>001562</t>
  </si>
  <si>
    <t>san antonio</t>
  </si>
  <si>
    <t>250 m norte de los oficinas del ice bloque 22</t>
  </si>
  <si>
    <t>0601210833</t>
  </si>
  <si>
    <t>Yamileth</t>
  </si>
  <si>
    <t>villachica chavarria</t>
  </si>
  <si>
    <t>86051401</t>
  </si>
  <si>
    <t>001563</t>
  </si>
  <si>
    <t>bloque 22</t>
  </si>
  <si>
    <t>0106360336</t>
  </si>
  <si>
    <t>jose</t>
  </si>
  <si>
    <t>chaves mora</t>
  </si>
  <si>
    <t>001564</t>
  </si>
  <si>
    <t>barrio precario</t>
  </si>
  <si>
    <t>barrio municipal casa #6 bloque 24</t>
  </si>
  <si>
    <t>0601340984</t>
  </si>
  <si>
    <t>rosario</t>
  </si>
  <si>
    <t>muñoz muñoz</t>
  </si>
  <si>
    <t>88418718</t>
  </si>
  <si>
    <t>001565</t>
  </si>
  <si>
    <t>Barrio precario</t>
  </si>
  <si>
    <t>Del MAG 170 metros al Este, casa #2, Bloque 24</t>
  </si>
  <si>
    <t>0102500291</t>
  </si>
  <si>
    <t>Anchía Pérez</t>
  </si>
  <si>
    <t>86586920</t>
  </si>
  <si>
    <t>001566</t>
  </si>
  <si>
    <t>Barrio precario, casa municipal, bloque 24</t>
  </si>
  <si>
    <t>0604020678</t>
  </si>
  <si>
    <t>Lara Amador</t>
  </si>
  <si>
    <t>63998288</t>
  </si>
  <si>
    <t>001567</t>
  </si>
  <si>
    <t>200 metros Este del MAG, bloque 24</t>
  </si>
  <si>
    <t>0603470278</t>
  </si>
  <si>
    <t>Lorlly</t>
  </si>
  <si>
    <t>González Morales</t>
  </si>
  <si>
    <t>88061312</t>
  </si>
  <si>
    <t>001568</t>
  </si>
  <si>
    <t>Barrio Precario</t>
  </si>
  <si>
    <t>Ciudadela municipal casa #7 bloque 24</t>
  </si>
  <si>
    <t>0601090166</t>
  </si>
  <si>
    <t>Cerdas Perez</t>
  </si>
  <si>
    <t>84674773</t>
  </si>
  <si>
    <t>001569</t>
  </si>
  <si>
    <t>Ciudadela municipal casa #5 Bloque 24</t>
  </si>
  <si>
    <t>0600670945</t>
  </si>
  <si>
    <t>Tenorio Carillo</t>
  </si>
  <si>
    <t>61832341</t>
  </si>
  <si>
    <t>001570</t>
  </si>
  <si>
    <t>Barrio Precario casa municipal #2 Bloque 24</t>
  </si>
  <si>
    <t>0602840022</t>
  </si>
  <si>
    <t>Diaz Quiel</t>
  </si>
  <si>
    <t>85722897</t>
  </si>
  <si>
    <t>001571</t>
  </si>
  <si>
    <t>Cuidad municipal casa #1 bloque 24</t>
  </si>
  <si>
    <t>0601600776</t>
  </si>
  <si>
    <t>Santana</t>
  </si>
  <si>
    <t>Morales Rojas</t>
  </si>
  <si>
    <t>62179637</t>
  </si>
  <si>
    <t>001572</t>
  </si>
  <si>
    <t>Barrio Precario casa #3</t>
  </si>
  <si>
    <t>0603000542</t>
  </si>
  <si>
    <t>Azucena</t>
  </si>
  <si>
    <t>Madrigal Arrieta</t>
  </si>
  <si>
    <t>88586227</t>
  </si>
  <si>
    <t>001573</t>
  </si>
  <si>
    <t>Ciudadela Municipal Casa #4</t>
  </si>
  <si>
    <t>0110500785</t>
  </si>
  <si>
    <t>Herrera González</t>
  </si>
  <si>
    <t>88704400</t>
  </si>
  <si>
    <t>001574</t>
  </si>
  <si>
    <t>Casa #8 continuo a Barrio Imas</t>
  </si>
  <si>
    <t>0110790049</t>
  </si>
  <si>
    <t>Madrigal Obando</t>
  </si>
  <si>
    <t>62985981</t>
  </si>
  <si>
    <t>001575</t>
  </si>
  <si>
    <t>Bloque 24</t>
  </si>
  <si>
    <t>0601850113</t>
  </si>
  <si>
    <t>Quintero Zapata</t>
  </si>
  <si>
    <t>86959671</t>
  </si>
  <si>
    <t>001576</t>
  </si>
  <si>
    <t>Cinco Esquinas</t>
  </si>
  <si>
    <t>Del minisúper 5 esquinas 50 mts al Este. Bloque #25</t>
  </si>
  <si>
    <t>0104860616</t>
  </si>
  <si>
    <t>María Edith</t>
  </si>
  <si>
    <t>Gamboa Martínez</t>
  </si>
  <si>
    <t>85241539</t>
  </si>
  <si>
    <t>001577</t>
  </si>
  <si>
    <t xml:space="preserve">Cinco esquinas </t>
  </si>
  <si>
    <t>50m al este del minisúper cinco esquinas , bloque 25</t>
  </si>
  <si>
    <t>Patrick</t>
  </si>
  <si>
    <t xml:space="preserve">Arroliga Madrigal </t>
  </si>
  <si>
    <t>001578</t>
  </si>
  <si>
    <t xml:space="preserve">Cinco Esquinas </t>
  </si>
  <si>
    <t xml:space="preserve">Del minisúper 5 esquinas , 25m sur </t>
  </si>
  <si>
    <t>0900900305</t>
  </si>
  <si>
    <t xml:space="preserve">Amable </t>
  </si>
  <si>
    <t xml:space="preserve">Acuña Barrantes </t>
  </si>
  <si>
    <t>001579</t>
  </si>
  <si>
    <t>del minisúper 5 esquinas 50m Este,  Bloque 25</t>
  </si>
  <si>
    <t>0113290431</t>
  </si>
  <si>
    <t xml:space="preserve">Stefany </t>
  </si>
  <si>
    <t xml:space="preserve">Perez Silva </t>
  </si>
  <si>
    <t>57210800</t>
  </si>
  <si>
    <t>001580</t>
  </si>
  <si>
    <t>50m Este del minisúper 5 esquinas , Bloque 25</t>
  </si>
  <si>
    <t>0603950908</t>
  </si>
  <si>
    <t xml:space="preserve">Dailyn Marcel </t>
  </si>
  <si>
    <t xml:space="preserve">Gamboa </t>
  </si>
  <si>
    <t>85477846</t>
  </si>
  <si>
    <t>001581</t>
  </si>
  <si>
    <t>Cuadrante 21</t>
  </si>
  <si>
    <t>contiguo al MAG</t>
  </si>
  <si>
    <t>0602740056</t>
  </si>
  <si>
    <t xml:space="preserve">Venegas Alvarez </t>
  </si>
  <si>
    <t>001582</t>
  </si>
  <si>
    <t xml:space="preserve">100m Sur de la Hilera de Ciudad Cortes </t>
  </si>
  <si>
    <t>0601150973</t>
  </si>
  <si>
    <t xml:space="preserve">Fernandez Alvarado </t>
  </si>
  <si>
    <t>001583</t>
  </si>
  <si>
    <t xml:space="preserve">50m Norte de la Farmacia Ibarra, Cortes </t>
  </si>
  <si>
    <t>0602160281</t>
  </si>
  <si>
    <t xml:space="preserve">Palacios Vargas </t>
  </si>
  <si>
    <t>70302818</t>
  </si>
  <si>
    <t>001584</t>
  </si>
  <si>
    <t>Cuadrante 22</t>
  </si>
  <si>
    <t xml:space="preserve">275m Sur del antiguo ICE </t>
  </si>
  <si>
    <t>0303980621</t>
  </si>
  <si>
    <t xml:space="preserve">Carolina </t>
  </si>
  <si>
    <t xml:space="preserve">Villegas Villachica </t>
  </si>
  <si>
    <t>84260900</t>
  </si>
  <si>
    <t>001585</t>
  </si>
  <si>
    <t>250m Norte de las oficinas antiguas del ICE, Bloque 22.7</t>
  </si>
  <si>
    <t>0501280692</t>
  </si>
  <si>
    <t>Mora Sosa</t>
  </si>
  <si>
    <t>87723425</t>
  </si>
  <si>
    <t>001586</t>
  </si>
  <si>
    <t>175m Norte de las oficinas antiguas MAG, Bloque 22.1</t>
  </si>
  <si>
    <t>0500450711</t>
  </si>
  <si>
    <t xml:space="preserve">Albertina </t>
  </si>
  <si>
    <t xml:space="preserve">Chavarria Chavarria </t>
  </si>
  <si>
    <t>001587</t>
  </si>
  <si>
    <t>Cuadrante 23</t>
  </si>
  <si>
    <t>Contiguo a taller de Alberto Zamora . Bloque 23.1</t>
  </si>
  <si>
    <t>0601410532</t>
  </si>
  <si>
    <t xml:space="preserve">Leila </t>
  </si>
  <si>
    <t xml:space="preserve">Marchena Santamaria </t>
  </si>
  <si>
    <t>87825670</t>
  </si>
  <si>
    <t>001588</t>
  </si>
  <si>
    <t>Contiguo al taller Zamora 
Bloque 23.1</t>
  </si>
  <si>
    <t>0603160094</t>
  </si>
  <si>
    <t xml:space="preserve">Karla </t>
  </si>
  <si>
    <t xml:space="preserve">Reyes Marcehna </t>
  </si>
  <si>
    <t>85687548</t>
  </si>
  <si>
    <t>001589</t>
  </si>
  <si>
    <t>250m al norte del ICE contiguo, 50m Oeste
casa verde 
Bloque 23.1</t>
  </si>
  <si>
    <t>0600620521</t>
  </si>
  <si>
    <t xml:space="preserve">Nuñez Espinosa </t>
  </si>
  <si>
    <t>27888336</t>
  </si>
  <si>
    <t>001590</t>
  </si>
  <si>
    <t>Cuadrante 25</t>
  </si>
  <si>
    <t>Bloque 25.1</t>
  </si>
  <si>
    <t xml:space="preserve">Heidy </t>
  </si>
  <si>
    <t xml:space="preserve">Golfin Mena </t>
  </si>
  <si>
    <t>001591</t>
  </si>
  <si>
    <t>Cindo esquinas  c.25</t>
  </si>
  <si>
    <t>calle sin salida , 5 esquinas . Bloque 25.1</t>
  </si>
  <si>
    <t>0602150153</t>
  </si>
  <si>
    <t xml:space="preserve">Deilyn </t>
  </si>
  <si>
    <t xml:space="preserve">Arias Morales </t>
  </si>
  <si>
    <t>84276384</t>
  </si>
  <si>
    <t>002070</t>
  </si>
  <si>
    <t>300 N. de las antiguas oficinas del ICE Bloque 23</t>
  </si>
  <si>
    <t>0603140280</t>
  </si>
  <si>
    <t>Max Alberto</t>
  </si>
  <si>
    <t>rojas Marchena</t>
  </si>
  <si>
    <t>83410373</t>
  </si>
  <si>
    <t>002071</t>
  </si>
  <si>
    <t>Barrio IMAS</t>
  </si>
  <si>
    <t>Costado E. del Estadio Municipal de Osa, Casa N-o 2, Bloque 16</t>
  </si>
  <si>
    <t>0203370437</t>
  </si>
  <si>
    <t xml:space="preserve">Maria rosa </t>
  </si>
  <si>
    <t>Barrantes Díaz</t>
  </si>
  <si>
    <t>002072</t>
  </si>
  <si>
    <t>Bloque 16</t>
  </si>
  <si>
    <t>0600570851</t>
  </si>
  <si>
    <t xml:space="preserve">Delia Maria </t>
  </si>
  <si>
    <t>Barrientos Barrientos</t>
  </si>
  <si>
    <t>002073</t>
  </si>
  <si>
    <t>0202170122</t>
  </si>
  <si>
    <t xml:space="preserve">Maria Eugenia </t>
  </si>
  <si>
    <t>Castro Vargas</t>
  </si>
  <si>
    <t>002074</t>
  </si>
  <si>
    <t>0104270246</t>
  </si>
  <si>
    <t xml:space="preserve">Rodrigo </t>
  </si>
  <si>
    <t>Chaves Artavia</t>
  </si>
  <si>
    <t>002075</t>
  </si>
  <si>
    <t>0800470311</t>
  </si>
  <si>
    <t>Julio Reynaldo</t>
  </si>
  <si>
    <t>Alvarez Calonje</t>
  </si>
  <si>
    <t>002076</t>
  </si>
  <si>
    <t>Bloque 17</t>
  </si>
  <si>
    <t>0603760435</t>
  </si>
  <si>
    <t>Cyndi Pamela</t>
  </si>
  <si>
    <t>Cerdas Chacon</t>
  </si>
  <si>
    <t>002077</t>
  </si>
  <si>
    <t>Bloque 18</t>
  </si>
  <si>
    <t>0600270524</t>
  </si>
  <si>
    <t>Leal Rodriguez</t>
  </si>
  <si>
    <t>002078</t>
  </si>
  <si>
    <t>Bloque 25</t>
  </si>
  <si>
    <t>0600880133</t>
  </si>
  <si>
    <t>rosa Ines</t>
  </si>
  <si>
    <t xml:space="preserve"> Ureña Chinchilla</t>
  </si>
  <si>
    <t>002079</t>
  </si>
  <si>
    <t>Bloque 21</t>
  </si>
  <si>
    <t>0601270722</t>
  </si>
  <si>
    <t xml:space="preserve">Isdabel </t>
  </si>
  <si>
    <t>Flores Gonzalez</t>
  </si>
  <si>
    <t>002080</t>
  </si>
  <si>
    <t>50 E. del Mini Super  Esquinas</t>
  </si>
  <si>
    <t>0112310437</t>
  </si>
  <si>
    <t>Delmar Mariela</t>
  </si>
  <si>
    <t>Gamboa Orozco</t>
  </si>
  <si>
    <t>002081</t>
  </si>
  <si>
    <t>150 Oeste y 20 Sur de las oficinas del MAG</t>
  </si>
  <si>
    <t>0602320279</t>
  </si>
  <si>
    <t xml:space="preserve">Claribel </t>
  </si>
  <si>
    <t>Zamora gómez</t>
  </si>
  <si>
    <t>002082</t>
  </si>
  <si>
    <t>120 Oeste de las oficinas del MAG,  Bloque 23</t>
  </si>
  <si>
    <t>0203940949</t>
  </si>
  <si>
    <t>Juan Horacio</t>
  </si>
  <si>
    <t>Orozco Morales</t>
  </si>
  <si>
    <t>001235</t>
  </si>
  <si>
    <t>El carmen</t>
  </si>
  <si>
    <t>500 m al norte de la escuela y 25 m noroeste</t>
  </si>
  <si>
    <t>6029306600</t>
  </si>
  <si>
    <t>Vernin</t>
  </si>
  <si>
    <t>Prado Ureña</t>
  </si>
  <si>
    <t>001236</t>
  </si>
  <si>
    <t>50 M O DE LA PLAZA DE DEPORTES</t>
  </si>
  <si>
    <t>0603040829</t>
  </si>
  <si>
    <t>PRADO CORDERO</t>
  </si>
  <si>
    <t>83426297</t>
  </si>
  <si>
    <t>001237</t>
  </si>
  <si>
    <t>150 m oeste de la plaza de deportes</t>
  </si>
  <si>
    <t>6030408290</t>
  </si>
  <si>
    <t>Prado Calderon</t>
  </si>
  <si>
    <t>85818748</t>
  </si>
  <si>
    <t>6035103800</t>
  </si>
  <si>
    <t>Richard</t>
  </si>
  <si>
    <t>001238</t>
  </si>
  <si>
    <t>200 m oeste de la plaza</t>
  </si>
  <si>
    <t>6018204210</t>
  </si>
  <si>
    <t xml:space="preserve">Andrés </t>
  </si>
  <si>
    <t>Camacho Melendez</t>
  </si>
  <si>
    <t>86747951</t>
  </si>
  <si>
    <t>001239</t>
  </si>
  <si>
    <t>100 m oeste de la plaza</t>
  </si>
  <si>
    <t>6035504840</t>
  </si>
  <si>
    <t>Rodolfo</t>
  </si>
  <si>
    <t xml:space="preserve">Camacho Calderon </t>
  </si>
  <si>
    <t>89399847</t>
  </si>
  <si>
    <t>001240</t>
  </si>
  <si>
    <t>EL Carmen</t>
  </si>
  <si>
    <t>6022503900</t>
  </si>
  <si>
    <t>Rojas Cascante</t>
  </si>
  <si>
    <t>83211481</t>
  </si>
  <si>
    <t>001241</t>
  </si>
  <si>
    <t>1 km al oeste del Liceo El Carmen</t>
  </si>
  <si>
    <t>1052802060</t>
  </si>
  <si>
    <t>Solano Jimenez</t>
  </si>
  <si>
    <t>87148497</t>
  </si>
  <si>
    <t>001242</t>
  </si>
  <si>
    <t>EL CARMEN</t>
  </si>
  <si>
    <t>CONTIGUO A LA PULPERIA CATARATA</t>
  </si>
  <si>
    <t>1023007780</t>
  </si>
  <si>
    <t>APODEMIO</t>
  </si>
  <si>
    <t>CORRALES PADILLA</t>
  </si>
  <si>
    <t>85438840</t>
  </si>
  <si>
    <t>001243</t>
  </si>
  <si>
    <t>200 M OESTE DE LA PLAZA</t>
  </si>
  <si>
    <t>9009203370</t>
  </si>
  <si>
    <t>CALDERON GARRO</t>
  </si>
  <si>
    <t>83434909</t>
  </si>
  <si>
    <t>001244</t>
  </si>
  <si>
    <t>100 M ESTE DE LA PLAZA DE DEPORTES</t>
  </si>
  <si>
    <t>6035104770</t>
  </si>
  <si>
    <t>CALDERON PIEDRA</t>
  </si>
  <si>
    <t>85273658</t>
  </si>
  <si>
    <t>001245</t>
  </si>
  <si>
    <t>600 M NORTE DE LA ESCUELA CARMEN 50 M SUROESTE</t>
  </si>
  <si>
    <t>0114220090</t>
  </si>
  <si>
    <t>ROJAS CORRALES</t>
  </si>
  <si>
    <t>001246</t>
  </si>
  <si>
    <t>150 METROS OESTE DE LA PLAZA DE DEPORTES</t>
  </si>
  <si>
    <t>0104000406</t>
  </si>
  <si>
    <t>MARCO AURELIO</t>
  </si>
  <si>
    <t xml:space="preserve">PRADO NARANJO </t>
  </si>
  <si>
    <t>84404963</t>
  </si>
  <si>
    <t>001247</t>
  </si>
  <si>
    <t>150 M OESTE DE PLAZA DE DEPORTES</t>
  </si>
  <si>
    <t>6025804890</t>
  </si>
  <si>
    <t xml:space="preserve">MARCOS </t>
  </si>
  <si>
    <t>JIMENEZ NARANJO</t>
  </si>
  <si>
    <t>87424501</t>
  </si>
  <si>
    <t>001248</t>
  </si>
  <si>
    <t>150 M OESTE DE LA PLAZA DE DEPORTES</t>
  </si>
  <si>
    <t>1025302310</t>
  </si>
  <si>
    <t>ALCIDES</t>
  </si>
  <si>
    <t>JIMENEZ CRUZ</t>
  </si>
  <si>
    <t>001249</t>
  </si>
  <si>
    <t>300 M ESTE DE LA PLAZA DE DEPORTES</t>
  </si>
  <si>
    <t>6027203070</t>
  </si>
  <si>
    <t>BENIGNA</t>
  </si>
  <si>
    <t>89869320</t>
  </si>
  <si>
    <t>001521</t>
  </si>
  <si>
    <t>800 MTS ANTES DE LICEO RURAL EL CARMEN</t>
  </si>
  <si>
    <t>0603300833</t>
  </si>
  <si>
    <t>ALBIN</t>
  </si>
  <si>
    <t>SOLANO PRADO</t>
  </si>
  <si>
    <t>001592</t>
  </si>
  <si>
    <t xml:space="preserve">Palo seco las Vegas </t>
  </si>
  <si>
    <t xml:space="preserve">del puente Rio palo Seco 500m Oeste </t>
  </si>
  <si>
    <t>0603250285</t>
  </si>
  <si>
    <t>Indhy Olga</t>
  </si>
  <si>
    <t>Castillo Calderon</t>
  </si>
  <si>
    <t>001593</t>
  </si>
  <si>
    <t xml:space="preserve">Las vegas </t>
  </si>
  <si>
    <t xml:space="preserve">del puente Rio Palo Seco 500m Oeste </t>
  </si>
  <si>
    <t>0602710214</t>
  </si>
  <si>
    <t xml:space="preserve">Alvaro </t>
  </si>
  <si>
    <t>001594</t>
  </si>
  <si>
    <t xml:space="preserve">Las Vegas </t>
  </si>
  <si>
    <t xml:space="preserve">800m al sur de la Iglesia </t>
  </si>
  <si>
    <t>0104740340</t>
  </si>
  <si>
    <t xml:space="preserve">Calderon Garro </t>
  </si>
  <si>
    <t>86432354</t>
  </si>
  <si>
    <t>001595</t>
  </si>
  <si>
    <t xml:space="preserve">800m al Sur de la iglesia Católica </t>
  </si>
  <si>
    <t>0103190756</t>
  </si>
  <si>
    <t xml:space="preserve">Montoya Mora </t>
  </si>
  <si>
    <t>84443717</t>
  </si>
  <si>
    <t>001596</t>
  </si>
  <si>
    <t xml:space="preserve">800m al Sur de la Iglesia Católica </t>
  </si>
  <si>
    <t>0112340324</t>
  </si>
  <si>
    <t xml:space="preserve">Magally </t>
  </si>
  <si>
    <t xml:space="preserve">Montoya Chavez </t>
  </si>
  <si>
    <t>001597</t>
  </si>
  <si>
    <t>0603950979</t>
  </si>
  <si>
    <t>Noylin</t>
  </si>
  <si>
    <t xml:space="preserve">Delgado Mora </t>
  </si>
  <si>
    <t>001598</t>
  </si>
  <si>
    <t>001599</t>
  </si>
  <si>
    <t xml:space="preserve">El Carmen </t>
  </si>
  <si>
    <t xml:space="preserve">100mts Oeste de la Plaza </t>
  </si>
  <si>
    <t>0900960059</t>
  </si>
  <si>
    <t xml:space="preserve">Maria Cecilia </t>
  </si>
  <si>
    <t xml:space="preserve">Piedra Campos </t>
  </si>
  <si>
    <t>001600</t>
  </si>
  <si>
    <t>del bar el prado 150m</t>
  </si>
  <si>
    <t>0602750429</t>
  </si>
  <si>
    <t>001601</t>
  </si>
  <si>
    <t>Del Bar El Prado 300m</t>
  </si>
  <si>
    <t>0103640860</t>
  </si>
  <si>
    <t xml:space="preserve">Aurea </t>
  </si>
  <si>
    <t xml:space="preserve">Camacho Cordoba </t>
  </si>
  <si>
    <t>86746161</t>
  </si>
  <si>
    <t>001602</t>
  </si>
  <si>
    <t xml:space="preserve">Milagro </t>
  </si>
  <si>
    <t xml:space="preserve">Chinchilla Piedra </t>
  </si>
  <si>
    <t>001603</t>
  </si>
  <si>
    <t xml:space="preserve">Carmen </t>
  </si>
  <si>
    <t xml:space="preserve">Contiguo al bar el Prado </t>
  </si>
  <si>
    <t>0112620090</t>
  </si>
  <si>
    <t xml:space="preserve">Marcos Roney  </t>
  </si>
  <si>
    <t>Gamboa Chinchilla</t>
  </si>
  <si>
    <t>86618439</t>
  </si>
  <si>
    <t>001604</t>
  </si>
  <si>
    <t>Contiguo al antiguo bar el Prado</t>
  </si>
  <si>
    <t>0900880457</t>
  </si>
  <si>
    <t xml:space="preserve">Gerardina </t>
  </si>
  <si>
    <t>85184878</t>
  </si>
  <si>
    <t>001605</t>
  </si>
  <si>
    <t xml:space="preserve">Gricel </t>
  </si>
  <si>
    <t>Solano Naranjo</t>
  </si>
  <si>
    <t>001606</t>
  </si>
  <si>
    <t xml:space="preserve">1.5km este de la plaza </t>
  </si>
  <si>
    <t>0604490767</t>
  </si>
  <si>
    <t xml:space="preserve">Jaime </t>
  </si>
  <si>
    <t xml:space="preserve">Garro Masis </t>
  </si>
  <si>
    <t>001607</t>
  </si>
  <si>
    <t>1.5KM AL ESTE DE LA PLAZA</t>
  </si>
  <si>
    <t>0602890662</t>
  </si>
  <si>
    <t xml:space="preserve">ANNIA </t>
  </si>
  <si>
    <t>CHINCHILLA SOLANO</t>
  </si>
  <si>
    <t>88215511</t>
  </si>
  <si>
    <t>001608</t>
  </si>
  <si>
    <t>1KM ESTE DE LA PLAZA</t>
  </si>
  <si>
    <t>0601820421</t>
  </si>
  <si>
    <t>ANDRÉS</t>
  </si>
  <si>
    <t>CAMACHO MELÉNDEZ</t>
  </si>
  <si>
    <t>84475788</t>
  </si>
  <si>
    <t>001609</t>
  </si>
  <si>
    <t>1 KM ESTE DE LA PLAZA</t>
  </si>
  <si>
    <t>0900920377</t>
  </si>
  <si>
    <t xml:space="preserve">RAFAEL ÁNGEL </t>
  </si>
  <si>
    <t>CALDERÓN CORRALES</t>
  </si>
  <si>
    <t>001610</t>
  </si>
  <si>
    <t>800 MTS ESTE ESCUELA EL ROBLAR</t>
  </si>
  <si>
    <t>510279616</t>
  </si>
  <si>
    <t xml:space="preserve">BERTILIO </t>
  </si>
  <si>
    <t>PIEDRA GARCÍA</t>
  </si>
  <si>
    <t>85116145</t>
  </si>
  <si>
    <t>001611</t>
  </si>
  <si>
    <t>LA CHONTA</t>
  </si>
  <si>
    <t>2 KM OESTE ESCUELA EL CARMEN</t>
  </si>
  <si>
    <t>0604060324</t>
  </si>
  <si>
    <t>ALEXIS</t>
  </si>
  <si>
    <t>PIEDRA SÁNCHEZ</t>
  </si>
  <si>
    <t>85166829</t>
  </si>
  <si>
    <t>001612</t>
  </si>
  <si>
    <t>0604690960</t>
  </si>
  <si>
    <t>AGUSTIN</t>
  </si>
  <si>
    <t>001613</t>
  </si>
  <si>
    <t>1KM DE LA ENTRADA DE EL ROBLAN</t>
  </si>
  <si>
    <t>0900870639</t>
  </si>
  <si>
    <t xml:space="preserve">BENJAMÍN  </t>
  </si>
  <si>
    <t>83826162</t>
  </si>
  <si>
    <t>001614</t>
  </si>
  <si>
    <t>DEL COLEGIO 200MTS OESTE</t>
  </si>
  <si>
    <t>0602420573</t>
  </si>
  <si>
    <t>JOSÉ FREY</t>
  </si>
  <si>
    <t>PRADO CHINCHILLA</t>
  </si>
  <si>
    <t>83756379</t>
  </si>
  <si>
    <t>001615</t>
  </si>
  <si>
    <t>DEL COLEGIO 200 MTS OESTE</t>
  </si>
  <si>
    <t>0603490365</t>
  </si>
  <si>
    <t>JOSÉ ÁNGEL</t>
  </si>
  <si>
    <t>001616</t>
  </si>
  <si>
    <t>2 KM ESTE DE LA ESCUELA</t>
  </si>
  <si>
    <t>0102850450</t>
  </si>
  <si>
    <t>RAMIRO ISIDRO</t>
  </si>
  <si>
    <t>PIEDRA PIEDRA</t>
  </si>
  <si>
    <t>001617</t>
  </si>
  <si>
    <t>50 MTS ANTES DE LA IGLESIA CASA COLOR PAPAYA</t>
  </si>
  <si>
    <t>0624600474</t>
  </si>
  <si>
    <t xml:space="preserve">WILSON </t>
  </si>
  <si>
    <t>88246796</t>
  </si>
  <si>
    <t>001618</t>
  </si>
  <si>
    <t>0603190803</t>
  </si>
  <si>
    <t>HIDALGO PIEDRA</t>
  </si>
  <si>
    <t>001619</t>
  </si>
  <si>
    <t>0603560026</t>
  </si>
  <si>
    <t>PRADO UREÑA</t>
  </si>
  <si>
    <t>001620</t>
  </si>
  <si>
    <t>0604070685</t>
  </si>
  <si>
    <t>001621</t>
  </si>
  <si>
    <t>0602880072</t>
  </si>
  <si>
    <t>000624</t>
  </si>
  <si>
    <t>125 M SUROESTE DE LA ESCUELA DE ARANCIBIA CASA COLOR AMARILLO</t>
  </si>
  <si>
    <t>0601700766</t>
  </si>
  <si>
    <t>MIRANDA LOBO</t>
  </si>
  <si>
    <t>83116040</t>
  </si>
  <si>
    <t>001046</t>
  </si>
  <si>
    <t>200 M. sur de la  Ciponia calle al río</t>
  </si>
  <si>
    <t>6036907030</t>
  </si>
  <si>
    <t xml:space="preserve">Alan </t>
  </si>
  <si>
    <t>Cruz Fernandez</t>
  </si>
  <si>
    <t>62596553</t>
  </si>
  <si>
    <t>001047</t>
  </si>
  <si>
    <t>30 M. sur de la Iglesia Asambleas de Dios</t>
  </si>
  <si>
    <t>2060606230</t>
  </si>
  <si>
    <t>Jennifer</t>
  </si>
  <si>
    <t>Sánchez Murillo</t>
  </si>
  <si>
    <t>84016800</t>
  </si>
  <si>
    <t>001048</t>
  </si>
  <si>
    <t>De la Iglesia Fe Creciente hacia el oeste, cruzando el río Guacimal</t>
  </si>
  <si>
    <t>6011004340</t>
  </si>
  <si>
    <t>Macario</t>
  </si>
  <si>
    <t>Loría Valdéz</t>
  </si>
  <si>
    <t>001049</t>
  </si>
  <si>
    <t>Diagonal a la Pulpería La Bendición
Teléfono: 84273030</t>
  </si>
  <si>
    <t>6004407590</t>
  </si>
  <si>
    <t>Fidelia</t>
  </si>
  <si>
    <t>Valdez Valdez</t>
  </si>
  <si>
    <t>85018313</t>
  </si>
  <si>
    <t>001050</t>
  </si>
  <si>
    <t>Diagonal al Puente Pavones</t>
  </si>
  <si>
    <t>6009603470</t>
  </si>
  <si>
    <t>Olger</t>
  </si>
  <si>
    <t>Madrigal Quesada</t>
  </si>
  <si>
    <t>26471029</t>
  </si>
  <si>
    <t>001051</t>
  </si>
  <si>
    <t>25 Sur de la Iglesia asambleas de Dios, Guacimal</t>
  </si>
  <si>
    <t>6021007520</t>
  </si>
  <si>
    <t>Murillo Chacon</t>
  </si>
  <si>
    <t>89610750</t>
  </si>
  <si>
    <t>001052</t>
  </si>
  <si>
    <t>30 M. Norte del Puente, S/ Quemada Pavones</t>
  </si>
  <si>
    <t>6023507220</t>
  </si>
  <si>
    <t>José Francisco</t>
  </si>
  <si>
    <t>gonzalez Mendez</t>
  </si>
  <si>
    <t>88379320</t>
  </si>
  <si>
    <t>001053</t>
  </si>
  <si>
    <t>100N. de la Casona Comunal</t>
  </si>
  <si>
    <t>6010206240</t>
  </si>
  <si>
    <t xml:space="preserve">Sara </t>
  </si>
  <si>
    <t>Villalobos Morales</t>
  </si>
  <si>
    <t>84186758</t>
  </si>
  <si>
    <t>001054</t>
  </si>
  <si>
    <t>100 N. de la Casona Comunal</t>
  </si>
  <si>
    <t>6038904460</t>
  </si>
  <si>
    <t xml:space="preserve"> Pérez Campos</t>
  </si>
  <si>
    <t>001055</t>
  </si>
  <si>
    <t>600Noroeste de la Soda Internacional, camino a Veracruz
Telef: 22918584</t>
  </si>
  <si>
    <t>1097203240</t>
  </si>
  <si>
    <t>Osman</t>
  </si>
  <si>
    <t>Mora Retana</t>
  </si>
  <si>
    <t>84339671</t>
  </si>
  <si>
    <t>001056</t>
  </si>
  <si>
    <t>25 N. de la Soda Internacional
Teléfonos: 2647-1011</t>
  </si>
  <si>
    <t>5017708560</t>
  </si>
  <si>
    <t>Rosanira</t>
  </si>
  <si>
    <t>Morales Cruz</t>
  </si>
  <si>
    <t>86153424</t>
  </si>
  <si>
    <t>001057</t>
  </si>
  <si>
    <t>300 N, de la Soda Internacional</t>
  </si>
  <si>
    <t>6021805760</t>
  </si>
  <si>
    <t>Cruz Salazar</t>
  </si>
  <si>
    <t>87192784</t>
  </si>
  <si>
    <t>001058</t>
  </si>
  <si>
    <t>Contiguo al antiguo Palenque Guacimal</t>
  </si>
  <si>
    <t>1047809470</t>
  </si>
  <si>
    <t>Jorge Isaac</t>
  </si>
  <si>
    <t>Muñoz Banavides</t>
  </si>
  <si>
    <t>001059</t>
  </si>
  <si>
    <t>200 N. de la Plaza</t>
  </si>
  <si>
    <t>6029603110</t>
  </si>
  <si>
    <t>Luis</t>
  </si>
  <si>
    <t>Hernández Muñoz</t>
  </si>
  <si>
    <t>83403686</t>
  </si>
  <si>
    <t>001060</t>
  </si>
  <si>
    <t>Hernandez Muñoz</t>
  </si>
  <si>
    <t>001061</t>
  </si>
  <si>
    <t>100 N de la Plaza</t>
  </si>
  <si>
    <t>1097303670</t>
  </si>
  <si>
    <t xml:space="preserve">Oscar </t>
  </si>
  <si>
    <t>Madrigal Mena</t>
  </si>
  <si>
    <t>89235709</t>
  </si>
  <si>
    <t>001062</t>
  </si>
  <si>
    <t>25 Sur de la Iglesia Asambleas de Dios.</t>
  </si>
  <si>
    <t>9006501200</t>
  </si>
  <si>
    <t xml:space="preserve">Nanais </t>
  </si>
  <si>
    <t>86491163</t>
  </si>
  <si>
    <t>001063</t>
  </si>
  <si>
    <t xml:space="preserve">Guacimal </t>
  </si>
  <si>
    <t>150 N.de la Soda Internacional</t>
  </si>
  <si>
    <t>6014909570</t>
  </si>
  <si>
    <t>Matamoros Trjos</t>
  </si>
  <si>
    <t>26471290</t>
  </si>
  <si>
    <t>001064</t>
  </si>
  <si>
    <t>Frente a la Pulpería La Bendición</t>
  </si>
  <si>
    <t>9008600510</t>
  </si>
  <si>
    <t>Fabio</t>
  </si>
  <si>
    <t>Murillo Dimarco</t>
  </si>
  <si>
    <t>26471001</t>
  </si>
  <si>
    <t>001065</t>
  </si>
  <si>
    <t>250 Sur de ña Pulpería La Bendición</t>
  </si>
  <si>
    <t>6024502870</t>
  </si>
  <si>
    <t xml:space="preserve">Hernán </t>
  </si>
  <si>
    <t>Sibaja Esquivel</t>
  </si>
  <si>
    <t>86106365</t>
  </si>
  <si>
    <t>001066</t>
  </si>
  <si>
    <t>200 N. de la Plaza.</t>
  </si>
  <si>
    <t>6019802360</t>
  </si>
  <si>
    <t>Cruz Méndez</t>
  </si>
  <si>
    <t>85159922</t>
  </si>
  <si>
    <t>001067</t>
  </si>
  <si>
    <t>800 N. de la Escuela, entrada a Veracruz</t>
  </si>
  <si>
    <t>0601030982</t>
  </si>
  <si>
    <t xml:space="preserve">Carlos Luis </t>
  </si>
  <si>
    <t>Cruz Arguedas</t>
  </si>
  <si>
    <t>26471065</t>
  </si>
  <si>
    <t>000589</t>
  </si>
  <si>
    <t>De la Plaza de futbol de Abangaritos 3 Km. hacia Finca Carrizal (última foto casa de madera)</t>
  </si>
  <si>
    <t>0601480265</t>
  </si>
  <si>
    <t>Fidel</t>
  </si>
  <si>
    <t>Pérez Velásquez</t>
  </si>
  <si>
    <t>87037507</t>
  </si>
  <si>
    <t>000590</t>
  </si>
  <si>
    <t xml:space="preserve">De Pulperia Buenos Aires 100 este, 100 al suroeste al margen derecho , casa de zócalo, color morado con verde claro                                                                                                                                                                                                                                    </t>
  </si>
  <si>
    <t>26619079</t>
  </si>
  <si>
    <t>000591</t>
  </si>
  <si>
    <t>100E. y 100 Oeste de la Pulpería Buenos Aires, al margen derecho casa de zócalo y blanco.</t>
  </si>
  <si>
    <t>0503750466</t>
  </si>
  <si>
    <t>Torres Ruíz</t>
  </si>
  <si>
    <t>86513494</t>
  </si>
  <si>
    <t>000592</t>
  </si>
  <si>
    <t>100E y 150 Sur Oeste de la Pulperia Buenos Aires, margen derecho del río, casa colora zul y verde agua , de zócalo.</t>
  </si>
  <si>
    <t>0600550778</t>
  </si>
  <si>
    <t>Dionisio</t>
  </si>
  <si>
    <t>Barrantes Barrantes</t>
  </si>
  <si>
    <t>84531425</t>
  </si>
  <si>
    <t>000593</t>
  </si>
  <si>
    <t>25 N. Plaza de futbol margen derecho del rio casa celeste con cafe</t>
  </si>
  <si>
    <t>0501120563</t>
  </si>
  <si>
    <t>Emiliano</t>
  </si>
  <si>
    <t>85964016</t>
  </si>
  <si>
    <t>000594</t>
  </si>
  <si>
    <t>25 N. de Plaza de futbol, al margen derecho del Rio abangares casa de madera color celeste</t>
  </si>
  <si>
    <t>0602490337</t>
  </si>
  <si>
    <t xml:space="preserve">Rosa Emilia </t>
  </si>
  <si>
    <t>Rodríguez Jiménez</t>
  </si>
  <si>
    <t>86619667</t>
  </si>
  <si>
    <t>000595</t>
  </si>
  <si>
    <t>Frente a la Plaza de futbol, casa prefa color papaya</t>
  </si>
  <si>
    <t>0502230253</t>
  </si>
  <si>
    <t>Obando Alemán</t>
  </si>
  <si>
    <t>86614738</t>
  </si>
  <si>
    <t>000596</t>
  </si>
  <si>
    <t>Costado este de la Plaza de Deportes casa de dos plantas color vino con verde agua</t>
  </si>
  <si>
    <t>0602190276</t>
  </si>
  <si>
    <t>Víctor</t>
  </si>
  <si>
    <t xml:space="preserve"> Villalobos Loría</t>
  </si>
  <si>
    <t>26614173</t>
  </si>
  <si>
    <t>000597</t>
  </si>
  <si>
    <t>300 N. de la Plaza de futbol al margen derecho del Río Abangares.</t>
  </si>
  <si>
    <t>0602210720</t>
  </si>
  <si>
    <t>Valverde Barrantes</t>
  </si>
  <si>
    <t>85630980</t>
  </si>
  <si>
    <t>000598</t>
  </si>
  <si>
    <t>300N. de la Plaza de Abangaritos, carretera a Colorado</t>
  </si>
  <si>
    <t>Jonoris</t>
  </si>
  <si>
    <t>Jiménez Hernández</t>
  </si>
  <si>
    <t>88502919</t>
  </si>
  <si>
    <t>0601440895</t>
  </si>
  <si>
    <t>Mireya</t>
  </si>
  <si>
    <t>000599</t>
  </si>
  <si>
    <t>Costado de la Plaza de futbol, casa de madera con un Bazar</t>
  </si>
  <si>
    <t>0601630100</t>
  </si>
  <si>
    <t>Nora</t>
  </si>
  <si>
    <t>Díaz Jiménez</t>
  </si>
  <si>
    <t>26613651</t>
  </si>
  <si>
    <t>000600</t>
  </si>
  <si>
    <t>Costado sur de la plaza de futbol, casa de madera</t>
  </si>
  <si>
    <t>0604000314</t>
  </si>
  <si>
    <t>Villarreal Jiménez</t>
  </si>
  <si>
    <t>84983850</t>
  </si>
  <si>
    <t>000601</t>
  </si>
  <si>
    <t xml:space="preserve"> Costado sur de la Plaza, última casa de madera color verde agua</t>
  </si>
  <si>
    <t>0601480276</t>
  </si>
  <si>
    <t>Danilo</t>
  </si>
  <si>
    <t>Diaz Jiménez</t>
  </si>
  <si>
    <t>86523887</t>
  </si>
  <si>
    <t>000602</t>
  </si>
  <si>
    <t>Costado sur de la plaza  de futbol, última casa de zócalo</t>
  </si>
  <si>
    <t>0603050809</t>
  </si>
  <si>
    <t>83434367</t>
  </si>
  <si>
    <t>000603</t>
  </si>
  <si>
    <t>Aabangaritos</t>
  </si>
  <si>
    <t>Costado sur de la plaza de futbol de Abangaritos</t>
  </si>
  <si>
    <t>0601740118</t>
  </si>
  <si>
    <t>Diaz Jimenez</t>
  </si>
  <si>
    <t>84086139</t>
  </si>
  <si>
    <t>000604</t>
  </si>
  <si>
    <t>Costado sur de la plaza de futbol</t>
  </si>
  <si>
    <t>0600890355</t>
  </si>
  <si>
    <t>Faustina</t>
  </si>
  <si>
    <t>Jiménez Jiménez</t>
  </si>
  <si>
    <t>83674817</t>
  </si>
  <si>
    <t>000605</t>
  </si>
  <si>
    <t xml:space="preserve">150 M sur de la plaza de futbol, casa de madera ultimo, y blanco, entrada a ensenada </t>
  </si>
  <si>
    <t>0602920913</t>
  </si>
  <si>
    <t xml:space="preserve">María </t>
  </si>
  <si>
    <t>Rodriguez Jiménez</t>
  </si>
  <si>
    <t>85397188</t>
  </si>
  <si>
    <t>000606</t>
  </si>
  <si>
    <t>100 M sur de la plaza de futbol, al margen izquierdo del río Abangares, casa de zócalo azul con blanco</t>
  </si>
  <si>
    <t>0600780120</t>
  </si>
  <si>
    <t>Bermudez Bermudez</t>
  </si>
  <si>
    <t>26616132</t>
  </si>
  <si>
    <t>000607</t>
  </si>
  <si>
    <t>150 O. de la plaza de futbol de Abangaritos, izquierda casa de color vino con verde.</t>
  </si>
  <si>
    <t>0600660526</t>
  </si>
  <si>
    <t xml:space="preserve">Toribio Salvador del Carmen </t>
  </si>
  <si>
    <t>Abarca Abarca</t>
  </si>
  <si>
    <t>85435741</t>
  </si>
  <si>
    <t>000608</t>
  </si>
  <si>
    <t>300 E. 100 Sur del cementerio de Abangares casa de madera margen izquierdo  sin pintar</t>
  </si>
  <si>
    <t>0600990644</t>
  </si>
  <si>
    <t xml:space="preserve">Clemente </t>
  </si>
  <si>
    <t>84245588</t>
  </si>
  <si>
    <t>000609</t>
  </si>
  <si>
    <t>300 E. del cementerio de Abangaritos, 100 sur casa de madera color lila, margen izquierdo</t>
  </si>
  <si>
    <t>0604050569</t>
  </si>
  <si>
    <t>Caleb</t>
  </si>
  <si>
    <t>Jimenez Calero</t>
  </si>
  <si>
    <t>88659460</t>
  </si>
  <si>
    <t>000610</t>
  </si>
  <si>
    <t>300 E. 75 Sur del cementerio de Abangaritos, margen izquierdo casa de fibrolit sin pintar</t>
  </si>
  <si>
    <t>0602840123</t>
  </si>
  <si>
    <t>Mixi Day</t>
  </si>
  <si>
    <t>Jiménez Jimenez</t>
  </si>
  <si>
    <t>83806426</t>
  </si>
  <si>
    <t>000611</t>
  </si>
  <si>
    <t>300 E, 100 Sur del cementerio de Abangaritos, casa de madera verde agua</t>
  </si>
  <si>
    <t>0504040078</t>
  </si>
  <si>
    <t>Amed Antonio</t>
  </si>
  <si>
    <t>Romero Vargas</t>
  </si>
  <si>
    <t>50088249</t>
  </si>
  <si>
    <t>000612</t>
  </si>
  <si>
    <t>300 E. 100 Sur del Cementerio de Abangaritos, casa de color verde agua</t>
  </si>
  <si>
    <t>0602920397</t>
  </si>
  <si>
    <t>Abarca Calero</t>
  </si>
  <si>
    <t>84070860</t>
  </si>
  <si>
    <t>000613</t>
  </si>
  <si>
    <t>300 E. del Cementerio de Abangaritos, margen derecho</t>
  </si>
  <si>
    <t>0604230624</t>
  </si>
  <si>
    <t>Génesis</t>
  </si>
  <si>
    <t>84362999</t>
  </si>
  <si>
    <t>000614</t>
  </si>
  <si>
    <t>DEL CEMENTERIO DE ABANGARITOS 300 ESTE, MARGEN DERECHO</t>
  </si>
  <si>
    <t>0601470446</t>
  </si>
  <si>
    <t>LIDIA</t>
  </si>
  <si>
    <t>BADILLA CALERO</t>
  </si>
  <si>
    <t>000615</t>
  </si>
  <si>
    <t>ABANGARITO</t>
  </si>
  <si>
    <t>CONTIGUO AL PUENTE LOS JIMENEZ</t>
  </si>
  <si>
    <t>0601990100</t>
  </si>
  <si>
    <t>ILEANA</t>
  </si>
  <si>
    <t>VALVERDE VALVERDE</t>
  </si>
  <si>
    <t>84074017</t>
  </si>
  <si>
    <t>000616</t>
  </si>
  <si>
    <t>QUEBRADA JIMENEZ</t>
  </si>
  <si>
    <t>DE ABANGARES 300 MTS OESTE CAMINO A MANZANILLO</t>
  </si>
  <si>
    <t>0600951247</t>
  </si>
  <si>
    <t>RAUL</t>
  </si>
  <si>
    <t>CAMPOS VALVERDE</t>
  </si>
  <si>
    <t>26611467</t>
  </si>
  <si>
    <t>000617</t>
  </si>
  <si>
    <t xml:space="preserve">CONTIGUO AL PUENTE DE LOS JIMENEZ </t>
  </si>
  <si>
    <t>0600670334</t>
  </si>
  <si>
    <t>ARNULFO</t>
  </si>
  <si>
    <t>JIMENEZ MENDOZA</t>
  </si>
  <si>
    <t>26613559</t>
  </si>
  <si>
    <t>000618</t>
  </si>
  <si>
    <t>ANTIGUO COLEGIO PUBLICO</t>
  </si>
  <si>
    <t>0501120520</t>
  </si>
  <si>
    <t>88565297</t>
  </si>
  <si>
    <t>000619</t>
  </si>
  <si>
    <t>LA UNION</t>
  </si>
  <si>
    <t>80 MTS OESTE DE LA ESCUELA DE MANZANILLO</t>
  </si>
  <si>
    <t>0603060561</t>
  </si>
  <si>
    <t>HAIDER</t>
  </si>
  <si>
    <t>BARRANTES JIMENEZ</t>
  </si>
  <si>
    <t>84296627</t>
  </si>
  <si>
    <t>000620</t>
  </si>
  <si>
    <t>800 M OESTE DE LA ESCUELA DE MANZANILLO</t>
  </si>
  <si>
    <t>0600480115</t>
  </si>
  <si>
    <t>BARRANTES MENDOZA</t>
  </si>
  <si>
    <t>26613129</t>
  </si>
  <si>
    <t>000621</t>
  </si>
  <si>
    <t>la union</t>
  </si>
  <si>
    <t>800 M OESTE DE LA ESCUELA MANZANILLO, MARGEN DERECHO</t>
  </si>
  <si>
    <t>0503310088</t>
  </si>
  <si>
    <t>DUARTE CASTRO</t>
  </si>
  <si>
    <t>61661175</t>
  </si>
  <si>
    <t>000622</t>
  </si>
  <si>
    <t>75 M AL NORTE PESCADERIA YENDU</t>
  </si>
  <si>
    <t>0602870329</t>
  </si>
  <si>
    <t>PEREZ MEDRANO</t>
  </si>
  <si>
    <t>85553076</t>
  </si>
  <si>
    <t>000623</t>
  </si>
  <si>
    <t>DEL CEMENTERIO DE ABANGARITOS 300 M AL ESTE Y 100 SUR</t>
  </si>
  <si>
    <t>0603570232</t>
  </si>
  <si>
    <t>ROGER</t>
  </si>
  <si>
    <t>VASQUEZ GOMEZ</t>
  </si>
  <si>
    <t>83874342</t>
  </si>
  <si>
    <t>001130</t>
  </si>
  <si>
    <t xml:space="preserve">Abangaritos </t>
  </si>
  <si>
    <t>Costado sur de la plaza de deportes de Abangaritos 50m Sur</t>
  </si>
  <si>
    <t xml:space="preserve">Salvador </t>
  </si>
  <si>
    <t>Abarca</t>
  </si>
  <si>
    <t>001131</t>
  </si>
  <si>
    <t xml:space="preserve">Caserio IMAS </t>
  </si>
  <si>
    <t>300m Sur del Cementerio caserío IMAS</t>
  </si>
  <si>
    <t>0602420891</t>
  </si>
  <si>
    <t xml:space="preserve">Flor Isabel </t>
  </si>
  <si>
    <t>Calero Calero</t>
  </si>
  <si>
    <t>85423644</t>
  </si>
  <si>
    <t>001132</t>
  </si>
  <si>
    <t>Caserio IMAS</t>
  </si>
  <si>
    <t>Abangaritos, frente a caserío IMAS</t>
  </si>
  <si>
    <t>0603670475</t>
  </si>
  <si>
    <t xml:space="preserve">Eunise </t>
  </si>
  <si>
    <t xml:space="preserve">Hernandez Abarca </t>
  </si>
  <si>
    <t>85911357</t>
  </si>
  <si>
    <t>001133</t>
  </si>
  <si>
    <t>Caserio Imas</t>
  </si>
  <si>
    <t>Abangaritos Puntarenas, caserío IMAS</t>
  </si>
  <si>
    <t>0604220683</t>
  </si>
  <si>
    <t xml:space="preserve">Daniela Victoria </t>
  </si>
  <si>
    <t>85877419</t>
  </si>
  <si>
    <t>001134</t>
  </si>
  <si>
    <t xml:space="preserve">Caserio IMAS 300mts sur de la pulpería cáterin al sur </t>
  </si>
  <si>
    <t>0602820945</t>
  </si>
  <si>
    <t xml:space="preserve">Seylin María </t>
  </si>
  <si>
    <t xml:space="preserve">Calero Calero </t>
  </si>
  <si>
    <t>86566021</t>
  </si>
  <si>
    <t>001135</t>
  </si>
  <si>
    <t xml:space="preserve">300m sur pulpería Cáterin </t>
  </si>
  <si>
    <t>0604430114</t>
  </si>
  <si>
    <t xml:space="preserve">Kevin Manuel </t>
  </si>
  <si>
    <t>83246698</t>
  </si>
  <si>
    <t>001136</t>
  </si>
  <si>
    <t xml:space="preserve">100m sur del cementerio de Abangaritos </t>
  </si>
  <si>
    <t>0603220986</t>
  </si>
  <si>
    <t>Lucia</t>
  </si>
  <si>
    <t>85958334</t>
  </si>
  <si>
    <t>001137</t>
  </si>
  <si>
    <t xml:space="preserve">Del caserio del IMAS 300m Suroeste, mano derecha </t>
  </si>
  <si>
    <t>0602570624</t>
  </si>
  <si>
    <t>Juan Gustavo</t>
  </si>
  <si>
    <t>Campos Calero</t>
  </si>
  <si>
    <t>84148205</t>
  </si>
  <si>
    <t>001138</t>
  </si>
  <si>
    <t>Quebrada lo jimenes</t>
  </si>
  <si>
    <t>Del puente de los Jimenez 150m al Oeste</t>
  </si>
  <si>
    <t>0603580767</t>
  </si>
  <si>
    <t xml:space="preserve">Alvin </t>
  </si>
  <si>
    <t>Jimenez Abarca</t>
  </si>
  <si>
    <t>89325871</t>
  </si>
  <si>
    <t>001139</t>
  </si>
  <si>
    <t xml:space="preserve">Quebrada Jimenez </t>
  </si>
  <si>
    <t xml:space="preserve">del puente de los Jiménez 150m hacia el Oeste </t>
  </si>
  <si>
    <t>0501160355</t>
  </si>
  <si>
    <t xml:space="preserve">Arnoldo </t>
  </si>
  <si>
    <t xml:space="preserve">Jimenez Mendoza </t>
  </si>
  <si>
    <t>001140</t>
  </si>
  <si>
    <t>Salón comunal de Manzanillo 800m Noroeste</t>
  </si>
  <si>
    <t>503450707</t>
  </si>
  <si>
    <t xml:space="preserve">Elizabeth </t>
  </si>
  <si>
    <t>Perez Peña</t>
  </si>
  <si>
    <t>85303725</t>
  </si>
  <si>
    <t>001141</t>
  </si>
  <si>
    <t>Union</t>
  </si>
  <si>
    <t>Barrio la Unión pescadería peña</t>
  </si>
  <si>
    <t>0603310609</t>
  </si>
  <si>
    <t xml:space="preserve">Angel Gerardo </t>
  </si>
  <si>
    <t>Sanchez Peña</t>
  </si>
  <si>
    <t>83794540</t>
  </si>
  <si>
    <t>001142</t>
  </si>
  <si>
    <t>De la pulpería Cáterin 75m Sur 50m Este</t>
  </si>
  <si>
    <t>0602340606</t>
  </si>
  <si>
    <t xml:space="preserve">Omar </t>
  </si>
  <si>
    <t xml:space="preserve">Peña Bejarano </t>
  </si>
  <si>
    <t>84623037</t>
  </si>
  <si>
    <t>001143</t>
  </si>
  <si>
    <t xml:space="preserve">Finca Carrizal </t>
  </si>
  <si>
    <t>0502500972</t>
  </si>
  <si>
    <t xml:space="preserve">Elieth </t>
  </si>
  <si>
    <t xml:space="preserve">Barrantes Barrantes </t>
  </si>
  <si>
    <t>89627567</t>
  </si>
  <si>
    <t>001144</t>
  </si>
  <si>
    <t xml:space="preserve">De la pulpería buenos aires 200m al sureste </t>
  </si>
  <si>
    <t>0600330294</t>
  </si>
  <si>
    <t xml:space="preserve">Simona </t>
  </si>
  <si>
    <t>Hernandez Hernandez</t>
  </si>
  <si>
    <t>001145</t>
  </si>
  <si>
    <t xml:space="preserve">Costado Noreste de la plaza de deportes de Abangaritos </t>
  </si>
  <si>
    <t>0601100971</t>
  </si>
  <si>
    <t xml:space="preserve">Victorio </t>
  </si>
  <si>
    <t xml:space="preserve">Rojas Zuñiga </t>
  </si>
  <si>
    <t>84643886</t>
  </si>
  <si>
    <t>001146</t>
  </si>
  <si>
    <t xml:space="preserve">de la central telefónica 100m norte </t>
  </si>
  <si>
    <t>0502640460</t>
  </si>
  <si>
    <t xml:space="preserve">Hania </t>
  </si>
  <si>
    <t>Abarca Vazquez</t>
  </si>
  <si>
    <t>84239717</t>
  </si>
  <si>
    <t>001147</t>
  </si>
  <si>
    <t xml:space="preserve">De la Central Telefónica 200m al Norte </t>
  </si>
  <si>
    <t>0700471128</t>
  </si>
  <si>
    <t>Arturo Jacinto del Socorro</t>
  </si>
  <si>
    <t xml:space="preserve">Zuñiga Zuñiga </t>
  </si>
  <si>
    <t>26614999</t>
  </si>
  <si>
    <t>001148</t>
  </si>
  <si>
    <t xml:space="preserve">De la Central Telefónica 150m al Norte </t>
  </si>
  <si>
    <t>0603040577</t>
  </si>
  <si>
    <t xml:space="preserve">Vargas Arce </t>
  </si>
  <si>
    <t>62609743</t>
  </si>
  <si>
    <t>001149</t>
  </si>
  <si>
    <t xml:space="preserve">Costado Norte de la Iglesia católica de Abangaritos </t>
  </si>
  <si>
    <t>0203420514</t>
  </si>
  <si>
    <t xml:space="preserve">Alex </t>
  </si>
  <si>
    <t xml:space="preserve">Gonzalez Arrieta </t>
  </si>
  <si>
    <t>84234972</t>
  </si>
  <si>
    <t>001150</t>
  </si>
  <si>
    <t xml:space="preserve">Abangarito </t>
  </si>
  <si>
    <t xml:space="preserve">Costado Oeste de la plaza de Deportes </t>
  </si>
  <si>
    <t>0503350231</t>
  </si>
  <si>
    <t xml:space="preserve">Elmer </t>
  </si>
  <si>
    <t>Fernandez Marenco</t>
  </si>
  <si>
    <t>001151</t>
  </si>
  <si>
    <t xml:space="preserve">del puente de Abangaritos 50m norte </t>
  </si>
  <si>
    <t xml:space="preserve">Valverde Barrantes </t>
  </si>
  <si>
    <t>001152</t>
  </si>
  <si>
    <t xml:space="preserve">Anangaritos </t>
  </si>
  <si>
    <t xml:space="preserve">200mts al norte del puente de Abangaritos </t>
  </si>
  <si>
    <t xml:space="preserve">Guerrero Riuz </t>
  </si>
  <si>
    <t>85460879</t>
  </si>
  <si>
    <t>001153</t>
  </si>
  <si>
    <t xml:space="preserve">200 mts al Norte  del puente de abangaritos </t>
  </si>
  <si>
    <t>0601520857</t>
  </si>
  <si>
    <t>Marta Emilia de Jesus</t>
  </si>
  <si>
    <t xml:space="preserve">Garcia Garcia </t>
  </si>
  <si>
    <t>86253187</t>
  </si>
  <si>
    <t>001154</t>
  </si>
  <si>
    <t xml:space="preserve">Frente al salón comunal de Abangaritos </t>
  </si>
  <si>
    <t>0501460856</t>
  </si>
  <si>
    <t xml:space="preserve">Amanda </t>
  </si>
  <si>
    <t xml:space="preserve">Vasquez Vasquez </t>
  </si>
  <si>
    <t>26610691</t>
  </si>
  <si>
    <t>001155</t>
  </si>
  <si>
    <t>Costado Sur de la Plaza de Abangaritos</t>
  </si>
  <si>
    <t>0601260196</t>
  </si>
  <si>
    <t xml:space="preserve">Diaz Jimenez </t>
  </si>
  <si>
    <t>85122893</t>
  </si>
  <si>
    <t>001156</t>
  </si>
  <si>
    <t>Costado atrás de la Escuela Abangarito , costado sur de la plaza de Deportes de Abangarito</t>
  </si>
  <si>
    <t>0602530722</t>
  </si>
  <si>
    <t xml:space="preserve">Marlene </t>
  </si>
  <si>
    <t>Jimenez Jimenez</t>
  </si>
  <si>
    <t>83996318</t>
  </si>
  <si>
    <t>001157</t>
  </si>
  <si>
    <t xml:space="preserve">Costado Sur, contiguo a la plaza de deportes Abangarito Centro </t>
  </si>
  <si>
    <t>0603050772</t>
  </si>
  <si>
    <t xml:space="preserve">Rivera Alemán </t>
  </si>
  <si>
    <t>85308703</t>
  </si>
  <si>
    <t>001158</t>
  </si>
  <si>
    <t xml:space="preserve">Del costado sur de la plaza de Abangaritos 75mts al Sur </t>
  </si>
  <si>
    <t>0603540637</t>
  </si>
  <si>
    <t xml:space="preserve">Eylin </t>
  </si>
  <si>
    <t xml:space="preserve">Jimenez Carrillo </t>
  </si>
  <si>
    <t>85124651</t>
  </si>
  <si>
    <t>001159</t>
  </si>
  <si>
    <t xml:space="preserve">Frente al portón de la Hacienda La Ensenada </t>
  </si>
  <si>
    <t>0602520807</t>
  </si>
  <si>
    <t xml:space="preserve">Oconitrillo </t>
  </si>
  <si>
    <t>85205729</t>
  </si>
  <si>
    <t>000182</t>
  </si>
  <si>
    <t xml:space="preserve">SAN LUIS FINCA LA BELLA </t>
  </si>
  <si>
    <t>300 MTS NORTE Y 300 OESTE DE LA ESCUELA ALTOS DE SAN LUIS</t>
  </si>
  <si>
    <t>0401920980</t>
  </si>
  <si>
    <t>HUGO VIRGILIO</t>
  </si>
  <si>
    <t>PEREZ PICADO</t>
  </si>
  <si>
    <t>84899702</t>
  </si>
  <si>
    <t>000304</t>
  </si>
  <si>
    <t xml:space="preserve">SAN LUIS </t>
  </si>
  <si>
    <t>0503740591</t>
  </si>
  <si>
    <t>PAULO</t>
  </si>
  <si>
    <t>CRUZ LEITON</t>
  </si>
  <si>
    <t>84951012</t>
  </si>
  <si>
    <t>000359</t>
  </si>
  <si>
    <t>0603400013</t>
  </si>
  <si>
    <t>RAUL ANTONIO</t>
  </si>
  <si>
    <t>LEITON  ARAYA</t>
  </si>
  <si>
    <t>83130430</t>
  </si>
  <si>
    <t>000651</t>
  </si>
  <si>
    <t>BELLAVISTA</t>
  </si>
  <si>
    <t xml:space="preserve">250 NORTE Y 150 OESTE DEL CEMENTERIO DE SANTA ELENA, CASA DE MADERA, AL MARGEN IZQUIERDO COLOR VERDE </t>
  </si>
  <si>
    <t>0202300760</t>
  </si>
  <si>
    <t>ROJAS SEGURA</t>
  </si>
  <si>
    <t>61704152</t>
  </si>
  <si>
    <t>000652</t>
  </si>
  <si>
    <t>SANTA ELENA CENTRO</t>
  </si>
  <si>
    <t>TIENDA DE ARTESANIA WATERMELON, 150 OESTE DE SUPER COMPRA CALLE AL CEMENTERIO</t>
  </si>
  <si>
    <t>0104710500</t>
  </si>
  <si>
    <t>GRACIANO</t>
  </si>
  <si>
    <t>BALLESTERO CAMPOS</t>
  </si>
  <si>
    <t>85573810</t>
  </si>
  <si>
    <t>000653</t>
  </si>
  <si>
    <t>HUERTAS</t>
  </si>
  <si>
    <t>250 NORTE DE LA PLAZA DE DEPORTES DE SANTA ELENA CAMINO A LAS JUNTAS DE ABANGARES, AL MARGEN IZQUIERDO</t>
  </si>
  <si>
    <t>0502810575</t>
  </si>
  <si>
    <t>ELIZONDO GONZALEZ</t>
  </si>
  <si>
    <t>62873400</t>
  </si>
  <si>
    <t>000818</t>
  </si>
  <si>
    <t xml:space="preserve">DE LA PLAZA DE DEPORTES SAN LUIS 1.5 KM NORTE </t>
  </si>
  <si>
    <t>5015101400</t>
  </si>
  <si>
    <t>PEREZ CAMBRONERO</t>
  </si>
  <si>
    <t>84971100</t>
  </si>
  <si>
    <t>001068</t>
  </si>
  <si>
    <t>Valle Bonito</t>
  </si>
  <si>
    <t>500 mts oeste y 150 mts norte del Cementerio de Santa Elena</t>
  </si>
  <si>
    <t>0204220580</t>
  </si>
  <si>
    <t>Araya Sandoval</t>
  </si>
  <si>
    <t>26456332</t>
  </si>
  <si>
    <t>001069</t>
  </si>
  <si>
    <t>San Luis, El Cayado</t>
  </si>
  <si>
    <t>1.2 km al sur y 575 mts este del Cementerio de San Luis</t>
  </si>
  <si>
    <t>0600890554</t>
  </si>
  <si>
    <t>Eli</t>
  </si>
  <si>
    <t>Murillo Chacón</t>
  </si>
  <si>
    <t>85820205</t>
  </si>
  <si>
    <t>001070</t>
  </si>
  <si>
    <t>500 mts antes de la Reserva Monteverde</t>
  </si>
  <si>
    <t>184000473013</t>
  </si>
  <si>
    <t>Mills</t>
  </si>
  <si>
    <t>Tardy</t>
  </si>
  <si>
    <t>86627471</t>
  </si>
  <si>
    <t>001071</t>
  </si>
  <si>
    <t>300 mts noroeste Escuela Cerro Plano</t>
  </si>
  <si>
    <t>6019909810</t>
  </si>
  <si>
    <t>Obando Arguedas</t>
  </si>
  <si>
    <t>84366391</t>
  </si>
  <si>
    <t>001072</t>
  </si>
  <si>
    <t>Detrás casa Arte 200 mts este Escuela Cerro Plano</t>
  </si>
  <si>
    <t>6068706100</t>
  </si>
  <si>
    <t>Flor</t>
  </si>
  <si>
    <t>Solís Méndez</t>
  </si>
  <si>
    <t>26455132</t>
  </si>
  <si>
    <t>001073</t>
  </si>
  <si>
    <t>600 mts norte y 400 mts Oeste Escuela Alto San Luis</t>
  </si>
  <si>
    <t>184001473121</t>
  </si>
  <si>
    <t xml:space="preserve">Shannon </t>
  </si>
  <si>
    <t>Smith</t>
  </si>
  <si>
    <t>85654664</t>
  </si>
  <si>
    <t>001074</t>
  </si>
  <si>
    <t>El INVU</t>
  </si>
  <si>
    <t>500 mts noroeste del Cementerio de San Luis Barrio EL INVU</t>
  </si>
  <si>
    <t>2051508600</t>
  </si>
  <si>
    <t>Eyllen Gerardo</t>
  </si>
  <si>
    <t>Fuentes Ramírez</t>
  </si>
  <si>
    <t>83454457</t>
  </si>
  <si>
    <t>001075</t>
  </si>
  <si>
    <t>San Luis Bajo</t>
  </si>
  <si>
    <t>2.5 km Cruce San Luis/La Guaria</t>
  </si>
  <si>
    <t>6013000675</t>
  </si>
  <si>
    <t xml:space="preserve">Edgar </t>
  </si>
  <si>
    <t>Villalobos Rojas</t>
  </si>
  <si>
    <t>83552934</t>
  </si>
  <si>
    <t>001076</t>
  </si>
  <si>
    <t>Gasolinera de Monte Verde 300 mts Oeste</t>
  </si>
  <si>
    <t>6016004140</t>
  </si>
  <si>
    <t>Méndez Rojas</t>
  </si>
  <si>
    <t>26456962</t>
  </si>
  <si>
    <t>001077</t>
  </si>
  <si>
    <t>200 MTS NORTE ESCUELA CERRO PLANO</t>
  </si>
  <si>
    <t>0104950196</t>
  </si>
  <si>
    <t xml:space="preserve">DORA </t>
  </si>
  <si>
    <t>PORTUGUEZ ALVARADO</t>
  </si>
  <si>
    <t>86081085</t>
  </si>
  <si>
    <t>001078</t>
  </si>
  <si>
    <t>200 mts Norte Escuela Cerro Plano</t>
  </si>
  <si>
    <t>001079</t>
  </si>
  <si>
    <t>200 mts Sur de la Escuela Ventista</t>
  </si>
  <si>
    <t>0601011067</t>
  </si>
  <si>
    <t>Brigida del carmen</t>
  </si>
  <si>
    <t>Jiménez Cambronero</t>
  </si>
  <si>
    <t>84038198</t>
  </si>
  <si>
    <t>001080</t>
  </si>
  <si>
    <t>200 mts sur de la Escuela Adventista</t>
  </si>
  <si>
    <t>0105060124</t>
  </si>
  <si>
    <t>Jose Alvaro</t>
  </si>
  <si>
    <t>Lobo Chaves</t>
  </si>
  <si>
    <t>86976448</t>
  </si>
  <si>
    <t>001081</t>
  </si>
  <si>
    <t>200 mts sur oeste Escuela Rafael Arguedas</t>
  </si>
  <si>
    <t>0204370259</t>
  </si>
  <si>
    <t>Salazar Alfaro</t>
  </si>
  <si>
    <t>88901339</t>
  </si>
  <si>
    <t>001082</t>
  </si>
  <si>
    <t>Frente a la entrada principal del Banco de Costa Rica</t>
  </si>
  <si>
    <t>0900670788</t>
  </si>
  <si>
    <t xml:space="preserve">Sandra </t>
  </si>
  <si>
    <t>Monge Castro</t>
  </si>
  <si>
    <t>83391108</t>
  </si>
  <si>
    <t>001083</t>
  </si>
  <si>
    <t>Bajo Cementerio</t>
  </si>
  <si>
    <t>Valle Bonito 400 oeste y 125 norte cementerio</t>
  </si>
  <si>
    <t>0110820656</t>
  </si>
  <si>
    <t>Picado Araya</t>
  </si>
  <si>
    <t>87665025</t>
  </si>
  <si>
    <t>001084</t>
  </si>
  <si>
    <t>La Cascada</t>
  </si>
  <si>
    <t>200 mts este Bomba Cerro Plano</t>
  </si>
  <si>
    <t>0202960208</t>
  </si>
  <si>
    <t xml:space="preserve">Esau </t>
  </si>
  <si>
    <t>Oseas Alvarez</t>
  </si>
  <si>
    <t>50105560</t>
  </si>
  <si>
    <t>001085</t>
  </si>
  <si>
    <t>Santa Elena Centro</t>
  </si>
  <si>
    <t>150 mts oeste de Super Compro</t>
  </si>
  <si>
    <t>0600800887</t>
  </si>
  <si>
    <t>Badilla Jiménez</t>
  </si>
  <si>
    <t>87061161</t>
  </si>
  <si>
    <t>001086</t>
  </si>
  <si>
    <t>150 oeste de Súper Compro</t>
  </si>
  <si>
    <t>0602050821</t>
  </si>
  <si>
    <t>Badilla Navarro</t>
  </si>
  <si>
    <t>26457240</t>
  </si>
  <si>
    <t>001087</t>
  </si>
  <si>
    <t>150 mts oeste de Súper Compro</t>
  </si>
  <si>
    <t>0603800842</t>
  </si>
  <si>
    <t>Ana Guiselle</t>
  </si>
  <si>
    <t>Cordero Sequeira</t>
  </si>
  <si>
    <t>87701627</t>
  </si>
  <si>
    <t>001088</t>
  </si>
  <si>
    <t>Bajo Los Rodríguez</t>
  </si>
  <si>
    <t>Después del Puente los Rodríguez casa a mano derecha</t>
  </si>
  <si>
    <t>0601250006</t>
  </si>
  <si>
    <t>Vargas Vargas</t>
  </si>
  <si>
    <t>83215486</t>
  </si>
  <si>
    <t>001089</t>
  </si>
  <si>
    <t>300 mts al Sur Oeste del Cementerio</t>
  </si>
  <si>
    <t>0501430694</t>
  </si>
  <si>
    <t>Victor Manuel</t>
  </si>
  <si>
    <t>Marín Murillo</t>
  </si>
  <si>
    <t>26456718</t>
  </si>
  <si>
    <t>001090</t>
  </si>
  <si>
    <t>Huertas</t>
  </si>
  <si>
    <t>200 noroeste de la Plaza de deportes Santa Elena</t>
  </si>
  <si>
    <t>0112960371</t>
  </si>
  <si>
    <t xml:space="preserve">Royner </t>
  </si>
  <si>
    <t>Herrera Herrera</t>
  </si>
  <si>
    <t>88953502</t>
  </si>
  <si>
    <t>001091</t>
  </si>
  <si>
    <t>Cerro Plano-Cascada</t>
  </si>
  <si>
    <t>Gasolinera Monte Verde 300 mts Oeste</t>
  </si>
  <si>
    <t>0103410656</t>
  </si>
  <si>
    <t>Segura Monge</t>
  </si>
  <si>
    <t>26455546</t>
  </si>
  <si>
    <t>001092</t>
  </si>
  <si>
    <t>CERRO PLANO-LA CASCADA</t>
  </si>
  <si>
    <t>300 MTS OESTE DE LA GASOLINERA MONTE VERDE</t>
  </si>
  <si>
    <t>0206190764</t>
  </si>
  <si>
    <t>88820144</t>
  </si>
  <si>
    <t>001093</t>
  </si>
  <si>
    <t>Cerro Plano-La Cascada</t>
  </si>
  <si>
    <t>300 mts Oeste de la Gasolinera Monte Verde</t>
  </si>
  <si>
    <t>5019803060</t>
  </si>
  <si>
    <t>Oldemar</t>
  </si>
  <si>
    <t>Rojas Chavez</t>
  </si>
  <si>
    <t>26456845</t>
  </si>
  <si>
    <t>000970</t>
  </si>
  <si>
    <t>CHAPERNAL</t>
  </si>
  <si>
    <t>1KM ESTE ESCUELA CHAPERNAL</t>
  </si>
  <si>
    <t>0800750104</t>
  </si>
  <si>
    <t>MARTINEZ PALMA</t>
  </si>
  <si>
    <t>86529094</t>
  </si>
  <si>
    <t>0603820096</t>
  </si>
  <si>
    <t>ANDRES</t>
  </si>
  <si>
    <t>MARTINEZ VARELA</t>
  </si>
  <si>
    <t>000971</t>
  </si>
  <si>
    <t>1 KM ESTE ESCUELA CHAPERNAL</t>
  </si>
  <si>
    <t>155810049103</t>
  </si>
  <si>
    <t>BONILLA PEÑA</t>
  </si>
  <si>
    <t>85829729</t>
  </si>
  <si>
    <t>000972</t>
  </si>
  <si>
    <t>900 ESTE ESCUELA DE CHAPERNAL</t>
  </si>
  <si>
    <t>0603880159</t>
  </si>
  <si>
    <t>CINTHYA</t>
  </si>
  <si>
    <t>VILLALOBOS ZUÑIGA</t>
  </si>
  <si>
    <t>86041823</t>
  </si>
  <si>
    <t>000973</t>
  </si>
  <si>
    <t>800 M ESTE ESCUELA CHAPERNAL</t>
  </si>
  <si>
    <t>0601880952</t>
  </si>
  <si>
    <t xml:space="preserve">FLORIBETH </t>
  </si>
  <si>
    <t>MIRANDA JIMENEZ</t>
  </si>
  <si>
    <t>84044759</t>
  </si>
  <si>
    <t>0000974</t>
  </si>
  <si>
    <t>0208690584</t>
  </si>
  <si>
    <t>ALBA LUZ</t>
  </si>
  <si>
    <t>LOPEZ MENDEZ</t>
  </si>
  <si>
    <t>85609513</t>
  </si>
  <si>
    <t>000975</t>
  </si>
  <si>
    <t>750 M ESTE ESCUELA CHAPERNAL</t>
  </si>
  <si>
    <t>155816144716</t>
  </si>
  <si>
    <t>ANIBAL</t>
  </si>
  <si>
    <t>JIMENEZ CORTES</t>
  </si>
  <si>
    <t>86071272</t>
  </si>
  <si>
    <t>000976</t>
  </si>
  <si>
    <t>725 MESTE ESCUELA CHAPERNAL</t>
  </si>
  <si>
    <t xml:space="preserve">ANGELA </t>
  </si>
  <si>
    <t>LAZO VAZQUEZ</t>
  </si>
  <si>
    <t>85245607</t>
  </si>
  <si>
    <t>000977</t>
  </si>
  <si>
    <t>700 M ESTE ESCUELA DE CHAPERNAL</t>
  </si>
  <si>
    <t>15580003722</t>
  </si>
  <si>
    <t>PALACIOS SOSA</t>
  </si>
  <si>
    <t>84040783</t>
  </si>
  <si>
    <t>000978</t>
  </si>
  <si>
    <t>155816613206</t>
  </si>
  <si>
    <t>JACKSON</t>
  </si>
  <si>
    <t>PALACIOS JIMENEZ</t>
  </si>
  <si>
    <t>50009549</t>
  </si>
  <si>
    <t>000979</t>
  </si>
  <si>
    <t>600 M ESTE DE LA ESCUELA DE CHAPERNAL</t>
  </si>
  <si>
    <t>155813034419</t>
  </si>
  <si>
    <t xml:space="preserve">ELIODORO </t>
  </si>
  <si>
    <t>RAMOS CARRILLO</t>
  </si>
  <si>
    <t>86106902</t>
  </si>
  <si>
    <t>000980</t>
  </si>
  <si>
    <t>600 M ESTE ESCUELA CHAPERNAL</t>
  </si>
  <si>
    <t>0600950847</t>
  </si>
  <si>
    <t>CALDERON</t>
  </si>
  <si>
    <t>88222871</t>
  </si>
  <si>
    <t>000981</t>
  </si>
  <si>
    <t>600M ESTE ESCUELA DE CHAPERNAL</t>
  </si>
  <si>
    <t>0604360675</t>
  </si>
  <si>
    <t>CALDERON MORALES</t>
  </si>
  <si>
    <t>87061725</t>
  </si>
  <si>
    <t>000982</t>
  </si>
  <si>
    <t>BELLO ROMERO</t>
  </si>
  <si>
    <t>84287796</t>
  </si>
  <si>
    <t>000983</t>
  </si>
  <si>
    <t>600 M ESTE ESCUELA DE CHAPERNAL</t>
  </si>
  <si>
    <t>155810784513</t>
  </si>
  <si>
    <t>60950692</t>
  </si>
  <si>
    <t>000984</t>
  </si>
  <si>
    <t>0205410507</t>
  </si>
  <si>
    <t>MARLENY</t>
  </si>
  <si>
    <t>RAMOS AGUIRRE</t>
  </si>
  <si>
    <t>84624722</t>
  </si>
  <si>
    <t>000985</t>
  </si>
  <si>
    <t>VILLA VIEJA</t>
  </si>
  <si>
    <t>0603080094</t>
  </si>
  <si>
    <t>ENRIQUE ARMANDO</t>
  </si>
  <si>
    <t>MIRANDA AGUIRRE</t>
  </si>
  <si>
    <t>61066480</t>
  </si>
  <si>
    <t>000986</t>
  </si>
  <si>
    <t>VILLA VIEJA, CHAPERNAL, CENTRO DE POBLACIÓN</t>
  </si>
  <si>
    <t>0601530961</t>
  </si>
  <si>
    <t>61136411</t>
  </si>
  <si>
    <t>000987</t>
  </si>
  <si>
    <t>155806030629</t>
  </si>
  <si>
    <t>JIMENEZ CUBILLO</t>
  </si>
  <si>
    <t>84686631</t>
  </si>
  <si>
    <t>000988</t>
  </si>
  <si>
    <t>VILLA VIELA</t>
  </si>
  <si>
    <t>155809709430</t>
  </si>
  <si>
    <t>JIMENEZ PALACIOS</t>
  </si>
  <si>
    <t>87528892</t>
  </si>
  <si>
    <t>000989</t>
  </si>
  <si>
    <t>VILLA VIEJA, CENTRO DE POBLACIÓN</t>
  </si>
  <si>
    <t>0600510386</t>
  </si>
  <si>
    <t>JOE RAFAEL</t>
  </si>
  <si>
    <t>VARELA ALVARADO</t>
  </si>
  <si>
    <t>96529094</t>
  </si>
  <si>
    <t>000990</t>
  </si>
  <si>
    <t>VILLA VIEJA, CHAPARRAL, CENTRO DE POBLACIÓN</t>
  </si>
  <si>
    <t>155805846726</t>
  </si>
  <si>
    <t>DOUGLAS ANTONIO</t>
  </si>
  <si>
    <t>88237914</t>
  </si>
  <si>
    <t>000991</t>
  </si>
  <si>
    <t>0700480639</t>
  </si>
  <si>
    <t>NICANOR</t>
  </si>
  <si>
    <t>MENDOZA MORALES</t>
  </si>
  <si>
    <t>84364662</t>
  </si>
  <si>
    <t>000992</t>
  </si>
  <si>
    <t>0603140896</t>
  </si>
  <si>
    <t>HITLER RODOLFO</t>
  </si>
  <si>
    <t>BOGARIN VILLALOBOS</t>
  </si>
  <si>
    <t>63380750</t>
  </si>
  <si>
    <t>000993</t>
  </si>
  <si>
    <t>VILLA VIEJA CHAPERNAL CENTRO DE POBLACIÓN</t>
  </si>
  <si>
    <t>155807992425</t>
  </si>
  <si>
    <t>89790011</t>
  </si>
  <si>
    <t>000994</t>
  </si>
  <si>
    <t>0604530233</t>
  </si>
  <si>
    <t>JIMENEZ BARQUERO</t>
  </si>
  <si>
    <t>87280216</t>
  </si>
  <si>
    <t>000995</t>
  </si>
  <si>
    <t>VILLA VIEJA, CHAPERNAL, CENTRO DE POBLACION</t>
  </si>
  <si>
    <t>0603160857</t>
  </si>
  <si>
    <t>GONZALEZ QUIROS</t>
  </si>
  <si>
    <t>87088215</t>
  </si>
  <si>
    <t>000996</t>
  </si>
  <si>
    <t>0602350898</t>
  </si>
  <si>
    <t>ANALIA DE LOS ANGELES</t>
  </si>
  <si>
    <t>VARELA QUESADA</t>
  </si>
  <si>
    <t>60325473</t>
  </si>
  <si>
    <t>000997</t>
  </si>
  <si>
    <t>NIC-CRI-02-26891116</t>
  </si>
  <si>
    <t>CARRANZA RUIZ</t>
  </si>
  <si>
    <t>84899922</t>
  </si>
  <si>
    <t>000998</t>
  </si>
  <si>
    <t>01007790512</t>
  </si>
  <si>
    <t>FREDDY DE JESUS</t>
  </si>
  <si>
    <t>RUIZ</t>
  </si>
  <si>
    <t>89644924</t>
  </si>
  <si>
    <t>000999</t>
  </si>
  <si>
    <t>NIC-CRI-01-169351115</t>
  </si>
  <si>
    <t>DUMAS CHINCHILLA</t>
  </si>
  <si>
    <t>84857857</t>
  </si>
  <si>
    <t>001000</t>
  </si>
  <si>
    <t>155806868735</t>
  </si>
  <si>
    <t>BARAHONA GONZALEZ</t>
  </si>
  <si>
    <t>86926903</t>
  </si>
  <si>
    <t>001001</t>
  </si>
  <si>
    <t>155808171614</t>
  </si>
  <si>
    <t>EDIE ANTONIO</t>
  </si>
  <si>
    <t>JIMENEZ JIRON</t>
  </si>
  <si>
    <t>85521691</t>
  </si>
  <si>
    <t>1002</t>
  </si>
  <si>
    <t>0900160216</t>
  </si>
  <si>
    <t>MIRANDA ALFARO</t>
  </si>
  <si>
    <t>88556707</t>
  </si>
  <si>
    <t>001003</t>
  </si>
  <si>
    <t>50 METROS ESTE DEL BAR LA COPA ROTA</t>
  </si>
  <si>
    <t>155803958308</t>
  </si>
  <si>
    <t>REINA ISABEL</t>
  </si>
  <si>
    <t>GUTIERREZ TOLEDO</t>
  </si>
  <si>
    <t>83145510</t>
  </si>
  <si>
    <t>001004</t>
  </si>
  <si>
    <t>50 METROS OESTE ANTIGUO BAR LA COPA ROTA</t>
  </si>
  <si>
    <t>155816142607</t>
  </si>
  <si>
    <t>NELSON ANTONIO</t>
  </si>
  <si>
    <t>DOMINGUEZ JIMENEZ</t>
  </si>
  <si>
    <t>001005</t>
  </si>
  <si>
    <t>1 KM AL ESTE DE LA ESCUELA DE CHAPERNAL</t>
  </si>
  <si>
    <t>0600860356</t>
  </si>
  <si>
    <t>JULIO AQUILINO</t>
  </si>
  <si>
    <t>VARELA VARELA</t>
  </si>
  <si>
    <t>001006</t>
  </si>
  <si>
    <t>DARIO</t>
  </si>
  <si>
    <t>ULLOA CASTRO</t>
  </si>
  <si>
    <t>62051065</t>
  </si>
  <si>
    <t>001007</t>
  </si>
  <si>
    <t>100 METROS OESTE DEL BAR LA COPA ROTA</t>
  </si>
  <si>
    <t>0603380428</t>
  </si>
  <si>
    <t>84012822</t>
  </si>
  <si>
    <t>001008</t>
  </si>
  <si>
    <t>C01459419</t>
  </si>
  <si>
    <t>BOJORGE GONZALEZ</t>
  </si>
  <si>
    <t>87482724</t>
  </si>
  <si>
    <t>001009</t>
  </si>
  <si>
    <t>DIAGONAL A LA CANCHA MULTIUSO</t>
  </si>
  <si>
    <t>0601250403</t>
  </si>
  <si>
    <t>84901308</t>
  </si>
  <si>
    <t>001010</t>
  </si>
  <si>
    <t>50 METROS OESTE DEL ANTIGUO BAR LA COPA ROTA</t>
  </si>
  <si>
    <t>155818407623</t>
  </si>
  <si>
    <t>SALVADOR JIMENEZ</t>
  </si>
  <si>
    <t>62683516</t>
  </si>
  <si>
    <t>001011</t>
  </si>
  <si>
    <t>0107640827</t>
  </si>
  <si>
    <t>DOMINGO JAVIER</t>
  </si>
  <si>
    <t>50051021</t>
  </si>
  <si>
    <t>1012</t>
  </si>
  <si>
    <t>Chapernal</t>
  </si>
  <si>
    <t>1 km este Escuela Chapernal</t>
  </si>
  <si>
    <t>Lumbi</t>
  </si>
  <si>
    <t>88472249</t>
  </si>
  <si>
    <t>1013</t>
  </si>
  <si>
    <t>Hda Chapernal, Villa Vieja. 75m Norte del antiguo bar La Copa Rota</t>
  </si>
  <si>
    <t>155813163825</t>
  </si>
  <si>
    <t>Francisco Jose</t>
  </si>
  <si>
    <t>Hernández Aguirre</t>
  </si>
  <si>
    <t>88377672</t>
  </si>
  <si>
    <t>1014</t>
  </si>
  <si>
    <t>400m Este Escuela Chapernal, 3a casa</t>
  </si>
  <si>
    <t>0603220839</t>
  </si>
  <si>
    <t xml:space="preserve">Eduardo </t>
  </si>
  <si>
    <t>Aguilar Aguirre</t>
  </si>
  <si>
    <t>86605418</t>
  </si>
  <si>
    <t>1015</t>
  </si>
  <si>
    <t>100m norte Antiguo Bar La Copa Rota</t>
  </si>
  <si>
    <t>155806962806</t>
  </si>
  <si>
    <t>Alejandro Alberto</t>
  </si>
  <si>
    <t>Martínez Palma</t>
  </si>
  <si>
    <t>86436526</t>
  </si>
  <si>
    <t>1016</t>
  </si>
  <si>
    <t>125m norte antiguo Bar La Copa Rota</t>
  </si>
  <si>
    <t>González Martínez</t>
  </si>
  <si>
    <t>84066933</t>
  </si>
  <si>
    <t>1017</t>
  </si>
  <si>
    <t>Copntiguo al antiguo Bar La Copa Rota</t>
  </si>
  <si>
    <t>155800611125</t>
  </si>
  <si>
    <t>Velma</t>
  </si>
  <si>
    <t>García Quintanilla</t>
  </si>
  <si>
    <t>1018</t>
  </si>
  <si>
    <t>50 m este de la Escuela Pitahaya</t>
  </si>
  <si>
    <t>0602920497</t>
  </si>
  <si>
    <t>64318999</t>
  </si>
  <si>
    <t>1019</t>
  </si>
  <si>
    <t>La Torre</t>
  </si>
  <si>
    <t>75 m Ecubatica camino a Pitahaya</t>
  </si>
  <si>
    <t>0602280641</t>
  </si>
  <si>
    <t>Castro Zamora</t>
  </si>
  <si>
    <t>87883363</t>
  </si>
  <si>
    <t>1020</t>
  </si>
  <si>
    <t>Costado sur de la delegación policial</t>
  </si>
  <si>
    <t>0603420374</t>
  </si>
  <si>
    <t>Silvia Elena</t>
  </si>
  <si>
    <t>Vallejos Alvarado</t>
  </si>
  <si>
    <t>86326147</t>
  </si>
  <si>
    <t>1021</t>
  </si>
  <si>
    <t>Costado Norte Iglesia Católica</t>
  </si>
  <si>
    <t>0601030640</t>
  </si>
  <si>
    <t>Flori Luz</t>
  </si>
  <si>
    <t>Piña Piña</t>
  </si>
  <si>
    <t>85044037</t>
  </si>
  <si>
    <t>1022</t>
  </si>
  <si>
    <t>75 m norte de la Iglesia Católica</t>
  </si>
  <si>
    <t>0600490644</t>
  </si>
  <si>
    <t>María del Socorro</t>
  </si>
  <si>
    <t>Ruiz Ruiz</t>
  </si>
  <si>
    <t>84118366</t>
  </si>
  <si>
    <t>1023</t>
  </si>
  <si>
    <t>100 m sur y 50 m oeste de la iglesia Católica</t>
  </si>
  <si>
    <t>0600540125</t>
  </si>
  <si>
    <t>Dionisia</t>
  </si>
  <si>
    <t>Pérez Pérez</t>
  </si>
  <si>
    <t>87588116</t>
  </si>
  <si>
    <t>1024</t>
  </si>
  <si>
    <t>100 este y 50 norte escuela de Pitahaya</t>
  </si>
  <si>
    <t>0601570182</t>
  </si>
  <si>
    <t>Pérez Zamora</t>
  </si>
  <si>
    <t>86495604</t>
  </si>
  <si>
    <t>1025</t>
  </si>
  <si>
    <t>50 E Escuela Pitahaya</t>
  </si>
  <si>
    <t>0601550379</t>
  </si>
  <si>
    <t>Eduvina</t>
  </si>
  <si>
    <t>70887413</t>
  </si>
  <si>
    <t>1026</t>
  </si>
  <si>
    <t>50 este de la escuela Pitahaya</t>
  </si>
  <si>
    <t>0603690465</t>
  </si>
  <si>
    <t>Karol</t>
  </si>
  <si>
    <t>Trejos Gómez</t>
  </si>
  <si>
    <t>1027</t>
  </si>
  <si>
    <t>25 m este y 10 m sur de la escuela de Pitahaya</t>
  </si>
  <si>
    <t>0600570194</t>
  </si>
  <si>
    <t>Dorotea</t>
  </si>
  <si>
    <t>Gómez Chavarría</t>
  </si>
  <si>
    <t>86088664</t>
  </si>
  <si>
    <t>1028</t>
  </si>
  <si>
    <t>Contiguo a la delegación de la policía.</t>
  </si>
  <si>
    <t>0601540193</t>
  </si>
  <si>
    <t>Alvarado Henriquez</t>
  </si>
  <si>
    <t>26611193</t>
  </si>
  <si>
    <t>1029</t>
  </si>
  <si>
    <t>Frente a la Escuela de Pitahaya</t>
  </si>
  <si>
    <t>0601150403</t>
  </si>
  <si>
    <t>Hayde</t>
  </si>
  <si>
    <t>Sánchez Espinoza</t>
  </si>
  <si>
    <t>1030</t>
  </si>
  <si>
    <t>25 m este de la Escuela de Pitahaya</t>
  </si>
  <si>
    <t>0600830652</t>
  </si>
  <si>
    <t>Brenes Ruiz</t>
  </si>
  <si>
    <t>85037652</t>
  </si>
  <si>
    <t>1031</t>
  </si>
  <si>
    <t>100m este de la Escuela de Pitahaya</t>
  </si>
  <si>
    <t>0601550627</t>
  </si>
  <si>
    <t xml:space="preserve">Evangelista </t>
  </si>
  <si>
    <t>Trejos Calero</t>
  </si>
  <si>
    <t>89119633</t>
  </si>
  <si>
    <t>1032</t>
  </si>
  <si>
    <t>25 m este de la Iglesia Católica</t>
  </si>
  <si>
    <t>0603320802</t>
  </si>
  <si>
    <t>Trejos Pérez</t>
  </si>
  <si>
    <t>60632822</t>
  </si>
  <si>
    <t>1033</t>
  </si>
  <si>
    <t>100m este y 75 norte de la escuela de Pitahaya</t>
  </si>
  <si>
    <t>0602340458</t>
  </si>
  <si>
    <t>Nestor</t>
  </si>
  <si>
    <t>Sánchez Montana</t>
  </si>
  <si>
    <t>85081616</t>
  </si>
  <si>
    <t>1034</t>
  </si>
  <si>
    <t>25 m este de la Policía</t>
  </si>
  <si>
    <t>0303330031</t>
  </si>
  <si>
    <t>1035</t>
  </si>
  <si>
    <t>0601170134</t>
  </si>
  <si>
    <t>Trejos Vega</t>
  </si>
  <si>
    <t>61921113</t>
  </si>
  <si>
    <t>1036</t>
  </si>
  <si>
    <t>0603760001</t>
  </si>
  <si>
    <t>Jocksan</t>
  </si>
  <si>
    <t>1037</t>
  </si>
  <si>
    <t>Detrás de la antigua Guardia Rural</t>
  </si>
  <si>
    <t>0500810476</t>
  </si>
  <si>
    <t>María Estebiana</t>
  </si>
  <si>
    <t>Dominguez Dominguez</t>
  </si>
  <si>
    <t>62097436</t>
  </si>
  <si>
    <t>1038</t>
  </si>
  <si>
    <t>0602590337</t>
  </si>
  <si>
    <t>Obando Salazar</t>
  </si>
  <si>
    <t>62341341</t>
  </si>
  <si>
    <t>1039</t>
  </si>
  <si>
    <t>Frente a la escuela de Pitahaya</t>
  </si>
  <si>
    <t>0600820316</t>
  </si>
  <si>
    <t>Abraham</t>
  </si>
  <si>
    <t>Salazar Gutiérrez</t>
  </si>
  <si>
    <t>83589778</t>
  </si>
  <si>
    <t>1040</t>
  </si>
  <si>
    <t>7m sur de la escuela</t>
  </si>
  <si>
    <t>0601280100</t>
  </si>
  <si>
    <t>Elpidio</t>
  </si>
  <si>
    <t>Sánchez Alvarez</t>
  </si>
  <si>
    <t>88311368</t>
  </si>
  <si>
    <t>1041</t>
  </si>
  <si>
    <t>Frente de la escuela Pitahaya</t>
  </si>
  <si>
    <t>0600990794</t>
  </si>
  <si>
    <t>Espinoza Rosales</t>
  </si>
  <si>
    <t>88651183</t>
  </si>
  <si>
    <t>1042</t>
  </si>
  <si>
    <t>Costado este de la escuela</t>
  </si>
  <si>
    <t>0601340205</t>
  </si>
  <si>
    <t>84433797</t>
  </si>
  <si>
    <t>1043</t>
  </si>
  <si>
    <t>costado este de la plaza de deportes</t>
  </si>
  <si>
    <t>0600530514</t>
  </si>
  <si>
    <t>Hilario</t>
  </si>
  <si>
    <t>Vega Lizano</t>
  </si>
  <si>
    <t>83041950</t>
  </si>
  <si>
    <t>1044</t>
  </si>
  <si>
    <t>Costado este de la plaza de deportes de Pitahaya</t>
  </si>
  <si>
    <t>0203490505</t>
  </si>
  <si>
    <t>Sandoval Quirós</t>
  </si>
  <si>
    <t>85001494</t>
  </si>
  <si>
    <t>1045</t>
  </si>
  <si>
    <t>Costado este de la plaza de deportes Pitahaya</t>
  </si>
  <si>
    <t>155809252012</t>
  </si>
  <si>
    <t xml:space="preserve">Amado </t>
  </si>
  <si>
    <t>Osorio Quintero</t>
  </si>
  <si>
    <t>85561527</t>
  </si>
  <si>
    <t>Reubicación</t>
  </si>
  <si>
    <t>TOTAL DE MONTOS</t>
  </si>
  <si>
    <t>Montos</t>
  </si>
  <si>
    <t>Aserrí - Distrito urbano</t>
  </si>
  <si>
    <t>Aserrí - Distritos rurales</t>
  </si>
  <si>
    <t>Total =</t>
  </si>
  <si>
    <t>Comentarios: Algunas recomendaciones pueden cambiar con base en la información de zonas de riesgo generada por la CNE. Aún se están procesando fichas enviadas por las municipalidades y recogidas por los equipos de campo, por lo que se espera que en las siguientes dos semanas aumenten los valores de cantidades y montos en cada cantón. Además, se tendrá un periodo de incorporación extraordinaria de casos, debido a que por la extensión de la emergencia, muchas municipalidades aún se encuentran levantando información. Este periodo será acorde al protocolo de emergencias establecido, aunque se espera que no sea mayor a 3 meses.
Es importante señalar que los montos son estimados, según valores promedio determinados a partir de proyectos de vivienda aprobados dentro del sistema; los valores finales en realidad dependerán de las características de solución de cada familia.
Para poder cubrir la demanda producto de la emergencia, se va a necesitar fondos externos al sistema. Los cobros se harán conforme se vayan emitiendo los bonos respectivos, según lo establecido en el convenio entre el BANHVI y la CNE.</t>
  </si>
  <si>
    <r>
      <rPr>
        <b/>
        <sz val="16"/>
        <rFont val="Arial"/>
        <family val="2"/>
      </rPr>
      <t>FUNCIONARIO INFORMANTE</t>
    </r>
    <r>
      <rPr>
        <sz val="16"/>
        <rFont val="Arial"/>
        <family val="2"/>
      </rPr>
      <t xml:space="preserve"> (Nombre y apellidos):</t>
    </r>
  </si>
  <si>
    <t>Daniel Figueroa Arias</t>
  </si>
  <si>
    <t>Cargo:</t>
  </si>
  <si>
    <t>Director de Vivienda y Asentamientos Humanos, MIVAH</t>
  </si>
  <si>
    <t>Teléfonos:</t>
  </si>
  <si>
    <t>Dirección Electrónica:</t>
  </si>
  <si>
    <t>fdaniel@mivah.go.cr</t>
  </si>
  <si>
    <t>Nombre del Funcionario Responsable (Nombre y Apellidos):</t>
  </si>
  <si>
    <t>Firma:</t>
  </si>
  <si>
    <t>NARANJO</t>
  </si>
  <si>
    <t>7111 m</t>
  </si>
  <si>
    <t>7112 m</t>
  </si>
  <si>
    <t>7113 m</t>
  </si>
  <si>
    <t>7114 m</t>
  </si>
  <si>
    <t>7115 m</t>
  </si>
  <si>
    <t>7116 m</t>
  </si>
  <si>
    <t>7117 m</t>
  </si>
  <si>
    <t>7118 m</t>
  </si>
  <si>
    <t xml:space="preserve">tornos </t>
  </si>
  <si>
    <t>Ruta 606 SC 50880 Km 42+790</t>
  </si>
  <si>
    <t>daño en lado izquierdo calzada por socavación</t>
  </si>
  <si>
    <t>Diseño y Construcción de Gavión  convencional</t>
  </si>
  <si>
    <t>3 amigos</t>
  </si>
  <si>
    <t>Ruta 145 SC 50142 Coord 10292413</t>
  </si>
  <si>
    <t>Derrumbe en calzada</t>
  </si>
  <si>
    <t xml:space="preserve">Remoción de Derrumbe </t>
  </si>
  <si>
    <t>Ruta 145 SC 50143 Km 17+075 Coord 10.205.363    84.551.076</t>
  </si>
  <si>
    <t xml:space="preserve">derrumbe , provoca obstrucción mitad de calzada </t>
  </si>
  <si>
    <t>cruce arizona</t>
  </si>
  <si>
    <t>Ruta 1 SC 50000 Coord 10.1924                       -84.9496</t>
  </si>
  <si>
    <t>posible colapso de paso de alcantarilla</t>
  </si>
  <si>
    <t>relleno y reemplazo de alcantarilla</t>
  </si>
  <si>
    <t xml:space="preserve">Matapalo </t>
  </si>
  <si>
    <t>Ruta 1 SC 50010 Km 143+500 Coord 10.255.5                   -85.013.8</t>
  </si>
  <si>
    <t xml:space="preserve">Obtruccion de la Calzada </t>
  </si>
  <si>
    <t xml:space="preserve">Remoción de Derrumbe y Descuaje </t>
  </si>
  <si>
    <t xml:space="preserve">Punto Rojo </t>
  </si>
  <si>
    <t>Ruta 1 SC 50000 Km 136+005 Coord 10.222.678             -84.975.902</t>
  </si>
  <si>
    <t>Obstruccion total de la Calzada</t>
  </si>
  <si>
    <t xml:space="preserve">Remocion de Derrumbe </t>
  </si>
  <si>
    <t xml:space="preserve">Tornos </t>
  </si>
  <si>
    <t>Ruta 606 SC 50880 Km 43+460 Coord 10.343.251      -84.849.977</t>
  </si>
  <si>
    <t xml:space="preserve">Carril izquierdo cortado </t>
  </si>
  <si>
    <t>Muro de cotencion (Gaviones o enrocado )</t>
  </si>
  <si>
    <t>Ruta 606 SC 50880 Km 42+609 Coord 10.338.752         -84.847.399</t>
  </si>
  <si>
    <t>Ruta 606 SC 50880 Km 42+485 Coord 10.337.923          -84.847.744</t>
  </si>
  <si>
    <t xml:space="preserve">Carril derecho obstrudo </t>
  </si>
  <si>
    <t>Ruta 606 SC 50880 Km 42+320 Coord 10.337.063          -84.846.28</t>
  </si>
  <si>
    <t xml:space="preserve">Carril derecho obstruido </t>
  </si>
  <si>
    <t xml:space="preserve">Reomcion de derrumbe </t>
  </si>
  <si>
    <t xml:space="preserve">El Dos </t>
  </si>
  <si>
    <t>Ruta 606 SC 50880 Km 42+035 Coord 10.335.897          -84.847.638</t>
  </si>
  <si>
    <t xml:space="preserve">Carril detecho y cuneta obstruido </t>
  </si>
  <si>
    <t xml:space="preserve">Cruce San Rafael </t>
  </si>
  <si>
    <t>Ruta 606 SC 50880 Km 41+615 Coord 10.332.712             -84.848.721</t>
  </si>
  <si>
    <t xml:space="preserve">Posible corte de carretera </t>
  </si>
  <si>
    <t xml:space="preserve">Colocacion de tuberia, prestamo relleno y excavacion en la via </t>
  </si>
  <si>
    <t>Ruta 606 SC 50880 Km 41+325 Coord 10.330.712            -84.847.148</t>
  </si>
  <si>
    <t xml:space="preserve">Carril izquierdo y cunetas obstruidas </t>
  </si>
  <si>
    <t xml:space="preserve">Remocin de derrumbe </t>
  </si>
  <si>
    <t>Ruta 601 SC 50341 Km 1+300 Coord 10.19.63                 -85.17.97</t>
  </si>
  <si>
    <t xml:space="preserve">Insuficiencia en la capacida de cuneta </t>
  </si>
  <si>
    <t xml:space="preserve">Construccion de paso de Alcantarilla </t>
  </si>
  <si>
    <t xml:space="preserve">Higuerilla </t>
  </si>
  <si>
    <t>Ruta 601 SC 50330 Km 20+500 Coord 10.16.71            -85.04.29</t>
  </si>
  <si>
    <t xml:space="preserve">Insficiencia en la capacidad de la alcantarilla </t>
  </si>
  <si>
    <t xml:space="preserve">Sustitucion de alcantarilla por mayor diametro </t>
  </si>
  <si>
    <t>Ruta 601 SC 50330 Km 21+700 Coord 10.1645            -85.0412</t>
  </si>
  <si>
    <t>6.5</t>
  </si>
  <si>
    <t xml:space="preserve">Desbordamiento del rio </t>
  </si>
  <si>
    <t>Por valorar</t>
  </si>
  <si>
    <t>Ruta 606 SC 50880 Km 41+225 Coord 10332375         -84.848553</t>
  </si>
  <si>
    <t xml:space="preserve">Calzada cubierta por derrumbe </t>
  </si>
  <si>
    <t xml:space="preserve">Remocion derrumbe </t>
  </si>
  <si>
    <t>Ruta 1 SC 50010 Coord 10.26.99             -85.02.41</t>
  </si>
  <si>
    <t xml:space="preserve">Obstruccin en la via </t>
  </si>
  <si>
    <t xml:space="preserve">Descuaje </t>
  </si>
  <si>
    <t>Ruta 1 SC 50010 Km 144+100 Coord 10.2591.08            -85.0155.83</t>
  </si>
  <si>
    <t xml:space="preserve">Obstruccion  en la via </t>
  </si>
  <si>
    <t>Ruta 1 SC 50010 Km 143+490 Coord 10.2591.03            -85.0155.79</t>
  </si>
  <si>
    <t xml:space="preserve">Obstruccion en la via </t>
  </si>
  <si>
    <t xml:space="preserve">Sierra </t>
  </si>
  <si>
    <t>Ruta 145 SC 50142 Km 12+575 Coord 10.3048.11         -84.9297.34</t>
  </si>
  <si>
    <t xml:space="preserve">Derrumbe lado izquierdo obstruido </t>
  </si>
  <si>
    <t xml:space="preserve">Remocion de derrumbes </t>
  </si>
  <si>
    <t>Ruta 145 SC 50142 Km 11+550 Coord 10.2935.43         -84.9319.27</t>
  </si>
  <si>
    <t xml:space="preserve">Remocion de derrumbe </t>
  </si>
  <si>
    <t xml:space="preserve">Ruta 145 SC 50142 Km 10+900 Coord 10.2910.09           -84.9358.89 </t>
  </si>
  <si>
    <t xml:space="preserve">Derrumbe en la cuneta </t>
  </si>
  <si>
    <t>Ruta 606 SC 50880 Coord 10.3437.40        -84.8850.372</t>
  </si>
  <si>
    <t xml:space="preserve">Obstruccion completa de la via </t>
  </si>
  <si>
    <t>Ruta 606 SC 50880 Coord 10.3389.82       -84.8471.39</t>
  </si>
  <si>
    <t>Ruta 606 SC 50880 Coord 10.3425.15        -84.8564.08</t>
  </si>
  <si>
    <t xml:space="preserve">Obstruccion lado derecho de la via </t>
  </si>
  <si>
    <t xml:space="preserve">Arizona </t>
  </si>
  <si>
    <t>Ruta 1 SC 50000 Km 133+260</t>
  </si>
  <si>
    <t>4x3</t>
  </si>
  <si>
    <t xml:space="preserve">Comprometiod medio carril izquierdo daño superficial </t>
  </si>
  <si>
    <t xml:space="preserve">daño no reparado </t>
  </si>
  <si>
    <t xml:space="preserve">Relleno y bacheo formal </t>
  </si>
  <si>
    <t xml:space="preserve">Las Juntas </t>
  </si>
  <si>
    <t xml:space="preserve">Lourdes </t>
  </si>
  <si>
    <t>Ruta 1 SC 50000 Km 131+500 Coord 10,4616,150            -10,1793,6986,43295</t>
  </si>
  <si>
    <t xml:space="preserve">Caida de arboles </t>
  </si>
  <si>
    <t>Ruta 209 SC 11220 Km 38+740 Coord 9°84´00,9”N 84°21´28.4”W</t>
  </si>
  <si>
    <t>Se amplió deslizamientoen calzada existente</t>
  </si>
  <si>
    <t>Estudio, Diseño y construcción de muro de contención y reposición de relleno lateral</t>
  </si>
  <si>
    <t>Ruta 209 SC 11211 Km varios Coord varios</t>
  </si>
  <si>
    <t>Caida de material</t>
  </si>
  <si>
    <t>Remoción de derumbres</t>
  </si>
  <si>
    <t>Ruta 209 SC 10700 Km varios Coord varios</t>
  </si>
  <si>
    <t>Ruta 301 SC 10660 Km varios Coord varios</t>
  </si>
  <si>
    <t>Ruta 301 SC 10720 Km varios Coord varios</t>
  </si>
  <si>
    <t>Ruta 301 SC 10731 Km varios Coord varios</t>
  </si>
  <si>
    <t>Ruta 301 SC 10732 Km varios Coord varios</t>
  </si>
  <si>
    <t>Barú, Dominical</t>
  </si>
  <si>
    <t>Ruta 243 SC 60480 Km 29+250</t>
  </si>
  <si>
    <t>Arbol en la vía</t>
  </si>
  <si>
    <t>Descuaje de árbol</t>
  </si>
  <si>
    <t>Cariblanco</t>
  </si>
  <si>
    <t>Ruta 126 SC 20590 Km 46+000 Coord  10°15'57.05"N,  84°10'53.47"O</t>
  </si>
  <si>
    <t>Derrumbes de menor escala que afectan cunetas principalmente</t>
  </si>
  <si>
    <t>Se dispuso de maquinaria para remover y limpiar las zonas reportadas en fecha 2017-09-26</t>
  </si>
  <si>
    <t>Cinchona</t>
  </si>
  <si>
    <t>Ruta 126 SC 20580 Km 43+250 Coord  10°15'16.82"N,  84°10'22.02"O</t>
  </si>
  <si>
    <t>Se programará con el Contratista de Mantenimiento de la Zona, para realizar limpiezas en los siguientes días. Material que obstruye las cunetas, no afecta el flujo vehicular</t>
  </si>
  <si>
    <t>Ruta 118 SC 20150 Km 4+525 Coord 10.029727, 84.264999</t>
  </si>
  <si>
    <t>Gran Cantidad de Material caido de  en la carretera</t>
  </si>
  <si>
    <t>Maquinaria para limpiar el derrumbe</t>
  </si>
  <si>
    <t>Ruta 107 SC 20380 Km 4+475 Coord 10.052250, 84.243462</t>
  </si>
  <si>
    <t>Caida de material en  un carril</t>
  </si>
  <si>
    <t>Ruta 3 SC 20082 Km 4+525 Coord 9º.59".510472"N- 84º.20"39.37884W</t>
  </si>
  <si>
    <t>Ruta 107 SC 20380 Km 4500 Coord 10.052137º  N, 84,243668 W</t>
  </si>
  <si>
    <t>Ciruelas</t>
  </si>
  <si>
    <t>Ruta 124 SC 20264 Km 20264 Coord 9º.58".34,79- 84º.15"24,98" W</t>
  </si>
  <si>
    <t>con la llena del Rio Ciruelas,  lavo  los terreno y por ende los bordes de la calzada y produjo un dezlizamiento que esta muy cerca de la calzada. Hay peligro que si el caudal del rio aumenta,  la ruta puede colapsar.</t>
  </si>
  <si>
    <t>Desconocido</t>
  </si>
  <si>
    <t>Muro de  contencion  o muro anclado</t>
  </si>
  <si>
    <t>Tambor</t>
  </si>
  <si>
    <t>Ruta 727 SC 21471 Km 2400 Coord 10º.035771".84.230934" W</t>
  </si>
  <si>
    <t>Caida de material en  un carril,  y caña de bambú en la cuneta</t>
  </si>
  <si>
    <t>Ruta 130 SC 20360 Km 15000 Coord 10º.018084".84.231491" W</t>
  </si>
  <si>
    <t>Ruta 130 SC 20352 Km 4300 Coord 10º.053009 N, 84.204842" W</t>
  </si>
  <si>
    <t>Ruta 712 SC 21420 Km 4800 Coord 10º.114284" N, 84".190842 W</t>
  </si>
  <si>
    <t>san isidro</t>
  </si>
  <si>
    <t>Ruta 712 SC 21420 Km 2400 Coord 10º.09.5525" N, 84".192116W</t>
  </si>
  <si>
    <t>Ruta 130 SC 20370 Km 9900 Coord 10º.080186" N, 84".201859 W</t>
  </si>
  <si>
    <t>Ruta 126 SC 20340 Km 19+200 Coord 10°7´8,92´´N  y 84°9´36,31´´W</t>
  </si>
  <si>
    <t xml:space="preserve">Cuatro derrumbes </t>
  </si>
  <si>
    <t>Se cordino  maquinaria para quitar derrumbes</t>
  </si>
  <si>
    <t>Manolos</t>
  </si>
  <si>
    <t>Ruta 1 SC 20010 Coord 10.002957/-84.301256</t>
  </si>
  <si>
    <t>Derrumbes sobre  la calzada</t>
  </si>
  <si>
    <t>Remocíon de derrumbes</t>
  </si>
  <si>
    <t>ALAJUELA</t>
  </si>
  <si>
    <t>Ruta 105 SC 11142 Km 200 Coord 9°53´22,69"N y 84°07´14,23" O</t>
  </si>
  <si>
    <t>Remoción de derrumbe</t>
  </si>
  <si>
    <t>Colapso de muro</t>
  </si>
  <si>
    <t xml:space="preserve">Construcción de muro </t>
  </si>
  <si>
    <t>Ruta 141 SC 20610 Km 29200 Coord 10.13.40 N , 84.24.21W</t>
  </si>
  <si>
    <t xml:space="preserve"> Material caido de  en la carretera</t>
  </si>
  <si>
    <t>Ruta 141 SC 20620 Km 39530 Coord 10.13.29 N. 84.24.47 W</t>
  </si>
  <si>
    <t>Ruta 141 SC 20610 Km 20200 Coord 10.48.135 N , 84.22.55W</t>
  </si>
  <si>
    <t>Bajo Tapezco</t>
  </si>
  <si>
    <t>Ruta 141 SC 20610 Km 29800 Coord 10.13.227N. 84.24.25.128 W</t>
  </si>
  <si>
    <t>Ruta 141 SC 20610 Km 8845 Coord 10.13.33,006N, 84.24.43.07 W</t>
  </si>
  <si>
    <t>Ruta 141 SC 20610 Km 29000 Coord 10°.13" 26,496 N, 84°.24"17,22"</t>
  </si>
  <si>
    <t>Caida de material en   la calzada</t>
  </si>
  <si>
    <t>Ruta 141 SC 20610 Km 28200 Coord 10°.13.15,102 N, 84°.24.15,726" E</t>
  </si>
  <si>
    <t>Ruta 141 SC 20610 Km 27850 Coord 10°.14".18,807 N, 84°.31".52,42584"E</t>
  </si>
  <si>
    <t>CERVANTES</t>
  </si>
  <si>
    <t>Ruta 10 SC 30471 Km 19+690 Coord 9°53'59,3'' N 83°46'50,2'' W</t>
  </si>
  <si>
    <t>Derrumbe de material saturado tipo arcilloso sobre calzada obstruyendo carril izquierdo.</t>
  </si>
  <si>
    <t>Remoción de derrumbes</t>
  </si>
  <si>
    <t>ALVARADO</t>
  </si>
  <si>
    <t>Ruta 209 SC 10202 Km varios Coord varios</t>
  </si>
  <si>
    <t>Ruta 222 SC 10190 Km varios Coord varios</t>
  </si>
  <si>
    <t>Ruta 336 SC 11110 Km varios Coord varios</t>
  </si>
  <si>
    <t>Ruta 304 SC 11150 Km varios Coord varios</t>
  </si>
  <si>
    <t>Ruta 313 SC 10652 Km varios Coord varios</t>
  </si>
  <si>
    <t>Ruta 313 SC 10640 Km varios Coord varios</t>
  </si>
  <si>
    <t>Desmonte</t>
  </si>
  <si>
    <t>Ruta 3 SC 20100 Km 51+500 Coord 9.58.41 N, 84.26.37  W</t>
  </si>
  <si>
    <t xml:space="preserve">Jesus </t>
  </si>
  <si>
    <t>Casita del Café</t>
  </si>
  <si>
    <t>Ruta 3 SC 20100 Km 51850 Coord 9º.58".45.97849"N- 84º.26"56.77753"W</t>
  </si>
  <si>
    <t>Ruta 135 SC 20520 Km 20170 Coord 9º.59".34,64138N- 84º.23"8,78672"W</t>
  </si>
  <si>
    <t>Santa Eulalia</t>
  </si>
  <si>
    <t>Ruta 716 SC 21590 Km 2200 Coord 10º.1".4.65812 N, 84".21".50,20812 W</t>
  </si>
  <si>
    <t>Ruta 716 SC 21590 Km 2085 Coord 10º.1".2.92667" N, 84".21".49.69386 W</t>
  </si>
  <si>
    <t xml:space="preserve">Escobal </t>
  </si>
  <si>
    <t>Ruta 707 SC 21261 Km 17200 Coord 9º.55"39" N, 84"27"6" W</t>
  </si>
  <si>
    <t>Dezlizamiento de un carril  de  la  carretera, tramo de lastre</t>
  </si>
  <si>
    <t xml:space="preserve">Estudio  de suelos para determinar la obra a construir </t>
  </si>
  <si>
    <t>Alto López</t>
  </si>
  <si>
    <t>Ruta 135 SC 20520 Km 13300 Coord 10°.1".27" N., 84°24"58" W</t>
  </si>
  <si>
    <t>Ruta 3 SC 20100 Km 51700 Coord 9°.58".45" N., 84°26"57" W</t>
  </si>
  <si>
    <t>Limpiar el derrumbe</t>
  </si>
  <si>
    <t>Ruta 135 SC 20510 Km 16000 Coord 10°.2".1" N., 84°25"46" W</t>
  </si>
  <si>
    <t>Caída de un árbol</t>
  </si>
  <si>
    <t>Cortar y quitar árbol</t>
  </si>
  <si>
    <t>Ruta 135 SC 20510</t>
  </si>
  <si>
    <t>Ruta 114 SC 40220 Km 4+500 Coord 10°03´24,03´´ N y 84°06´51´´W</t>
  </si>
  <si>
    <t>4 derrumbes en cunetas</t>
  </si>
  <si>
    <t>Se realiza la remocion de derrumbes en cunetas</t>
  </si>
  <si>
    <t>BARVA</t>
  </si>
  <si>
    <t>Ruta 625 SC 60391 Km 9</t>
  </si>
  <si>
    <t>Qda. Se salio del cauce y socavó carretera</t>
  </si>
  <si>
    <t>Se debe encauzar la quebrada y rellenar el tramo socavado, relastreo</t>
  </si>
  <si>
    <t>Ruta 625 SC 60392 Km 19</t>
  </si>
  <si>
    <t>Derrumbes en la vía</t>
  </si>
  <si>
    <t>Se debe realizar limpieza de derrumbes y estabilización taludes, relastreo</t>
  </si>
  <si>
    <t>Ruta 625 SC 60393 Km 8</t>
  </si>
  <si>
    <t>Ruta 237 SC 60981 Km 8</t>
  </si>
  <si>
    <t>Se debe realizar limpieza de derrumbes y estabilización taludes</t>
  </si>
  <si>
    <t>Ruta 2 SC 60052 Km 25</t>
  </si>
  <si>
    <t>Ruta 2 SC 60051 Km 25</t>
  </si>
  <si>
    <t>Ruta 2 SC 60051</t>
  </si>
  <si>
    <t>Rio socavó la carretera y cortó el paso</t>
  </si>
  <si>
    <t>muro de contención y relleno o desvio para hacer paso</t>
  </si>
  <si>
    <t>Ruta 610 SC 60950 Km 2,8</t>
  </si>
  <si>
    <t xml:space="preserve">
Con las lluvias, se ha lavado la superficie de ruedo dejando tramos sin material y con tipo zanjas 
</t>
  </si>
  <si>
    <t xml:space="preserve">Se debe relastrear la ruta </t>
  </si>
  <si>
    <t>Ruta 610 SC 60972 Km 11</t>
  </si>
  <si>
    <t>Jabillo</t>
  </si>
  <si>
    <t>Ruta 246 SC 60350 Km 3,7</t>
  </si>
  <si>
    <t>Térraba</t>
  </si>
  <si>
    <t>Ruta 625 SC 60394 Km 3,5</t>
  </si>
  <si>
    <t>Rio Convento -Buenos Aires</t>
  </si>
  <si>
    <t>Ruta 2 SC 60060 Km 184+135</t>
  </si>
  <si>
    <t>Derumbes</t>
  </si>
  <si>
    <t>Remocion de derrumbes</t>
  </si>
  <si>
    <t>Ruta 2 SC 60060 Km 188+196</t>
  </si>
  <si>
    <t>Ruta 2 SC 60060 Km 182+235</t>
  </si>
  <si>
    <t>Ruta 2 SC 60060 Km 181+554</t>
  </si>
  <si>
    <t>Ruta 2 SC 60060 Km 181+043</t>
  </si>
  <si>
    <t>Ruta 142 SC 50150 Coord 10.457.573                 -85.077.179</t>
  </si>
  <si>
    <t xml:space="preserve">Cañas </t>
  </si>
  <si>
    <t xml:space="preserve">Rio Tenorio </t>
  </si>
  <si>
    <t>Ruta 6 SC 50900 Km 23+725 Coord 10.659.425          -85.092.795</t>
  </si>
  <si>
    <t xml:space="preserve">Caida de arbol </t>
  </si>
  <si>
    <t>Ruta 18 SC 51110 Coord 10.222.5                -85.15.87</t>
  </si>
  <si>
    <t xml:space="preserve">El Coyol </t>
  </si>
  <si>
    <t>Ruta 18 SC 51110 Coord 10.226.2              -85.136.8</t>
  </si>
  <si>
    <t xml:space="preserve">Obstrucion parcial de la via </t>
  </si>
  <si>
    <t xml:space="preserve">Nueva Guatemal </t>
  </si>
  <si>
    <t>Ruta 927 SC 51260 Km 17+309 Coord 10.625.906         -85.061.868</t>
  </si>
  <si>
    <t>5.20</t>
  </si>
  <si>
    <t xml:space="preserve">Sedimentos en calzada </t>
  </si>
  <si>
    <t>Ruta 927 SC 51260 Km 16+477 Coord 10.623.573          -85.055.498</t>
  </si>
  <si>
    <t xml:space="preserve">Lavado </t>
  </si>
  <si>
    <t xml:space="preserve">Reacondiconamiento </t>
  </si>
  <si>
    <t>Ruta 927 SC 51260 Km 15+541 Coord 10.622.078        -84.047.875</t>
  </si>
  <si>
    <t xml:space="preserve">Javilla </t>
  </si>
  <si>
    <t>Ruta 925 SC 51250 Km 0+635 Coord 10.373.531         -84.878.065</t>
  </si>
  <si>
    <t xml:space="preserve">Obstruccin de alcantarilas </t>
  </si>
  <si>
    <t xml:space="preserve">Limpieza de alcantarillas y excavacion </t>
  </si>
  <si>
    <t xml:space="preserve">San Juan </t>
  </si>
  <si>
    <t>Ruta 925 SC 51250 Km 0+970 a 9+250 Coord 10.388.601          -85.020.566</t>
  </si>
  <si>
    <t xml:space="preserve">Rebalse sobre calzada </t>
  </si>
  <si>
    <t xml:space="preserve">Limpieza de alcantarilla y excavacion </t>
  </si>
  <si>
    <t xml:space="preserve">Javilla a San Juan </t>
  </si>
  <si>
    <t>Ruta 925 SC 51250 Km 0+000 a 9+300 Coord 10.4050           -85.0678</t>
  </si>
  <si>
    <t>Ruta 923 SC 50840 Km 6+350 Coord 10.4158           -85.1518</t>
  </si>
  <si>
    <t xml:space="preserve">Se debe esperar para valorar que el agua baje para valorar los daños </t>
  </si>
  <si>
    <t>Ruta 925 SC 51250 Km 7+335 Coord 10,3820,78      -85,0332,12</t>
  </si>
  <si>
    <t>5x40x4,5</t>
  </si>
  <si>
    <t xml:space="preserve">Socavacion de la calzada </t>
  </si>
  <si>
    <t xml:space="preserve">Recuperar carril </t>
  </si>
  <si>
    <t>Ruta 912 SC 50450 Km 0+000 - 1+500 Coord DESDE LAT: 10°48'88.3"N, LON: 85°56'82.9"O; HASTA LAT: 10°48'55.8"N, LON: 85°58'08.7"O</t>
  </si>
  <si>
    <t>Subrasante lavada, alcantarilla sin capacidad hidráulica, falta de alcantarillas</t>
  </si>
  <si>
    <t>Cambio de un paso de alcantarilla cuadruple, colocación de 3 alcantarillas nuevas, mejoramiento de superficie de ruedo</t>
  </si>
  <si>
    <t>NAVARRO</t>
  </si>
  <si>
    <t>Ruta 405 SC 30301 Km 11+850 Coord 9°48'6,6'' N 83°53'8,8'' W</t>
  </si>
  <si>
    <t>Inestabilidad de talud por lluvias, lado derecho sentido 1-2, deslizamiento de suelo completamente saturado por lluvias.</t>
  </si>
  <si>
    <t>Ruta 219 SC 30240 Km 3+900 Coord 9°52'40´´ N 83°54'11'' W</t>
  </si>
  <si>
    <t>Derrumbe de material que bloquea paso de agua en las cunetas</t>
  </si>
  <si>
    <t>TARAS</t>
  </si>
  <si>
    <t>Ruta 2 SC 30730 Km 18+625 Coord 9°54'3''N 83°56'50'' W</t>
  </si>
  <si>
    <t>Derrumbe invade carril lado derecho</t>
  </si>
  <si>
    <t>Ruta 228 SC 30551 Km 18+780 Coord 9°48´34"N / 84°1´17"</t>
  </si>
  <si>
    <t>Grietas y fallas producto de la acumulación de aguas en el espaldon</t>
  </si>
  <si>
    <t>Construcción de subdrenaje, reconstrucción de cunetas revestidas, remoción de la capa de ruedo, nivelación con subbase y colocación de MAC. Adicionalmente, se sustituye alcantarilla desacoplada producto del movimiento del terreno</t>
  </si>
  <si>
    <t>Ruta 228 SC 30552 Km varios Coord varios</t>
  </si>
  <si>
    <t>Ruta 222 SC 30080 Km varios Coord varios</t>
  </si>
  <si>
    <t>Ruta 406 SC 30630 Km varios Coord varios</t>
  </si>
  <si>
    <t>Ruta 407 SC 30570 Km varios Coord varios</t>
  </si>
  <si>
    <t>Ruta 304 SC 30560 Km varios Coord varios</t>
  </si>
  <si>
    <t>Toda la Ruta</t>
  </si>
  <si>
    <t>Ruta 608 SC 60372 Km 6+420 - 28+970</t>
  </si>
  <si>
    <t>DESTRUCCIÓN DE LA RUTA EN MANEJO DE AGUAS, TERRAPLENADO Y SUPERFICIE DE RUEDO.</t>
  </si>
  <si>
    <t>RECONFORMACIÓN, COLOCACIÓN DE PRESTAMO,SUB BASE Y RECUPERACIÓN DE ALCANTARILLADO</t>
  </si>
  <si>
    <t>Ruta 608 SC 60373 Km 6+420 - 28+970</t>
  </si>
  <si>
    <t>Ruta 608 SC 60374 Km 6+420 - 28+970</t>
  </si>
  <si>
    <t>Ruta 614 SC 60271 Km 0+000 - 20+970</t>
  </si>
  <si>
    <t>Camino a la torre</t>
  </si>
  <si>
    <t>Ruta 237 SC 60282 Km 69+030</t>
  </si>
  <si>
    <t>FUERTES LLUVIAS OCACIONAN HUNDIMIENTOS EN LA CALZADA</t>
  </si>
  <si>
    <t>COLOCACIÓN DE MAC PARA NIVELAS SUPERFICIE DE RUEDO</t>
  </si>
  <si>
    <t>Río Coto (antiguo ferry)</t>
  </si>
  <si>
    <t>Ruta 238 SC 61030 Km 41+000</t>
  </si>
  <si>
    <t>INUNDACIONES</t>
  </si>
  <si>
    <t>HORA MAQUINA, RELLENO GRANULAR, ALCANTARILLA TRANSVERSALES</t>
  </si>
  <si>
    <t>BELLA LUZ</t>
  </si>
  <si>
    <t>Ruta 238 SC 60263 Km 24+220</t>
  </si>
  <si>
    <t>DAÑOS EN SUPERFICIE DE RUEDO POR DEFORMACION, FATIGA Y HUECOS</t>
  </si>
  <si>
    <t>BACHEO A PROFUNDIDAD PARCIAL Y COLOCACION DE CAPA DE SELLO ASFALTICO NO ESTRUCTURAL</t>
  </si>
  <si>
    <t>FINCA COTO 47</t>
  </si>
  <si>
    <t>Ruta 608 SC 60371 Km 6+420</t>
  </si>
  <si>
    <t>RIO INCENDIO</t>
  </si>
  <si>
    <t>Ruta 611 SC 60380 Km 2+860</t>
  </si>
  <si>
    <t>Cuesta Fila Cal</t>
  </si>
  <si>
    <t>Ruta 237 SC 60282 Km 71+474</t>
  </si>
  <si>
    <t>ASENTAMIENTO DEL FIRME DE LA CARRETERA</t>
  </si>
  <si>
    <t>DEFORMACIÓN DE LA SUPERFICIE</t>
  </si>
  <si>
    <t>La Chicharronera</t>
  </si>
  <si>
    <t>Ruta 237 SC 60282 Km 71+474 Coord 8º42'20" N /82º55'58" O</t>
  </si>
  <si>
    <t>Ruta 613 SC 60300 Km 8</t>
  </si>
  <si>
    <t>Via a punto de colapsar</t>
  </si>
  <si>
    <t>Muro de contención y relleno</t>
  </si>
  <si>
    <t>Ruta 237 SC 60340 Km 18</t>
  </si>
  <si>
    <t>Ruta 237 SC 60292 Km 13</t>
  </si>
  <si>
    <t>Campo 2 y 1/2</t>
  </si>
  <si>
    <t>Ruta 237 SC 60291 Km 8</t>
  </si>
  <si>
    <t>Ruta 612 SC 60333 Km 13</t>
  </si>
  <si>
    <t>Se debe relastrear la ruta en 60 %</t>
  </si>
  <si>
    <t>Ruta 617 SC 60991 Km 7+100</t>
  </si>
  <si>
    <t>Ruta 613 SC 60312 Km 17+100</t>
  </si>
  <si>
    <t>Muro fallado</t>
  </si>
  <si>
    <t>Ruta 237 SC 60291 Km 57+835</t>
  </si>
  <si>
    <t>Tramo de la carretera falló por saturación y se hundio</t>
  </si>
  <si>
    <t>Se debe remover todo el material inestable, sustituir y construir obras tipo muro retención</t>
  </si>
  <si>
    <t>Ruta 613 SC 60312 Km 15+294 a 15+324 (7+300 a 7+350)</t>
  </si>
  <si>
    <t>Perdida de 50% de muro de contención de tablestacas, se pierde un carril en su totalidad en la zona afectada. Proyecto obra Nueva en Construcción</t>
  </si>
  <si>
    <t>Realizar estudios Geotecnicos, topograficos y de suelos para elaborar una nueva propuesta por las nuevas condiciones que presenta el sitio.</t>
  </si>
  <si>
    <t>Ruta 613 SC 60312 Km 7+500 a 7+600</t>
  </si>
  <si>
    <t>Perdida de dos carriles en un tramo de aproximadamente 70 metros de longitud, perdida de alcantarillado colocado. Proyecto obra nueva en construcción</t>
  </si>
  <si>
    <t>Realizar estudios Geotecnicos, topograficos y de suelos para elaborar una nueva propuesta de muro por las nuevas condiciones que presenta el sitio, reparación de calzada y cunetas.</t>
  </si>
  <si>
    <t>CASA MATA</t>
  </si>
  <si>
    <t>Ruta 2 SC 10041 Km 41+825 Coord 9°46'17,5' N 83°59'10,5'' W</t>
  </si>
  <si>
    <t>Deslizamiento a un lado de la calzada.</t>
  </si>
  <si>
    <t>Se requiere  estudio para determinar los trabajos a realizar.</t>
  </si>
  <si>
    <t>Ruta 2 SC 10041 Km 41+874 Coord 9°46'17,6'' N 83°59'10,2'' W</t>
  </si>
  <si>
    <t>Derrumbes que cubrió la calzada</t>
  </si>
  <si>
    <t>LINDA VISTA</t>
  </si>
  <si>
    <t>Ruta 2 SC 10041 Km 42+825 Coord 9°45'57,7'' N 83°58'55,6'' W</t>
  </si>
  <si>
    <t>Derrumbes que obstruyó la vía</t>
  </si>
  <si>
    <t>Ruta 2 SC 10041 Km 42+848 Coord 9°45'53,4'' N 83°58'57,0'' W</t>
  </si>
  <si>
    <t>Ruta 2 SC 10041 Km 43+025 Coord 9°45'51,3'' N 83°58'56,8'' W</t>
  </si>
  <si>
    <t>LA PAZ</t>
  </si>
  <si>
    <t>Ruta 2 SC 10041 Km 43+980 Coord 9°45'33,7'' N 83°58'53,3'' W</t>
  </si>
  <si>
    <t>Ruta 2 SC 10042 Km 46+125 Coord 9°45'30,4'' N 83°58'47,0'' W</t>
  </si>
  <si>
    <t>Ruta 2 SC 10042 Km 47+030 Coord 9°44'35,8'' N 83°58'30,9'' W</t>
  </si>
  <si>
    <t>VARA EL ROBLE</t>
  </si>
  <si>
    <t>Ruta 2 SC 10042 Km 47+840 Coord 9°44'30,1'' N 83°58'4,9'' W</t>
  </si>
  <si>
    <t>Ruta 2 SC 10042 Km 48+300 Coord 9°44'27,3'' N 83°57'39,4'' W</t>
  </si>
  <si>
    <t>Ruta 2 SC 10042 Km 47+600 Coord 9°36'13'' N 83°47'26'' W</t>
  </si>
  <si>
    <t>Deslizamiento de gran tamaño, pero que no partió la calzada</t>
  </si>
  <si>
    <t>Se requiere  estudio para determinar si se debe estabilizar el talud para proteger la ruta.</t>
  </si>
  <si>
    <t>Ruta 2 SC 10042 Km 49+000 Coord 9°44'21'' N 83°57'13'' W</t>
  </si>
  <si>
    <t xml:space="preserve">Deslizamiento y pérdida de la calzada </t>
  </si>
  <si>
    <t>Ruta 222 SC 11130 Km varios Coord varios</t>
  </si>
  <si>
    <t>Ruta 222 SC 10181 Km varios Coord varios</t>
  </si>
  <si>
    <t>Ruta 222 SC 10182 Km varios Coord varios</t>
  </si>
  <si>
    <t>Ruta 406 SC 10100 Km varios Coord varios</t>
  </si>
  <si>
    <t>Ruta 304 SC 10430 Km varios Coord varios</t>
  </si>
  <si>
    <t>Ruta 304 SC 11160 Km varios Coord varios</t>
  </si>
  <si>
    <t>COPEY</t>
  </si>
  <si>
    <t>Ruta 2 SC 10030 Km 80+000 Coord 9°50'9'' N 83°52'46'' W</t>
  </si>
  <si>
    <t>Deslizamiento dejando calzada comprometida</t>
  </si>
  <si>
    <t>Se requiere estudio de estabilidad para determinar necesidades. Urge señalización de emergencia.</t>
  </si>
  <si>
    <t>Ruta 315 SC 10612 Km varios Coord varios</t>
  </si>
  <si>
    <t>Ruta 2 SC 30090 Km 31+900 Coord 9°47'44,0'' N 83°56'49,5'' W</t>
  </si>
  <si>
    <t>Material suelto que cae todo el día</t>
  </si>
  <si>
    <t>BAJA</t>
  </si>
  <si>
    <t>Ruta 2 SC 30690 Km 65+000 Coord 9°40'10,2'' N  83°52'11,8'' W</t>
  </si>
  <si>
    <t>La corona de deslizamiento viejo que no se estabilizó se está corriendo hacia la carretera y ya va por el borde de la calzada.</t>
  </si>
  <si>
    <t>Se realizará un análisis de la estabilidad para establecer las obras a realizar (esto determinará los trabajos y el monto a invertir).</t>
  </si>
  <si>
    <t>Ruta 2 SC 30090 Km 35+800 Coord 9°47'40,0'' N 83°58'18,0'' W</t>
  </si>
  <si>
    <t>Deslizamiento con corona en cuneta (borde de la ruta).</t>
  </si>
  <si>
    <t>HIGUITO</t>
  </si>
  <si>
    <t>Ruta 2 SC 30090 Km 25+500 Coord 9°49'33.1´´ N 83°57´7.3´´</t>
  </si>
  <si>
    <t>Carretera municipal afectada, Casa 3m de corona.</t>
  </si>
  <si>
    <t>Obras de estabilización del talud (requiere anáilsis de estabilidad para determinar los trabajos a realizar y el posible costo de los mismos).</t>
  </si>
  <si>
    <t>TEJAR</t>
  </si>
  <si>
    <t>Ruta 2 SC 30090 Km 28+230 Coord 9°49'3'' N 83°57'2'' W</t>
  </si>
  <si>
    <t>Material en la cuneta y la calzada</t>
  </si>
  <si>
    <t>COMENTILLO</t>
  </si>
  <si>
    <t>Ruta 2 SC 30090 Km 33+303 Coord 9°51'52'' N 83°55'59'' W</t>
  </si>
  <si>
    <t>Derrumbe cerrado vía total</t>
  </si>
  <si>
    <t>GUARCO</t>
  </si>
  <si>
    <t>CANGREJA</t>
  </si>
  <si>
    <t>Ruta 2 SC 30090 Km 36+730</t>
  </si>
  <si>
    <t>Derrumbe cierre parcial</t>
  </si>
  <si>
    <t xml:space="preserve">GUARCO </t>
  </si>
  <si>
    <t>Ruta 2 SC 30090 Km 36+930 Coord 9°46'47'' N 83°59'13'' W</t>
  </si>
  <si>
    <t>PULMITAL</t>
  </si>
  <si>
    <t>Ruta 2 SC 30090 Km 37+200 Coord 9°47'26'' N 83°58'58.6'' W</t>
  </si>
  <si>
    <t>Derrumbe cubre la calzada</t>
  </si>
  <si>
    <t>Ruta 2 SC 30090 Km 39+000 Coord 9°46'48,6'' N 83°59'31,8'' W</t>
  </si>
  <si>
    <t>Se requiere analizar la posibilidad de bajar el material primero. Hay grietas arriba a 80m de la corona que evidencian mucho material falseado. Se requiere de un estudio para determinar los trabajos a realizar.</t>
  </si>
  <si>
    <t>Ruta 2 SC 30090 Km 38+870 Coord 9°46'47,6'' N 83°59'19,1'' W</t>
  </si>
  <si>
    <t>Parte de la escuela del lugar se encuentra caída. Una casa de habitación está al borde, el evento no afecta la ruta.</t>
  </si>
  <si>
    <t>Ruta 2 SC 30090 Km 40+400 Coord 9°46'17'' N 83°59'10'' W</t>
  </si>
  <si>
    <t>Deslizamiento a partir del borde de la carretera. Fibra óptica expuesta.</t>
  </si>
  <si>
    <t xml:space="preserve">Ruta 2 SC 30090 Km 38+680 Coord 9°46'59''N 83°59'31'' </t>
  </si>
  <si>
    <t>Deslizamiento a 8 metros del borde de la carretera</t>
  </si>
  <si>
    <t>Ruta 742 SC 60601</t>
  </si>
  <si>
    <t>Obstrucción total de la calzada</t>
  </si>
  <si>
    <t xml:space="preserve">REMOCIÓN DE DERRUMBES y DESCUAJE DE ARBOLES-ATENDIDO CON BRIGADA DEL MOPT </t>
  </si>
  <si>
    <t>SALINAS</t>
  </si>
  <si>
    <t>Ruta 622 SC 60440 Km 6+700</t>
  </si>
  <si>
    <t>Caida de Arboles</t>
  </si>
  <si>
    <t>DESCUAJE DE ARBOLES EN DERECHO DE VÍA - ATENCION CON BRIGADA LICITACION 16</t>
  </si>
  <si>
    <t>Ruta 622 SC 60440 Km -</t>
  </si>
  <si>
    <t>MACACONA</t>
  </si>
  <si>
    <t>CAMBRONERO</t>
  </si>
  <si>
    <t>Ruta 1 SC 60200 Km 73+890 Coord 10.031507,-84.572502</t>
  </si>
  <si>
    <t>DERRUMBE</t>
  </si>
  <si>
    <t>REMOCION DE DERRUMBES - POR ATENDER CON BRIGADA LICITACION 17</t>
  </si>
  <si>
    <t>Ruta 1 SC 60200 Km 77+890 Coord 10.029192,-84.573891</t>
  </si>
  <si>
    <t>Ruta 1 SC 60200 Km 75+240 Coord 10.025665,-84.577515</t>
  </si>
  <si>
    <t>Ruta 1 SC 60200 Km 79+590 Coord 10.015593,-84.613251</t>
  </si>
  <si>
    <t>Ruta 622 SC 60440 Km 13+255 Coord 9.9249890,-84.6927482</t>
  </si>
  <si>
    <t>INUNDACIÓN RUTA</t>
  </si>
  <si>
    <t>CONSTRUCCIÓN DE SISTEMA DE  ALCANTARILLADO NUEVO EN PROCESO - ATENDIDO CON BRIGADA LICITACION 17</t>
  </si>
  <si>
    <t>Ruta 742 SC 60601 Km 3+700</t>
  </si>
  <si>
    <t>DESLIZAMIENTO Y PERDIDA DE CALZADA PARCIAL, COLAPSO DE SISTEMA DE DRENAJES</t>
  </si>
  <si>
    <t>ESTRUCTURA DE CONTENCIÓN, CONSTRUCCIÓN DE SISTEMA DE DRENAJES, SE REALIZA INTERVENCIÓN POR IMPREVISIBILIDAD POR SEGURA Y BOZA CONSTRUCCIONES S.A.</t>
  </si>
  <si>
    <t>tarcoles</t>
  </si>
  <si>
    <t>Ruta 34 SC 60170 Km Según coordenada (puntual) Coord 9"80"94,75 N, 84"60"13,67W</t>
  </si>
  <si>
    <t>Inundación en carretera, con paso regulado según el nivel del agua</t>
  </si>
  <si>
    <t>Desbordamiento río tarcoles</t>
  </si>
  <si>
    <t>Ruta 320 SC 60550 Km Según coordenada (puntual) Coord 9°45'25.6"N 84°36'38.1"W</t>
  </si>
  <si>
    <t xml:space="preserve">Derrumbes con caída de árboles a lo largo de la sección </t>
  </si>
  <si>
    <t>REMOCIÓN DE DERRUMBES y DESCUAJE DE ARBOLES, COLABORACIÓN CON EL MOPT</t>
  </si>
  <si>
    <t>Ruta 320 SC 60550 Km Según coordenada (puntual) Coord 9°45'29.4"N 84°36'28.6"W</t>
  </si>
  <si>
    <t>Ruta 320 SC 60550 Km Según coordenada (puntual) Coord 9°45'38.8"N 84°36'23.7"W</t>
  </si>
  <si>
    <t>Ruta 320 SC 60550 Km Según coordenada (puntual) Coord 9°45'39.2"N 84°36'14.2"W</t>
  </si>
  <si>
    <t>Ruta 320 SC 60550 Km a lo largo de la sección</t>
  </si>
  <si>
    <t>REMOCIÓN DE DERRUMBES y DESCUAJE DE ARBOLES, COLABORACIÓN CON EL MOPT 8 LOS VECINOS FACILITAN FOTOGRAFIAS) VIA CERRADA</t>
  </si>
  <si>
    <t>GOICOECHEA</t>
  </si>
  <si>
    <t>Ruta 218 SC 10350 Km 1,78</t>
  </si>
  <si>
    <t>Limpieza de derrumbes</t>
  </si>
  <si>
    <t>km31</t>
  </si>
  <si>
    <t>Ruta 2 SC 60012 Km 310+700 Coord 8º41'56" N /83º6'51" O</t>
  </si>
  <si>
    <t>DESLIZAMIENTO Y PERDIDA DE ANCHO DE LA CALZADA</t>
  </si>
  <si>
    <t xml:space="preserve">CAMBIO TEMPORAL DE TRAZADO DE CARRETERA </t>
  </si>
  <si>
    <t>CONSTRUCCIÓN DE MURO DE RETENCIÓN</t>
  </si>
  <si>
    <t>Higueron</t>
  </si>
  <si>
    <t>Ruta 14 SC 60251 Km 9+300 Coord 8º36'7" N /83º4'9" O</t>
  </si>
  <si>
    <t>DERRUBE</t>
  </si>
  <si>
    <t>REMOSION Y ACARREO DE BOTADEROS</t>
  </si>
  <si>
    <t>La Arrocera Rio Claro</t>
  </si>
  <si>
    <t>Ruta 2 SC 60012 Km 316+142  al 316+192 Coord 8º40'52" N /83º4'41" O</t>
  </si>
  <si>
    <t>KM14</t>
  </si>
  <si>
    <t>Ruta 14 SC 60251 Km 9+400</t>
  </si>
  <si>
    <t>Ruta 611 SC 61010 Km 2+860 - 19+070</t>
  </si>
  <si>
    <t>Km14</t>
  </si>
  <si>
    <t>Ruta 14 SC 60251 Km 16+900</t>
  </si>
  <si>
    <t>DERRUMBE SUPERIOR A LOS 500 M3</t>
  </si>
  <si>
    <t>Las trenzas</t>
  </si>
  <si>
    <t>Ruta 238 SC 61042 Km 46+150 Coord 8º34'36" N /83º3'42" O</t>
  </si>
  <si>
    <t>BANQUEO Y CONSTRUCCION DE TERRAPLEN</t>
  </si>
  <si>
    <t>LAS TRENZAS</t>
  </si>
  <si>
    <t>Ruta 238 SC 61041 Km 45+300</t>
  </si>
  <si>
    <t>EL RODEO</t>
  </si>
  <si>
    <t>Ruta 238 SC 61042 Km 50+950</t>
  </si>
  <si>
    <t>Ruta 1 SC 20020 Coord 10,000152743296104/-84,190353337865351</t>
  </si>
  <si>
    <t>Ruta 118 SC 20170 Km 4+340 Coord 10,085668927029</t>
  </si>
  <si>
    <t>Ruta 1 SC 40040 Km 5+400 Coord 9°57´06´´ N y 84°07´59,3´´W</t>
  </si>
  <si>
    <t>HEREDIA</t>
  </si>
  <si>
    <t>Ruta 158 SC 50683</t>
  </si>
  <si>
    <t>Caída de árboles</t>
  </si>
  <si>
    <t>Descuaje de árboles</t>
  </si>
  <si>
    <t>Ruta 160 SC 50460</t>
  </si>
  <si>
    <t>Ruta 901 SC 51160</t>
  </si>
  <si>
    <t>Relastreo, reacondicionamiento de la calzada, sustitución de alcantarillas,concreto estructural</t>
  </si>
  <si>
    <t>Ruta 902 SC 51150</t>
  </si>
  <si>
    <t>Relastreo, reacondicionamiento de la calzada</t>
  </si>
  <si>
    <t>Ruta 914 SC 50321 Km 6+100</t>
  </si>
  <si>
    <t>Remoción de material desprendido.</t>
  </si>
  <si>
    <t>Conventillos</t>
  </si>
  <si>
    <t>Ruta 939 SC 51140 Km 6,71</t>
  </si>
  <si>
    <t>Pegaderos y huecos en la via.</t>
  </si>
  <si>
    <t>Relatreo de superficie de ruedo, conformación de cunetas y espaldones.</t>
  </si>
  <si>
    <t>Ruta 313 SC 11320 Km varios Coord varios</t>
  </si>
  <si>
    <t>Santa Fe</t>
  </si>
  <si>
    <t>Patastillo</t>
  </si>
  <si>
    <t>Ruta 733 SC 21150 Km 11+000 Coord  10°42'59.21"N  84°46'34.88"W</t>
  </si>
  <si>
    <t>Inundaciones en la vía, producto de la crecida del Río Thiales</t>
  </si>
  <si>
    <t>Conformar rellenos y elevar la rasante</t>
  </si>
  <si>
    <t>ANTIGUA ARROCERA</t>
  </si>
  <si>
    <t>Ruta 1 SC 60230 Km 102+800 Coord 10.063416,-84.760681</t>
  </si>
  <si>
    <t>ARANJUEZ</t>
  </si>
  <si>
    <t>Ruta 1 SC 60230 Km 106+700 Coord 10.084343,-84.787811</t>
  </si>
  <si>
    <t>RIO SECO</t>
  </si>
  <si>
    <t>Ruta 1 SC 60230 Km 104+426 Coord 10.070218,-84.770874</t>
  </si>
  <si>
    <t>AGRIETAMIENTO CALZADA</t>
  </si>
  <si>
    <t>VALORACION DE DAÑOS Y TRABAJOS REQUERIDOS.</t>
  </si>
  <si>
    <t>ARANJUEZ-MALINCHE</t>
  </si>
  <si>
    <t>Ruta 1 SC 60230 Km 107+300 A 116+000 Coord -</t>
  </si>
  <si>
    <t>DERRUMBES Y ARBOLES EN CALZADA DE RODAMIENTIO</t>
  </si>
  <si>
    <t>REMOCION DE DERRUMBES Y ARBOLES SOBRE CALZADA, CONSTANTES A LO LARGO DE  ESTACIONAMIENTOS EN MENCION</t>
  </si>
  <si>
    <t>Alto Quitirrisí</t>
  </si>
  <si>
    <t>Ruta 239 SC 10491 Km 11+500 Coord -</t>
  </si>
  <si>
    <t>Caida de bloques de tierra y arboles</t>
  </si>
  <si>
    <t>Remoción del derrumbe con maquinartia</t>
  </si>
  <si>
    <t>Quebrada Honda - Guayabo</t>
  </si>
  <si>
    <t>Ruta 239 SC 10491 Km 5+675 a 12+335 Coord 9°88´24.3”N 84°22´88.4”W</t>
  </si>
  <si>
    <t>Brasil de Mora</t>
  </si>
  <si>
    <t>Ruta 22 SC 10760 Km 3+880</t>
  </si>
  <si>
    <t>Caída de Arbol</t>
  </si>
  <si>
    <t>Remoción de árbol caído</t>
  </si>
  <si>
    <t>Ruta 209 SC 10690 Km 46+800 Coord 9°84´01.5”N 84°21´29.2”W</t>
  </si>
  <si>
    <t>Ruta 209 SC 10690 Km 43+150 Coord 9°85´47.3”N 84°24´33.5”W</t>
  </si>
  <si>
    <t>Se deslizó talud de soporte de la carretera</t>
  </si>
  <si>
    <t>Ruta 915 SC 50981 Km 12+435 Coord 10,3743,79          -85,0023,74</t>
  </si>
  <si>
    <t xml:space="preserve">Erosion de la calzada </t>
  </si>
  <si>
    <t xml:space="preserve">Cambiar tuberia por 1 m diametro y reaconcidionar calzada </t>
  </si>
  <si>
    <t>Ruta 915 SC 50981 Km 7+060</t>
  </si>
  <si>
    <t>Ruta en mal estado</t>
  </si>
  <si>
    <t xml:space="preserve">Reacondicionamiento de la calzada, relastreo, construcción de 400 m de diques en el Río Bongo para protección de carretera totalmente destruída </t>
  </si>
  <si>
    <t>Ruta 21 SC 50270</t>
  </si>
  <si>
    <t>Ruta 21 SC 50731</t>
  </si>
  <si>
    <t>Ruta 21 SC 50732</t>
  </si>
  <si>
    <t>Ruta 903 SC 50631</t>
  </si>
  <si>
    <t>Ruta 901 SC 50671</t>
  </si>
  <si>
    <t>Ruta 901 SC 50672</t>
  </si>
  <si>
    <t>Ruta 902 SC 50691</t>
  </si>
  <si>
    <t>Ruta 902 SC 50692</t>
  </si>
  <si>
    <t>Ruta 163 SC 50720</t>
  </si>
  <si>
    <t>Calzada dañada</t>
  </si>
  <si>
    <t>Ruta 163 SC 50710</t>
  </si>
  <si>
    <t>Ruta 903 SC 50632</t>
  </si>
  <si>
    <t>Ruta 623 SC 51240</t>
  </si>
  <si>
    <t>Ruta 623 SC 51230</t>
  </si>
  <si>
    <t>Ruta 915 SC 50982</t>
  </si>
  <si>
    <t xml:space="preserve">Construcción de Dique </t>
  </si>
  <si>
    <t>Ruta 715 SC 20532 Km 2+650 Coord 10,055059160560933/-84,3673500046134</t>
  </si>
  <si>
    <t>aárboles y maleza obstruyendo un carril</t>
  </si>
  <si>
    <t>Bajo corrales</t>
  </si>
  <si>
    <t>Ruta 725 SC 20850 Km 4+500 Coord 10.124833978036284/-84.43235468119383</t>
  </si>
  <si>
    <t>Ruta 715 SC 20531</t>
  </si>
  <si>
    <t>Ruta 709 SC 20413 Km 9+500 Coord 348/n78W</t>
  </si>
  <si>
    <t>Paso de alcantarilla, y cabezal</t>
  </si>
  <si>
    <t>Tuberia de 76 reforzadas, 15 m3 de gavión y cabezal según nrmas y diseños</t>
  </si>
  <si>
    <t>Ruta 703 SC 20750 Km 6+200 Coord 269/ s88W</t>
  </si>
  <si>
    <t>árboles y maleza obstruyendo un carril</t>
  </si>
  <si>
    <t>(Natura)</t>
  </si>
  <si>
    <t>Ruta 1 SC 20031 Coord 10.069769/-84.370098</t>
  </si>
  <si>
    <t>Ruta 715 SC 20531 Km 2+650 Coord 10.0399620410211663/-84.40028686076401</t>
  </si>
  <si>
    <t>Ruta 141 SC 20600</t>
  </si>
  <si>
    <t>Ruta 21 SC 50131 Km 66+000</t>
  </si>
  <si>
    <t>Ruta 21 SC 50132</t>
  </si>
  <si>
    <t>Ruta 21 SC 50160</t>
  </si>
  <si>
    <t>Ruta 160 SC 50600</t>
  </si>
  <si>
    <t>Ruta 150 SC 50652</t>
  </si>
  <si>
    <t>Ruta 921 SC 51040</t>
  </si>
  <si>
    <t>Ruta 931 SC 50820</t>
  </si>
  <si>
    <t>Ruta 150 SC 51050</t>
  </si>
  <si>
    <t>Ruta 150 SC 50470</t>
  </si>
  <si>
    <t>Ruta 150 SC 50782</t>
  </si>
  <si>
    <t>Ruta 160 SC 50591</t>
  </si>
  <si>
    <t>Sistema de Drenaje</t>
  </si>
  <si>
    <t>Ruta 160 SC 50592</t>
  </si>
  <si>
    <t>Ruta 219 SC 30491 Km 5+200 Coord 9°53'6'' N 83°53'48'' W</t>
  </si>
  <si>
    <t>Derrumbe por fuertes lluvias</t>
  </si>
  <si>
    <t>Remoción de derrumbes, Descuaje de árboles</t>
  </si>
  <si>
    <t>Ruta 219 SC 30250 Km 16+050 Coord 9°45'0,28'' N 83°52'54,98 W</t>
  </si>
  <si>
    <t>Deslizamiento, grietas, hundimiento de la calzada</t>
  </si>
  <si>
    <t>Remoción de derrumbes (como solución paleativa). Colocación de paso de alcantarilla, Construcción de cunetas, Construcción de muro de gaviones (Se requiere de un equipo topográfico en el caso del muro y de un análisis de estabilidad para calcular los montos).</t>
  </si>
  <si>
    <t>TIERRA BLANCA</t>
  </si>
  <si>
    <t>CHINCHILLA</t>
  </si>
  <si>
    <t>Ruta 401 SC 30710 Km 5+100 Coord 9°54'53,748'' N 83°53'26,27'' W</t>
  </si>
  <si>
    <t>Ruta 219 SC 30491 Km 6+000 Coord 9°53'3,95'' N 83°53'30,06'' W</t>
  </si>
  <si>
    <t>Ruta 402 SC 30522 Km 2+800 Coord 9°53''45,35'' N 83°52'12,97'' W</t>
  </si>
  <si>
    <t>Ruta 402 SC 30522 Km 10+200 Coord 9°46'17,7'' N 83°59'10,4'' W</t>
  </si>
  <si>
    <t>Ruta 2 SC 60030 Km 271+600 Coord 8º53'25" N /83º22'43" O</t>
  </si>
  <si>
    <t>Ruta 245 SC 60411 Km 12+200 Coord 8º44'59" N /83º18'52,9" O</t>
  </si>
  <si>
    <t>El Cañal</t>
  </si>
  <si>
    <t>Ruta 245 SC 60412 Km 19+050 Coord 8º45'5,76" N /83º21'43,86" O</t>
  </si>
  <si>
    <t>Bahia Chal #1</t>
  </si>
  <si>
    <t>Ruta 245 SC 60412 Km 32+800 Coord 8º43'33,67" N /83º26'28,99" O</t>
  </si>
  <si>
    <t>Bahia Chal #2</t>
  </si>
  <si>
    <t>Ruta 245 SC 60412 Km 33+400 Coord 8º43'37,45" N /83º26'47,92" O</t>
  </si>
  <si>
    <t>Bahia Chal #3</t>
  </si>
  <si>
    <t>Ruta 245 SC 60412 Km 34+450 Coord 8º43'39,20" N /83º27'13,48" O</t>
  </si>
  <si>
    <t>Bahia Chal #4</t>
  </si>
  <si>
    <t>Ruta 245 SC 60412 Km 37+200 Coord 8º43'38,97" N /83º28'17,18" O</t>
  </si>
  <si>
    <t>Los Mogos</t>
  </si>
  <si>
    <t>Ruta 245 SC 60412 Km 21+630 Coord 8º45'48" N /83º22'39" O</t>
  </si>
  <si>
    <t>Ruta 245 SC 60411 Km 5+700 Coord 8º46'16" N /83º16'50" O</t>
  </si>
  <si>
    <t>Ruta 2 SC 60030 Km 257+840</t>
  </si>
  <si>
    <t>DERRUMBE SUPERIOR A LOS 5000 M3</t>
  </si>
  <si>
    <t>FINCA 6/11 ESCUELA</t>
  </si>
  <si>
    <t>Ruta 223 SC 60401 Km 7+210</t>
  </si>
  <si>
    <t>SIERPE</t>
  </si>
  <si>
    <t>Ruta 223 SC 60402 Km 15+350</t>
  </si>
  <si>
    <t>RINCON</t>
  </si>
  <si>
    <t>Ruta 245 SC 60412 Km 44+720</t>
  </si>
  <si>
    <t>Ruta 2 SC 60040 Km 10</t>
  </si>
  <si>
    <t xml:space="preserve">
Derrumbes en la vía e inestabilidad de taludes muy altos
</t>
  </si>
  <si>
    <t>Se debe realizar limpieza de derrumbes y estabilización taludes desde la partes alta, aprox 120 m sobre la carretera</t>
  </si>
  <si>
    <t>C. Cortés</t>
  </si>
  <si>
    <t>Punta Mala</t>
  </si>
  <si>
    <t>Ruta 34 SC 60092 Km 18</t>
  </si>
  <si>
    <t>Caída de árboles en la vía</t>
  </si>
  <si>
    <t>Remoción de los arboles caídos y descuaje de otros árboles que se observan propensos a caer en la vía</t>
  </si>
  <si>
    <t>San Buenaventura</t>
  </si>
  <si>
    <t>Ruta 34 SC 60093 Km 18</t>
  </si>
  <si>
    <t>Ruta 2 SC 60040 Km 148+300</t>
  </si>
  <si>
    <t>Ruta 714 SC 20432 Km 5180 Coord 10°.1"8.392 N, 84°.27"59.942"</t>
  </si>
  <si>
    <t>Ruta 714 SC 20432 Km 5520 Coord 10°.0"0.343 N, 84°.28"1,500"</t>
  </si>
  <si>
    <t>Caida de material en   la cuneta</t>
  </si>
  <si>
    <t>Ruta 714 SC 20432 Km 4730 Coord 10°.1" 14.885 N, 84°.27" 47.349"</t>
  </si>
  <si>
    <t>Ruta 714 SC 20432 Km 4230 Coord 10°.1" 29.707 N, 84°.27" 32,249"</t>
  </si>
  <si>
    <t>Ruta 714 SC 20432 Km 3930 Coord 10°.1" 31,574 N, 84°.27" 30,915"</t>
  </si>
  <si>
    <t>Ruta 714 SC 20432 Km 2730 Coord 10°.1" 56.208 N, 84°.26" 58,264"</t>
  </si>
  <si>
    <t>Ruta 714 SC 20432 Km 2730 Coord 10°.1" 56.806 N, 84°.26" 57.560"</t>
  </si>
  <si>
    <t>Ruta 714 SC 20432 Km 2850 Coord 10°.2".9,434 N, 84°.26".57,150" E</t>
  </si>
  <si>
    <t>Ruta 714 SC 20432 Km 3700 Coord 10°.1".55.735 N, 84°.26".58,1860" E</t>
  </si>
  <si>
    <t>Ruta 714 SC 20432 Km 4100 Coord 10°.1".38,370 N, 84°.27".26,456" E</t>
  </si>
  <si>
    <t>Ruta 714 SC 20432 Km 4200 Coord 10°.1".34,122 N, 84°.27".29,944" E</t>
  </si>
  <si>
    <t>Ruta 714 SC 20432 Km 4900 Coord 10°.1".33,771" N, 84°.27".29,976" E</t>
  </si>
  <si>
    <t>Ruta 714 SC 20432 Km 5320 Coord 10°.1".20,545" N, 84°.27".42,295" E</t>
  </si>
  <si>
    <t>Ruta 714 SC 20432 Km 5400 Coord 10°.1".12,257 N, 84°.27".50,645E</t>
  </si>
  <si>
    <t>Ruta 714 SC 20432 Km 5700 Coord 10°.1".11,091 N, 84°.27".51,846E</t>
  </si>
  <si>
    <t>Ruta 714 SC 20432 Km 5750 Coord 10°.1".8,709 N, 84°.27".58,704E</t>
  </si>
  <si>
    <t>AGUACALIENTE</t>
  </si>
  <si>
    <t>Ruta 224 SC 30450 Km 5+785 Coord 9°48'28,1'' N 83°51'55,9'' W</t>
  </si>
  <si>
    <t>Afectación al borde del pavimento por acción del río Agua Caliente</t>
  </si>
  <si>
    <t>¢100,000,000,00</t>
  </si>
  <si>
    <t>Construcción de espolones para redireccionar el río, Dragado del río y construcción de muros de gravedad para la recuperación del ancho de calzada y de espaldón</t>
  </si>
  <si>
    <t>UJARRÁS</t>
  </si>
  <si>
    <t>Ruta 224 SC 30162 Km 28+300 Coord 9°50'2'' N 83°50'11'' W</t>
  </si>
  <si>
    <t>Obstrucción de carril debido a derrumbe</t>
  </si>
  <si>
    <t>CONGO</t>
  </si>
  <si>
    <t>Ruta 225 SC 30152 Km 9+300 Coord 9°52'10'' N 83°45'42'' W</t>
  </si>
  <si>
    <t>Ruta 224 SC 30162 Km 28+900 Coord 9°49'57'' N 83°50'3'' W</t>
  </si>
  <si>
    <t>Obstrucción de carril debido a derrumbe y caída de árbol</t>
  </si>
  <si>
    <t>Ruta 225 SC 30152 Km 7+900 Coord 9°52'0'' N 83°46'17'' W</t>
  </si>
  <si>
    <t>Ruta 2 SC 30680 Km 36+950 Coord 9°47'19'' N 83°58'48'' W</t>
  </si>
  <si>
    <t>Relleno y construcción de muro de gaviones y paso de alcantarilla (se requiere análisis de estabilidad para determinar el posible costo de las obras).</t>
  </si>
  <si>
    <t>Ruta 239 SC 60540 Km Según coordenada (puntual) Coord 9”32'13.7"N 84”23'10.7"W</t>
  </si>
  <si>
    <t>No se observan daños</t>
  </si>
  <si>
    <t>Ruta 34 SC 60082 Km Según coordenada (puntual) Coord 9”52'85,32"N 84”38'75.74"W</t>
  </si>
  <si>
    <t>Inundación en carretera, con paso intermitente según el nivel del agua</t>
  </si>
  <si>
    <t>Ruta 34 SC 60120 Km Según coordenada (puntual) Coord 9°31'56.5"N 84°16'28.2"W</t>
  </si>
  <si>
    <t xml:space="preserve">Inundación,  rio parrita hacia Damas </t>
  </si>
  <si>
    <t xml:space="preserve">Colapso de muro de retención, entre la entrada a la ruta 320 hacia parrita </t>
  </si>
  <si>
    <t>Muro de retención, para establizar</t>
  </si>
  <si>
    <t>Hacia Bijagual</t>
  </si>
  <si>
    <t>Ruta 301 SC 60592 Coord A todo lo largo de la sección</t>
  </si>
  <si>
    <t>totalmente inundada, aproximación a ruta 34 hacia bijagual</t>
  </si>
  <si>
    <t>Ruta 34 SC 60120 Coord 9°31'43.9"N 84°15'52.0"W</t>
  </si>
  <si>
    <t>Relleno erosionda, inundación</t>
  </si>
  <si>
    <t>Ruta 34 SC 60120</t>
  </si>
  <si>
    <t>obstruccion de carril, con material en la vía</t>
  </si>
  <si>
    <t>Vasconia</t>
  </si>
  <si>
    <t>Ruta 609 SC 60532 Km 1.1   km Coord 9°36'30.5"N 84°18'33.6"W</t>
  </si>
  <si>
    <t xml:space="preserve">Presenta Tramo entre Playon y Vasconia Arrasado por la escorrentia del Río Parrita con el colapso total de el relleno y la calzada en un tramo 1100 m. Se encuentra incomunicada la localidad de Vasconia, San Rafael, Fila del Aguacate. Ruta inundada parcialmente en algunos sectores con una longitud de aproximadamente 2 kilómetros, canales y cunetas sedimetados por esta circunstancia. </t>
  </si>
  <si>
    <t>Se construye paso  paso provisional para comunicar a las comunidades indicadas con Parrita para dotarlos de los servicios básicos.  Colocación de material en el tramo indicado. Limpieza de canales y cunetas y alcantarillas. Reconstrucción de tuberías y cabezales, delantales, limpieza de escombros. En los 2.0 kilómetros de calzada inundada llevar a cabo  la colocación de sub base. Conformación de las cunetas inundadas y en consecuencia obstruidas. Limpieza de canales sedimentados  por la inundación 
Se atiende por imprevisibilidad</t>
  </si>
  <si>
    <t>La Palma-La julieta</t>
  </si>
  <si>
    <t>Ruta 609 SC 60531 Km A todo lo largo de las seccion Coord A lo largo de la seccion</t>
  </si>
  <si>
    <t xml:space="preserve">Erosión del material de la calzada por la inundación y escorrentia pluvial.  Alcantarillas y cabezales con sus rellenos colapsados 
</t>
  </si>
  <si>
    <t>Colocacion de material de sub base  y limpieza de las estructuras de drenaje. Se atiende con la imprevisibilidad establecida en la otra seccion de la misma ruta.</t>
  </si>
  <si>
    <t>Playon - Vasconia</t>
  </si>
  <si>
    <t>Ruta 609 SC 60532</t>
  </si>
  <si>
    <t>Presenta Tramo entre Playon y Vasconia Arrasado por la escorrentia del Río Parrita con el colapso total de el relleno y la calzada en un tramo 1100 m. Se encuentra incomunicada la localidad de Vasconia, San Rafael, Fila del Aguacate</t>
  </si>
  <si>
    <t>Reconstruccion de la Ruta Nacional No.- 609 y reconstruccion del cauce en ese sector (No incluye montos a pagar por expropiaciones en caso del nuevo alineamiento o trazado horizaontal)</t>
  </si>
  <si>
    <t>San Martin, Pueblo Nuevo, Palmital, Buena Vista y La Piedra</t>
  </si>
  <si>
    <t>Ruta 323 SC 11000 Km 0+440</t>
  </si>
  <si>
    <t>Lavado en un tramo de 150 metros sobre Base Granular colocada</t>
  </si>
  <si>
    <t>Reconformación de un carrill, con saneo de capa de material de prestamo, conformación de Capa de Base y limpieza de cuneta lateral</t>
  </si>
  <si>
    <t>Guadalupe, Chimirol, Rivas</t>
  </si>
  <si>
    <t>Ruta 242 SC 10540 Km 2+1110</t>
  </si>
  <si>
    <t>Derrumbes en la Vía</t>
  </si>
  <si>
    <t>Remoción de Derrumbes</t>
  </si>
  <si>
    <t xml:space="preserve">San Rafael, Bolivia, Las Mesas, Mollejones </t>
  </si>
  <si>
    <t>Ruta 329 SC 10851 Km 1+200</t>
  </si>
  <si>
    <t>Paramo</t>
  </si>
  <si>
    <t>Siberia, Auxiliadora, División Hortensia Jardín</t>
  </si>
  <si>
    <t>Ruta 2 SC 10020 Km 101+350</t>
  </si>
  <si>
    <t>Ruta 2 SC 10010 Km 110+000</t>
  </si>
  <si>
    <t>San Rafael Norte, La Ese</t>
  </si>
  <si>
    <t>Ruta 2 SC 10010 Km 127+000</t>
  </si>
  <si>
    <t>Pacuarito, Platanilo, Barú, Dominical</t>
  </si>
  <si>
    <t>Ruta 243 SC 10941 Km 9+300</t>
  </si>
  <si>
    <t>Ruta 243 SC 10941 Km 11+000</t>
  </si>
  <si>
    <t>Pejivalle</t>
  </si>
  <si>
    <t>Pejiballe, El Águila, Las Mesas</t>
  </si>
  <si>
    <t>Ruta 244 SC 10832 Km 9+700</t>
  </si>
  <si>
    <t>Ruta 244 SC 10832 Km 9+200-16+300</t>
  </si>
  <si>
    <t xml:space="preserve">Cajón </t>
  </si>
  <si>
    <t>Santa Teresa, San Ignacio, San Fransisco, Quizarrá</t>
  </si>
  <si>
    <t>Ruta 326 SC 10882 Km 7+700</t>
  </si>
  <si>
    <t>Ruta 326 SC 10882 Km 11+300</t>
  </si>
  <si>
    <t>Socavación en bastión  2</t>
  </si>
  <si>
    <t>Refuerzo de relleno y escollera</t>
  </si>
  <si>
    <t>San Pedro, San Gerónimo, La Unión , San Rafael</t>
  </si>
  <si>
    <t>Ruta 327 SC 10891 Km 0+225</t>
  </si>
  <si>
    <t>Ruta 327 SC 10892 Km 8+200</t>
  </si>
  <si>
    <t>Socavación en bastión  1 y 2</t>
  </si>
  <si>
    <t>Ruta 329 SC 10851 Km 1+400</t>
  </si>
  <si>
    <t>Pedregoso,  Santa Rosa, San Ramón, Villa Nueva, San Cayetano, Savegre</t>
  </si>
  <si>
    <t>Ruta 328 SC 10121 Km 1+200</t>
  </si>
  <si>
    <t>Ruta 328 SC 11330 Km 3+900</t>
  </si>
  <si>
    <t>Sedimentos por arrastramiento en cunetas</t>
  </si>
  <si>
    <t>Limpieza de sedimentos</t>
  </si>
  <si>
    <t>Ruta 243 SC 10941 Km 7+500</t>
  </si>
  <si>
    <t>Villa Mills, La Auxiliadora, División El Jardín, San Isidro del General</t>
  </si>
  <si>
    <t>Árbol en la vía</t>
  </si>
  <si>
    <t>Se requiere  remoción del árbol para habilitar paso</t>
  </si>
  <si>
    <t>Mollejones, Pejiballe</t>
  </si>
  <si>
    <t>Ruta 244 SC 10831 Km 4+800</t>
  </si>
  <si>
    <t>Se requiere  remoción del árbol</t>
  </si>
  <si>
    <t>Mollejones, Pejiballe, Platanares, El Aguila</t>
  </si>
  <si>
    <t>Ruta 244 SC 10831 Km 2+450</t>
  </si>
  <si>
    <t>Derrumbes en la Vía y postes del tendido electrico afectados, varios derrumbes a lo largo de la vía</t>
  </si>
  <si>
    <t>Ruta 328 SC 11330 Km 3+000</t>
  </si>
  <si>
    <t xml:space="preserve">Socavación por cecida en bastión </t>
  </si>
  <si>
    <t>Ruta 2 SC 10010 Km 130+286</t>
  </si>
  <si>
    <t>Derrumbe en la vía</t>
  </si>
  <si>
    <t>Santa Rosa, San Cayetano, Savegre, San Antonio, Río Nuevo</t>
  </si>
  <si>
    <t>Ruta 328 SC 10121 Km 14+86</t>
  </si>
  <si>
    <t>Pejivballe</t>
  </si>
  <si>
    <t>Ruta 244 SC 10832 Km 11+200</t>
  </si>
  <si>
    <t>Agua sobre el puente</t>
  </si>
  <si>
    <t>Esperar que baje el nivel de agua para evaluar estructura</t>
  </si>
  <si>
    <t>San Pedro, La Unión, Santa Ana, Volcan, Buenos Aires</t>
  </si>
  <si>
    <t>Ruta 2 SC 10001 Km 160+500</t>
  </si>
  <si>
    <t>Aparente socavación de bastión y pilas</t>
  </si>
  <si>
    <t>San Ramón Norte, Santa Eduviges, Santo Tomas</t>
  </si>
  <si>
    <t>Ruta 335 SC 11060 Km 2+500</t>
  </si>
  <si>
    <t>San Ramón Norte, La Ese</t>
  </si>
  <si>
    <t>Ruta 325 SC 10590</t>
  </si>
  <si>
    <t>Alcantarilla no da abasto</t>
  </si>
  <si>
    <t>Reacondicionemiento de la superficie</t>
  </si>
  <si>
    <t>Ruta 2 SC 10010 Km 129+030</t>
  </si>
  <si>
    <t>Remoción de Derrumbes, y descuaje de 3 arboles</t>
  </si>
  <si>
    <t>Ruta 2 SC 10010 Km 128+228</t>
  </si>
  <si>
    <t>Remoción de árboles</t>
  </si>
  <si>
    <t>Ruta 2 SC 10010 Km 127+150</t>
  </si>
  <si>
    <t>San Rafael Norte, La Ese, La Hortensia, Jardín, División</t>
  </si>
  <si>
    <t>Ruta 2 SC 10020 Km 125+300</t>
  </si>
  <si>
    <t>Ruta 2 SC 10020 Km 123+152</t>
  </si>
  <si>
    <t>Ruta 2 SC 10020 Km 123+200</t>
  </si>
  <si>
    <t>Hundimiento en un carril, grieta longitudinal</t>
  </si>
  <si>
    <t>Drenaje, estabilización y reconstrucción</t>
  </si>
  <si>
    <t>Gan Gerardo, Chimirol, Guadalupe, Canaan</t>
  </si>
  <si>
    <t>Ruta 242 SC 10540 Km 8+500</t>
  </si>
  <si>
    <t>Derrumbe en la vía, tres derrumbes importantes en la vía</t>
  </si>
  <si>
    <t>Ruta 242 SC 10540 Km 9+200</t>
  </si>
  <si>
    <t>Remoción de 3 arboles caídos</t>
  </si>
  <si>
    <t>Ruta 2 SC 10020 Km 122+960</t>
  </si>
  <si>
    <t>Derrumbe a un lado de la vía</t>
  </si>
  <si>
    <t>Ruta 2 SC 10020 Km 123+040</t>
  </si>
  <si>
    <t xml:space="preserve">Derrumbe a un lado de la vía </t>
  </si>
  <si>
    <t>Ruta 2 SC 10020 Km 124+350</t>
  </si>
  <si>
    <t>Limpieza de las cunetas</t>
  </si>
  <si>
    <t>Ruta 2 SC 10020 Km 124+400</t>
  </si>
  <si>
    <t>Derrumbe en un carril</t>
  </si>
  <si>
    <t>Ruta 2 SC 10020 Km 124+780</t>
  </si>
  <si>
    <t>Ruta 2 SC 10020 Km 124+900</t>
  </si>
  <si>
    <t>Ruta 2 SC 10020 Km 125+500</t>
  </si>
  <si>
    <t>Remoción de derrumbes y limpieza</t>
  </si>
  <si>
    <t>Ruta 2 SC 10020 Km 125+600</t>
  </si>
  <si>
    <t>Derrumb en cuneta</t>
  </si>
  <si>
    <t>Limpieza y remoción de derrumbe  en cuneta</t>
  </si>
  <si>
    <t>Ruta 2 SC 10010 Km 126+200</t>
  </si>
  <si>
    <t>Derrumbe y arboles caídos</t>
  </si>
  <si>
    <t>Limpieza y remoción de derrumbe y descuaje de 4 arboles</t>
  </si>
  <si>
    <t>Ruta 2 SC 10010 Km 126+950</t>
  </si>
  <si>
    <t>Limmpieza y remoción del derrumbe</t>
  </si>
  <si>
    <t>Ruta 2 SC 10010 Km 127+430</t>
  </si>
  <si>
    <t>Limpieza y remoción del derrumbe</t>
  </si>
  <si>
    <t>Ruta 2 SC 10010 Km 128+110</t>
  </si>
  <si>
    <t>Ruta 2 SC 10010 Km 128+430</t>
  </si>
  <si>
    <t>Derrumbe en la vía y arbol caído</t>
  </si>
  <si>
    <t>Limpieza y remoción del derrumbe y descuaje de arbol</t>
  </si>
  <si>
    <t>Ruta 2 SC 10010 Km 129+400</t>
  </si>
  <si>
    <t>Ruta 2 SC 10010 Km 130+130</t>
  </si>
  <si>
    <t>Ruta 2 SC 10010 Km 130+320</t>
  </si>
  <si>
    <t>Derrumbe en la vía y arboles</t>
  </si>
  <si>
    <t>Limpieza, remoción del derrumbe y descuaje  de árboles</t>
  </si>
  <si>
    <t>Ruta 2 SC 10010 Km 130+600</t>
  </si>
  <si>
    <t xml:space="preserve">Caída de árboles </t>
  </si>
  <si>
    <t>Ruta 2 SC 10010 Km 130+930</t>
  </si>
  <si>
    <t>Descuaje de al menos 8 árboles</t>
  </si>
  <si>
    <t>Ruta 2 SC 10010 Km 132+100</t>
  </si>
  <si>
    <t xml:space="preserve">Descuaje y remoción de al menos 15 arboles </t>
  </si>
  <si>
    <t>Ruta 2 SC 10010 Km 132+700</t>
  </si>
  <si>
    <t>Grietas transversales en la calzada con undimineto , con evidencia de afloramientos de agua carretera abajo</t>
  </si>
  <si>
    <t>Drenaje, estabilización y reconstruccion del tramo aproximadamente 50 metros</t>
  </si>
  <si>
    <t>La Fortuna - Zapotal (Cruce Begonia)</t>
  </si>
  <si>
    <t>Ruta 333 SC 11080 Km 6+400</t>
  </si>
  <si>
    <t xml:space="preserve">Se está formando un deslizamiento perpendicular a la calzada </t>
  </si>
  <si>
    <t xml:space="preserve">Drenaje, estabilización y reconstruccion del tramo </t>
  </si>
  <si>
    <t>Zapotal- San Geronimo</t>
  </si>
  <si>
    <t>Ruta 333 SC 11090 Km 2+500</t>
  </si>
  <si>
    <t xml:space="preserve">Hundimiento </t>
  </si>
  <si>
    <t xml:space="preserve">Drenaje, estabilización y relleno  del tramo </t>
  </si>
  <si>
    <t>Ruta 333 SC 11090 Km 5+000</t>
  </si>
  <si>
    <t>Lavado de estructura de camino</t>
  </si>
  <si>
    <t>Relleno y Reconstrucción de la calzada</t>
  </si>
  <si>
    <t xml:space="preserve">Juntas de Pacuar </t>
  </si>
  <si>
    <t>Ruta 2 SC 10001 Km 162+000</t>
  </si>
  <si>
    <t>Derrumbe de Gran tamaño Aprox. 4000m3</t>
  </si>
  <si>
    <t>Aguila Abajo/ Puntarenas Quebrada Pavona</t>
  </si>
  <si>
    <t>Ruta 331 SC 10860 Km 5+300-7+400</t>
  </si>
  <si>
    <t>Ruta 331 SC 10860 Km 7+400</t>
  </si>
  <si>
    <t>Pérdida del Carril</t>
  </si>
  <si>
    <t>Ruta 331 SC 10860 Km 4+400</t>
  </si>
  <si>
    <t>Hundimiento</t>
  </si>
  <si>
    <t xml:space="preserve">Santa Ana, San Pedro </t>
  </si>
  <si>
    <t>Ruta 2 SC 10001 Km 164+545</t>
  </si>
  <si>
    <t>Deformación en muro de gaviones</t>
  </si>
  <si>
    <t xml:space="preserve">Reconstrucción del muro de gaviones </t>
  </si>
  <si>
    <t>Ruta 2 SC 10001 Km 163+876</t>
  </si>
  <si>
    <t>Remoción y limpieza de derrumbes</t>
  </si>
  <si>
    <t>Santa Teresa, Quizarrá</t>
  </si>
  <si>
    <t>Ruta 326 SC 10882 Km 2+500</t>
  </si>
  <si>
    <t>Alcantarilla totalmente obstruida</t>
  </si>
  <si>
    <t>Limpieza de alcantarilla</t>
  </si>
  <si>
    <t>Pueblo Nuevo, Palmital, San Martín, La Piedra</t>
  </si>
  <si>
    <t>Ruta 323 SC 11000 Km 1+500</t>
  </si>
  <si>
    <t>Camino completamente colapsado producto de una socavación generada por el río que pasa paralelo al sitio</t>
  </si>
  <si>
    <t>Relleno , estabilización para reconstrir el camino</t>
  </si>
  <si>
    <t>La Amistas</t>
  </si>
  <si>
    <t>San Antonio, China Kichá</t>
  </si>
  <si>
    <t>Ruta 332 SC 11030 Km 10+865-12+665</t>
  </si>
  <si>
    <t>Derrumbes en la cuneta</t>
  </si>
  <si>
    <t>Limpieza y remoción de derrumbes</t>
  </si>
  <si>
    <t>Pejiballe</t>
  </si>
  <si>
    <t>Ruta 331 SC 10860 Km 3+400</t>
  </si>
  <si>
    <t>Vado con 5 alcantarillas no dan abasto y rellenos de aproximación socavados</t>
  </si>
  <si>
    <t>Colocación de alcanrtarillas de mayor capacidad en Vado</t>
  </si>
  <si>
    <t>Ruta 331 SC 10860 Km 8+000</t>
  </si>
  <si>
    <t xml:space="preserve">Perdida de carril izquierdo longitud de 50 m </t>
  </si>
  <si>
    <t xml:space="preserve">Molivizacion de trazo del camino hacia la derecha </t>
  </si>
  <si>
    <t xml:space="preserve">Se levantó la calzada </t>
  </si>
  <si>
    <t>Reacondicionemiento de  l superficie, para nivelar el tramo.</t>
  </si>
  <si>
    <t>Siberia, La Auxiliadora, División, Macho Mora</t>
  </si>
  <si>
    <t>Ruta 2 SC 10020 Km 104+500</t>
  </si>
  <si>
    <t>Caída de material y rocas sobre la carretera</t>
  </si>
  <si>
    <t>Remoción y limpieza de derrumbes, remoción de rocas.</t>
  </si>
  <si>
    <t>Ruta 2 SC 10020 Km 105+000</t>
  </si>
  <si>
    <t>Caida de material y rocas sobre la vía</t>
  </si>
  <si>
    <t>Ruta 323 SC 11000 Km 1+560</t>
  </si>
  <si>
    <t>Pérdida de la alcantarilla por socavación del río</t>
  </si>
  <si>
    <t>Remplazo de paso de alcantarillas</t>
  </si>
  <si>
    <t>San Jeronimo, Zapotal</t>
  </si>
  <si>
    <t>Ruta 333 SC 11090 Km 11+950</t>
  </si>
  <si>
    <t>Perdida de alcantarilla por acción del río</t>
  </si>
  <si>
    <t>San Cayetano, Savegre Abajo</t>
  </si>
  <si>
    <t>Ruta 328 SC 10121 Km 11+800</t>
  </si>
  <si>
    <t>Perdida de alcantarillas por deslizamiento de la vía</t>
  </si>
  <si>
    <t>Santa Eduviges, Los Ángeles</t>
  </si>
  <si>
    <t>Ruta 335 SC 11060 Km 10+800</t>
  </si>
  <si>
    <t>Ruta 335 SC 11070 Km 14+325</t>
  </si>
  <si>
    <t>Perdida del camino en un tramo</t>
  </si>
  <si>
    <t>General Viejo, Rivas, Miraflores</t>
  </si>
  <si>
    <t>Ruta 322 SC 10551 Km 1+276</t>
  </si>
  <si>
    <t>Lavado de estructura de camino y colapso de drenajes</t>
  </si>
  <si>
    <t>Reconstrucción de camino y sistemas de drenaje</t>
  </si>
  <si>
    <t>Ruta 335 SC 11060 Km 9+600</t>
  </si>
  <si>
    <t>Pérdida de carril en un tramo</t>
  </si>
  <si>
    <t>Construccion de muro y banqueo de material</t>
  </si>
  <si>
    <t>Ruta 335 SC 11060 Km 10+000</t>
  </si>
  <si>
    <t>Ruta 335 SC 11060 Km 11+000</t>
  </si>
  <si>
    <t>Ruta 335 SC 11060 Km 3+000/5+000/6+000/7+000</t>
  </si>
  <si>
    <t>Realizar banqueos, para recuperar carril</t>
  </si>
  <si>
    <t>Ruta 335 SC 11060 Km 15+000</t>
  </si>
  <si>
    <t>Alcantarilla sin capacidad y con obstrucción</t>
  </si>
  <si>
    <t xml:space="preserve">Aunmentar diámetro de alcantarilla de 1,22 m a 2,2 m </t>
  </si>
  <si>
    <t>Ruta 335 SC 11060 Km 9+100-10+000</t>
  </si>
  <si>
    <t xml:space="preserve">Pérdida de cabezales por reemplazo de tuberia </t>
  </si>
  <si>
    <t>Construcción de 5 cabezales</t>
  </si>
  <si>
    <t>Ruta 335 SC 11070 Km 11+000-12+000</t>
  </si>
  <si>
    <t>Construccion de 5 cabezales</t>
  </si>
  <si>
    <t>Ruta 2 SC 10020 Km 107+000</t>
  </si>
  <si>
    <t>Hundimiento en carril</t>
  </si>
  <si>
    <t>Relleno, reconstrucción y recarpeteo del carril</t>
  </si>
  <si>
    <t>Ruta 2 SC 10020 Km 118+000</t>
  </si>
  <si>
    <t>Hundimiento en un carril</t>
  </si>
  <si>
    <t>Ruta 2 SC 10020 Km 115+000</t>
  </si>
  <si>
    <t>Ruta 2 SC 10020 Km 116+400</t>
  </si>
  <si>
    <t>Remocion de derrumbes y limpieza.</t>
  </si>
  <si>
    <t>Chilamante</t>
  </si>
  <si>
    <t>Ruta 723 SC 20572 Km 3+900 Coord 10.050383, 84.265289</t>
  </si>
  <si>
    <t>Ruta 107 SC 20390 Km 9600 Coord 10.084335 N, 84,250107 W</t>
  </si>
  <si>
    <t>Ruta 132 SC 60730 Km 1+050</t>
  </si>
  <si>
    <t>JUDAS</t>
  </si>
  <si>
    <t>Ruta 1 SC 60240 Km 113+600</t>
  </si>
  <si>
    <t>Ruta 17 SC 60190 Km 0+500 Coord 9.992616,-84.7052768</t>
  </si>
  <si>
    <t>REMOCION DE DERRUMBES - ATENDIDO CON BRIGADA LICITACION 17</t>
  </si>
  <si>
    <t>Ruta 1 SC 60240 Km 108+100 Coord 10.093862,-84.798637</t>
  </si>
  <si>
    <t>Ruta 603 SC 60720 Km 2+950 Coord 10.074353,-84.884300</t>
  </si>
  <si>
    <t>ARBOL CAIDO</t>
  </si>
  <si>
    <t>ATENCIÓN MEDIANTE CUADRILLA DEL MOPT O AUTORIZACIÓN ATENCIÓN BRIGADA LICITACIÓN 16</t>
  </si>
  <si>
    <t>Ruta 603 SC 60720 Km 3+420 Coord 10.071219,-84.880165</t>
  </si>
  <si>
    <t>DESBORDAMIENTO QUEDRADA</t>
  </si>
  <si>
    <t>SE REQUIERE QUE BAJE NIVELES PARA  VALORACIÓN DE ESTRUCTURAS DE ALCANTARILLA DE CUADRO</t>
  </si>
  <si>
    <t>Ruta 606 SC 60682 Km 18+300 Coord 10.215257,-84.853912</t>
  </si>
  <si>
    <t>REMOCION DERRUMBE</t>
  </si>
  <si>
    <t>REMOCION DE DERRUMBES</t>
  </si>
  <si>
    <t>MIRAMAR-ARANJUEZ</t>
  </si>
  <si>
    <t>Ruta 1 SC 60240 Km 98+000 A 107+300 Coord -</t>
  </si>
  <si>
    <t>RESERVA MONTEVERDE</t>
  </si>
  <si>
    <t xml:space="preserve">Ruta 620 SC 60152 Km 3+740 Coord 10.304703,-84.808932 </t>
  </si>
  <si>
    <t>REMOCION DE DERRUMBES Y ARBOLES SOBRE CALZADA, EN EL  ESTACIONAMIENTOS EN MENCION</t>
  </si>
  <si>
    <t>SAN GERARDO</t>
  </si>
  <si>
    <t>Ruta 601 SC 60741 Km 32+640 Coord 10.74800,-84.573700</t>
  </si>
  <si>
    <t>DEFORMACIÓN,CANALIZACIÓN Y LAVADO DE MATERIAL DE  ESTRUCTURA. RECONSTRUCCIÓN SISTEMA DE DRENAJE. NO ES TRANSITABLE POR SATURACION DE SUELOS</t>
  </si>
  <si>
    <t>CONFORMACIÓN, COLOCACIÓN DE SUBRASANTE, SUBBASE,BASE, RECONSTRUCCIÓN DE SISTEMAS DE DRENAJES</t>
  </si>
  <si>
    <t>Ruta 601 SC 60742 Km 32+640 Coord 10.74800,-84.573700</t>
  </si>
  <si>
    <t>ARIZONA</t>
  </si>
  <si>
    <t>Ruta 602 SC 60750 Km TODAS LAS SECCIONES DE CONTROL 51010 y 60750</t>
  </si>
  <si>
    <t>DEFORMACIÓN,CANALIZACIÓN Y LAVADO DE MATERIAL DE  ESTRUCTURA. RECONSTRUCCIÓN SISTEMA DE DRENAJE. NO ES TRANSITABLE POR SATURACION DE SUELOS Y DEFORMACION DE LA SUPERFICIE DE RUEDO</t>
  </si>
  <si>
    <t xml:space="preserve">CONFORMACIÓN, COLOCACIÓN DE SUBRASANTE, SUBBASE,BASE, RECONSTRUCCIÓN DE SISTEMAS DE DRENAJES. SE REALIZA INTERVENCION POR IMPREVISIBILIDAD POR LA CONSTRUCTORAALSO FRUTALES S.A. </t>
  </si>
  <si>
    <t>Ruta 604 SC 60660 Km TODAS LAS SECCIONES DE CONTROL 60660, 60650, 60830</t>
  </si>
  <si>
    <t xml:space="preserve">CONFORMACIÓN, COLOCACIÓN DE SUBRASANTE, SUBBASE,BASE, RECONSTRUCCIÓN DE SISTEMAS DE DRENAJES. SE REALIZA INTERVENCION POR IMPREVISIBILIDAD POR LA CONSTRUCTORA HERNAN SOLIS </t>
  </si>
  <si>
    <t>Ruta 620 SC 60152 Km 5+130 Coord 10°17.978´N, 84°47.853´O</t>
  </si>
  <si>
    <t>SE REQUIERE SOLICITAR IMPREVISIBILIDAD O BIEN AMPLIAR LA EXISTENTE APROBADA EN LA RUTA NACIONAL NO.620. SE PRESENTA UN DESLIZAMIENTOE INESTABILIDAD DE TALUD, QUE PROVOCA EL CIERRE PARCIAL DE LA RUTA, MANTENIENDOSE CERRADA POR EL ESCASO ANCHO DE LA RUTA PARA EL PASO VEHICULAR. EL CONTRATISTA ACTUAL DE LA IMPREVISIBILIDAD DE LA RUTA NACIONAL 620 PRESENTARA DISEÑO Y PROPUESTA DE INTERVENCIÓN, PARA REVISIÓN Y APROBACIÓN POR LA ADMINISTRACIÓN.</t>
  </si>
  <si>
    <t>Ruta 619 SC 60070 Km 0+020 Coord 10.323.921           -84.843.032</t>
  </si>
  <si>
    <t xml:space="preserve">Alcantarilla Obstruida </t>
  </si>
  <si>
    <t xml:space="preserve">Limpieza de alcantarillas </t>
  </si>
  <si>
    <t xml:space="preserve">Santa ELENA </t>
  </si>
  <si>
    <t>Ruta 619 SC 60070 Km 0+655 Coord 10.327.209           -84.819.997</t>
  </si>
  <si>
    <t xml:space="preserve">Lado derecho </t>
  </si>
  <si>
    <t>Ruta 21 SC 60761</t>
  </si>
  <si>
    <t>Ruta 21 SC 60762</t>
  </si>
  <si>
    <t>Ruta 21 SC 60780</t>
  </si>
  <si>
    <t>Ruta 160 SC 60871</t>
  </si>
  <si>
    <t>Ruta 160 SC 60872</t>
  </si>
  <si>
    <t>Ruta 160 SC 60873</t>
  </si>
  <si>
    <t>Ruta 623 SC 60940</t>
  </si>
  <si>
    <t>Ruta 163 SC 60922</t>
  </si>
  <si>
    <t>Calzada dañada, árbol caído</t>
  </si>
  <si>
    <t>Relastreo, reacondicionamiento de la calzada, descuaje de árboles</t>
  </si>
  <si>
    <t>Ruta 163 SC 60921</t>
  </si>
  <si>
    <t>Ruta 160 SC 60874</t>
  </si>
  <si>
    <t>Ruta 137 SC 10821 Km 9+100 Coord 9°52´23.3”N 84°22´45.6”W</t>
  </si>
  <si>
    <t>Ruta 324 SC 10970 Km 1+000 Coord -</t>
  </si>
  <si>
    <t>Deslizamiento de tramo de calzada</t>
  </si>
  <si>
    <t>Estudio, Diseño y construcción de muro de contención e instalación de paso de alcantarilla transversal</t>
  </si>
  <si>
    <t>Salitrales - La Gloria</t>
  </si>
  <si>
    <t>Ruta 239 SC 10511 Km 42+750 a 63+920 Coord -</t>
  </si>
  <si>
    <t>Remoción de los derrumbes y conformación de calzada y cunetas laterales con maquinartia</t>
  </si>
  <si>
    <t>Cerbatana - la Palma</t>
  </si>
  <si>
    <t>Ruta 239 SC 10501 Km 24+005 a 40+140 Coord 9°79´38.5”N 84°39´87.2”W</t>
  </si>
  <si>
    <t xml:space="preserve">Barrio Carit -Desamparaditos </t>
  </si>
  <si>
    <t>Ruta 136 SC 11250 Km 21+860 a 25+295 Coord 9°86´81.4”N 84°33´61.2”W</t>
  </si>
  <si>
    <t>Junquillo - Pedernal</t>
  </si>
  <si>
    <t>Ruta 317 SC 10051 Km 1+000 a 3+800</t>
  </si>
  <si>
    <t>Ruta 317 SC 10052 Km 7+480</t>
  </si>
  <si>
    <t>Hundimiento de Junquillo</t>
  </si>
  <si>
    <t>Ruta 239 SC 10501 Km 23+250 Coord 9°83´28.9”N 84°2´33.6”W</t>
  </si>
  <si>
    <t>Se activó una falla geológica existente y produjo un hundimiento importante</t>
  </si>
  <si>
    <t>Se requiere estabilizar el terreno mediante la rehabilitación del tramo</t>
  </si>
  <si>
    <t>Ruta 239 SC 11180 Km 20+070 Coord 9°85´07.2”N 84°30´21.9”W</t>
  </si>
  <si>
    <t>Alto La Palma</t>
  </si>
  <si>
    <t>Ruta 239 SC 10502 Km 39+100</t>
  </si>
  <si>
    <t>Puente Casa</t>
  </si>
  <si>
    <t>Ruta 141 SC 20630 Km 55+900 Coord  10°21'41.41"N, 84°27'5.34"O</t>
  </si>
  <si>
    <t>Falla geotécnica. Agrietamiento de carril sentido 1-2 hacia Florencia. Cierre de carril</t>
  </si>
  <si>
    <t>Reparación provisional en el carril sentido 1-2, sellado de la fisura en la calzada y colocación de demarcación vertical para señalizar el sitio. Reconstrucción del relleno sobre la tubería</t>
  </si>
  <si>
    <t>Ciudad Quesada</t>
  </si>
  <si>
    <t>La Vieja</t>
  </si>
  <si>
    <t>Ruta 141 SC 21550 Km 41+580 Coord  10°16'13.75"N, 84°25'59.84"O</t>
  </si>
  <si>
    <t>Sucre</t>
  </si>
  <si>
    <t>Ruta 141 SC 21550 Km 44+600 Coord  10°17'12.12"N, 84°25'45.20"O</t>
  </si>
  <si>
    <t>Ruta 734 SC 21360 Km 7+300 Coord 10°35'48.97"N 84°42'16.60"W</t>
  </si>
  <si>
    <t>Derrumbe por afectaciones pluviales</t>
  </si>
  <si>
    <t>Remoción de Derrumbres</t>
  </si>
  <si>
    <t>Jicarito</t>
  </si>
  <si>
    <t>Ruta 4 SC 21352 Km 93+800 Coord  10°33'18.03"N   84°45'34.29"W</t>
  </si>
  <si>
    <t>Ruta 141 SC 20682 Km 67+000 Coord   10°22'38.40"N   84°31'55.63"W</t>
  </si>
  <si>
    <t>HATILLO</t>
  </si>
  <si>
    <t>Ruta 39 SC 19094 Km 0,1 Coord 9,9302740/-841167030</t>
  </si>
  <si>
    <t>Desprendimiento de marerial de talud</t>
  </si>
  <si>
    <t>Construcción de muro</t>
  </si>
  <si>
    <t>Ruta 3 SC 20111 Km 3,995 Coord A todo lo largo de la sección</t>
  </si>
  <si>
    <t>REMOCIÓN DE DERRUMBES y DESCUAJE DE ARBOLES</t>
  </si>
  <si>
    <t>Ruta 3 SC 20112 Km 8,22 Coord A todo lo largo de la sección</t>
  </si>
  <si>
    <t>DESMONTE</t>
  </si>
  <si>
    <t>Ruta 3 SC 20111 Km 1+050</t>
  </si>
  <si>
    <t>Alto desmonte</t>
  </si>
  <si>
    <t>La casita del café</t>
  </si>
  <si>
    <t>Ruta 3 SC 20111 Km Según coordenada (puntual) Coord 9”58'46.8"N 84”26'58.5"W</t>
  </si>
  <si>
    <t>Altura Panaca</t>
  </si>
  <si>
    <t>Ruta 3 SC 20111 Km Según coordenada (puntual) Coord 9°56'37.4"N 84°30'37.1"W</t>
  </si>
  <si>
    <t>Ruta 3 SC 20111 Km Según coordenada (puntual) Coord 9°58'11.7"N 84°27'28.3"W</t>
  </si>
  <si>
    <t>Calzada inestable por deslizamiento</t>
  </si>
  <si>
    <t>EL EMPALME</t>
  </si>
  <si>
    <t>Ruta 1 SC 20060 Km 62+000 Coord 10.044157,-84.506393</t>
  </si>
  <si>
    <t>REQUIERE ESTUDIOS GEOTECNICOS. SUSTITUCIÓN DE PASOS DE TUBERÍA, DRENAJES Y LABORES DE RELLENO</t>
  </si>
  <si>
    <t>JESUS MARIA</t>
  </si>
  <si>
    <t xml:space="preserve">Ruta 1 SC 20060 Km 65+075 Coord 10031960,-84.516034 </t>
  </si>
  <si>
    <t>SUSTITUCIÓN DE PASO DE TUBERÍA, DRENAJES Y LABORES DE RELLENO</t>
  </si>
  <si>
    <t xml:space="preserve">Ruta 1 SC 20060 Km 65+100 Coord 10031960,-84.516034 </t>
  </si>
  <si>
    <t>TERRAZAS-EXCAVACIÓN EN LA VIA</t>
  </si>
  <si>
    <t>SE REQUIERE REPLANTEO DE TERRAZAS Y MOVIMIENTO DE TIERRA MASIVO</t>
  </si>
  <si>
    <t xml:space="preserve">Ruta 1 SC 20060 Km 65+600 Coord 10.033563,-84.519549 </t>
  </si>
  <si>
    <t>SUSTITUCIÓN DE RELLENO Y CONSTRUCCIÓN RELELGO GRANULAR</t>
  </si>
  <si>
    <t xml:space="preserve">Ruta 1 SC 20060 Km 63+700 Coord 10.033226, -84.512306 </t>
  </si>
  <si>
    <t>REQUIERE ESTUDIOS GEOTECNICOS y DISEÑO DE MUROS DE CONTENCIÓN. LABORES DE RELLENO</t>
  </si>
  <si>
    <t>LOS CHORROS</t>
  </si>
  <si>
    <t xml:space="preserve">Ruta 1 SC 20060 Km 66+500 Coord 10.035344, -84.524309 </t>
  </si>
  <si>
    <t>DERRUMBE CALZADA</t>
  </si>
  <si>
    <t>SE REMUEVE DERRUMBE PARA VALORACIÓN DE TALUDES Y ESTABILIZACIÓN</t>
  </si>
  <si>
    <t xml:space="preserve">Ruta 1 SC 20060 Km 67+000 Coord 10.034169, -84.528907 </t>
  </si>
  <si>
    <t>SECTOR 3 VÍAS</t>
  </si>
  <si>
    <t xml:space="preserve">Ruta 1 SC 20060 Km 70+000 Coord 10.034981,-84.547818 </t>
  </si>
  <si>
    <t>FALLA DE ALCANTARILLA CORRUGADA Y DESLIZAMIENTO PARALELO A LA RUTA</t>
  </si>
  <si>
    <t>REQUIERE ESTUDIOS GEOTECNICOS y DISEÑO DE MUROS DE CONTENCIÓN. LABORES DE RELLENO. EN RIESGO CALZADA POR FALLAS LONGITUDINALES</t>
  </si>
  <si>
    <t xml:space="preserve">Ruta 1 SC 20060 Km 61+000 Coord 10.053403,  -84.504166 </t>
  </si>
  <si>
    <t>REQUIERE ESTUDIOS GEOTECNICOS. LABORES DE RELLENO. EN RIESGO CALZADA POR FALLAS LONGITUDINALES</t>
  </si>
  <si>
    <t>Llano Brenes</t>
  </si>
  <si>
    <t>Ruta 713 SC 20742 Km 8+845 Coord 10.8.015 N, 84.28.8.489 W</t>
  </si>
  <si>
    <t>Piedades</t>
  </si>
  <si>
    <t>Ruta 742 SC 20770 Km 46650 Coord 10.8.5.798, 84.30.16805 W</t>
  </si>
  <si>
    <t>El Tanque</t>
  </si>
  <si>
    <t>Ruta 703 SC 20231 Km 4200 Coord 10.76,96838 N, 84.27.42115</t>
  </si>
  <si>
    <t>Rincon de Mora</t>
  </si>
  <si>
    <t>Ruta 713 SC 20742 Km 5600 Coord 10.2.24.780N, 84.28.19.17 W</t>
  </si>
  <si>
    <t>Ruta 713 SC 20742 Km 8600 Coord 10°.1" 43.128" N, 84°.28"22.647"</t>
  </si>
  <si>
    <t>Ruta 713 SC 20742 Km 8800 Coord 10°.1" 45.143" N, 84°.28"10.513"</t>
  </si>
  <si>
    <t>Ruta 713 SC 20742 Km 10400 Coord 10°.1" 0.333" N, 84°.28"9.252"</t>
  </si>
  <si>
    <t>Ruta 702 SC 20830 Km 18100 Coord 10°.12" 2.52894" N, 84°.31"24,10091"</t>
  </si>
  <si>
    <t>Arbol caído</t>
  </si>
  <si>
    <t>Cotar y mover árbol de  la  calzada</t>
  </si>
  <si>
    <t>Ruta 702 SC 20820 Km 4100 Coord 10°.718,87643" N, 84°.28"22,12452"</t>
  </si>
  <si>
    <t>San Ramon</t>
  </si>
  <si>
    <t>Ruta 135 SC 20242 Km 4450 Coord 10°.4"32.41088" N, 84°.27"12.68212"</t>
  </si>
  <si>
    <t>Piedades Sur</t>
  </si>
  <si>
    <t>Ruta 742 SC 20770 Km 49000 Coord 10°.6" 53 N, 84°.31" 6"</t>
  </si>
  <si>
    <t>Ruta 703 SC 20232 Km 4200 Coord 10°.7" 9.23119" N, 84°.27" 41.87308 " E</t>
  </si>
  <si>
    <t>Ruta 703 SC 20232 Km 10000 Coord 10°.9" 12,14362" N, 84°.26" 52,09936 " E</t>
  </si>
  <si>
    <t>Ruta 702 SC 20830 Km 12500 Coord 10°.7" 19" N, 84°.28"22"</t>
  </si>
  <si>
    <t>Ruta 702 SC 20830 Km 14900 Coord 10°.10" 85" N, 84°.30"25"</t>
  </si>
  <si>
    <t>Cataratas</t>
  </si>
  <si>
    <t>Ruta 702 SC 20830 Km 18300 Coord 10°.12" 3" N, 84°.31"24"</t>
  </si>
  <si>
    <t>Ruta 702 SC 20830 Km 19540 Coord 10°.12" 10" N, 84°.32"5"</t>
  </si>
  <si>
    <t>Ruta 702 SC 20830 Km 22000 Coord 10°.12" 14" N, 84°.32"1"</t>
  </si>
  <si>
    <t>Ruta 702 SC 20830 Km 22900 Coord 10°.12" 43" N, 84°.32"24"</t>
  </si>
  <si>
    <t>Ruta 135 SC 20242 Km 2400 Coord 10°.4".56.77266"  N, 84°.27" 43,07317"</t>
  </si>
  <si>
    <t>Ruta 742 SC 20770 Km 46500 Coord 10°.6" 28495 N, 84°.30" 11,92266"</t>
  </si>
  <si>
    <t>El Salvador</t>
  </si>
  <si>
    <t>Carrera Buena</t>
  </si>
  <si>
    <t>Ruta 742 SC 20791 Km 25460 Coord 10°.5.48 N, 84°.37.43"</t>
  </si>
  <si>
    <t>Ruta 742 SC 20791 Km 22260 Coord 10°.6.47 N, 84°.38.49"</t>
  </si>
  <si>
    <t>Ruta 742 SC 20791 Km 19700 Coord 10°.0".16 N, 84°.38".25"E</t>
  </si>
  <si>
    <t xml:space="preserve">Caida  arboles con   gran material en   la calzada </t>
  </si>
  <si>
    <t>Maquinaria (Retroexcavadora , vagonetas)  para limpiar el derrumbe</t>
  </si>
  <si>
    <t>Ruta 1 SC 20050 Km 0+090 Coord 10,06168/-084,45288</t>
  </si>
  <si>
    <t>Árbol sobre la vía</t>
  </si>
  <si>
    <t>Ruta 1 SC 20050 Km 1+850 Coord -0,119327580260504</t>
  </si>
  <si>
    <t>Ruta 1 SC 20060 Km 10+000 Coord 010,03184/-84,57256</t>
  </si>
  <si>
    <t>Ruta 1 SC 20060 Km 11+500 Coord -0,118688785838948</t>
  </si>
  <si>
    <t>Ruta 1 SC 20060 Km 14+000 Coord 010,03327/-084,55878</t>
  </si>
  <si>
    <t>Ruta 1 SC 20060 Km 9+500 Coord 10,03356/-084,51968</t>
  </si>
  <si>
    <t>Deslizamiento y desprendimeinto de la calzada</t>
  </si>
  <si>
    <t>Muros de gaviones, relleno, diseños</t>
  </si>
  <si>
    <t>Portegolpe - Caimito</t>
  </si>
  <si>
    <t>Ruta 909 SC 50550 Km 000+000 - 011+580 Coord DESDE LAT: 10°16'32.8"N, LON: 85°41'51.6"O; HASTA LAT: 10°21'08.5"N, LON: 85°43'53.5"O</t>
  </si>
  <si>
    <t>Vado socavado, árboles caídos, subrasante lavada, cunetas sedimentadas en su totalidad. Paso en algunos sectores únicamente para vehículos 4x4</t>
  </si>
  <si>
    <t>Restituir con préstamo y subbase los puntos críticos y sin capa de rodadura, descuajar árboles, limpiar alcantarillas y Colocar Subbase</t>
  </si>
  <si>
    <t>Ruta 5 SC 19008 Km 100 Coord N9°57´4" W84°4´43"</t>
  </si>
  <si>
    <t>Colapso de cabezal de salida de alcantarilla</t>
  </si>
  <si>
    <t>Construcción de muro y cabezal de salida</t>
  </si>
  <si>
    <t>TIBAS</t>
  </si>
  <si>
    <t>Ruta 5 SC 19009 Km 0,7</t>
  </si>
  <si>
    <t>Ruta 145 SC 50871 Coord 10.251.395     84.552.538</t>
  </si>
  <si>
    <t>Ruta 145 SC 50871 Coord 10.251.395   84.552.538</t>
  </si>
  <si>
    <t xml:space="preserve">Gaveta para sustitución de subrasante con material de prestamo y colocación material subbase </t>
  </si>
  <si>
    <t>Ruta 145 SC 50871 Coord 10.245.354     84.543.779</t>
  </si>
  <si>
    <t xml:space="preserve">Ruta a Libano </t>
  </si>
  <si>
    <t>Ruta 925 SC 50893 Km 31+090 Coord 10.461.318                -84.979.055</t>
  </si>
  <si>
    <t xml:space="preserve">Obstruccion parcial de la calzada </t>
  </si>
  <si>
    <t xml:space="preserve">Descuaje y remocion de Derrumbe </t>
  </si>
  <si>
    <t xml:space="preserve">Libano </t>
  </si>
  <si>
    <t>Ruta 925 SC 50893 Km 26+890 Coord 10.434.983             -84.988.355</t>
  </si>
  <si>
    <t xml:space="preserve">Obstruccin parcial de la calzada </t>
  </si>
  <si>
    <t xml:space="preserve">Desscuaje y remocion de Derrumbe </t>
  </si>
  <si>
    <t xml:space="preserve">Tierras Morenas </t>
  </si>
  <si>
    <t>Ruta 927 SC 50922</t>
  </si>
  <si>
    <t>3.1</t>
  </si>
  <si>
    <t xml:space="preserve">Obstruccion mitad de la Calzada </t>
  </si>
  <si>
    <t xml:space="preserve">Rio Piedras </t>
  </si>
  <si>
    <t xml:space="preserve">Tejona </t>
  </si>
  <si>
    <t>Ruta 142 SC 50192 Km 34+390 Coord 10.535.6290          -84.982.0170</t>
  </si>
  <si>
    <t>7.1</t>
  </si>
  <si>
    <t xml:space="preserve">Obstruccin total de la Calzada </t>
  </si>
  <si>
    <t>Ruta 145 SC 50871 Km 37+280 Coord 10.254.936            84.553.351</t>
  </si>
  <si>
    <t>Ruta 606 SC 51100 Km 51+695 Coord 10.375.978              -84.888.364</t>
  </si>
  <si>
    <t xml:space="preserve">Dificultad paso de Automoviles </t>
  </si>
  <si>
    <t xml:space="preserve">Sustitucin con prestamo </t>
  </si>
  <si>
    <t>Ruta 606 SC 51100 Km 51+050 Coord 10.375.25                 -84.883.254</t>
  </si>
  <si>
    <t>2.8</t>
  </si>
  <si>
    <t xml:space="preserve">Cabeceras </t>
  </si>
  <si>
    <t>Ruta 606 SC 51100 Km 47+430 Coord 10.356.211                 -84.871.086</t>
  </si>
  <si>
    <t xml:space="preserve">Carril y cuneta obstruido </t>
  </si>
  <si>
    <t>Ruta 606 SC 51100 Km 47+105 Coord 10.354.810           -84.869.703</t>
  </si>
  <si>
    <t xml:space="preserve">Reparacion y remocion de derrumbe </t>
  </si>
  <si>
    <t xml:space="preserve">Tronadora </t>
  </si>
  <si>
    <t>Ruta 926 SC 50202 Km 5+950 Coord 10.501.2900           -84.913.340</t>
  </si>
  <si>
    <t>2.5</t>
  </si>
  <si>
    <t xml:space="preserve">cuneta obstruida </t>
  </si>
  <si>
    <t>Ruta 926 SC 50202 Km 7+850 Coord 10.499.1620          -84.901.9210</t>
  </si>
  <si>
    <t xml:space="preserve">Reomocion de derrumbe </t>
  </si>
  <si>
    <t>Ruta 926 SC 50202 Km 8+410 Coord 10.494.6020        -84.902.1430</t>
  </si>
  <si>
    <t xml:space="preserve">Carril derecho obstruido y cuneta obstruida </t>
  </si>
  <si>
    <t>Ruta 145 SC 50871 Km 35+617 Coord 10.251.768          -84.552.659</t>
  </si>
  <si>
    <t xml:space="preserve">socavacino salida paso alcantarilla </t>
  </si>
  <si>
    <t xml:space="preserve">Muro Gaviones, Relleno </t>
  </si>
  <si>
    <t>Ruta 926 SC 50202 Km 9+350 Coord 10.493.0590           -84.897.4060</t>
  </si>
  <si>
    <t xml:space="preserve">Carril derecho y cuneta obstruida </t>
  </si>
  <si>
    <t>Remocion de Derrumbe</t>
  </si>
  <si>
    <t>Ruta 926 SC 50202 Km 10+640 Coord 10.490.8710         -84.8879.950</t>
  </si>
  <si>
    <t xml:space="preserve">Cuneta Obstruida </t>
  </si>
  <si>
    <t>Ruta 926 SC 50202 Km 17+010 Coord 10.477.9750           -84.854.9130</t>
  </si>
  <si>
    <t xml:space="preserve">Lado izquierdo de la calzada </t>
  </si>
  <si>
    <t xml:space="preserve">Enrocado </t>
  </si>
  <si>
    <t>Ruta 926 SC 50202 Km 17+150 Coord 10.477.4490         -84.855.8910</t>
  </si>
  <si>
    <t xml:space="preserve">Viejo Arenal </t>
  </si>
  <si>
    <t>Ruta 926 SC 50203 Km 22+950 Coord 10.443.0560         -84.855.0120</t>
  </si>
  <si>
    <t>Ruta 926 SC 50203 Km 23+070 Coord 104427190</t>
  </si>
  <si>
    <t xml:space="preserve">Obstruccion total de la calzada </t>
  </si>
  <si>
    <t>Ruta 926 SC 50202 Km 7+535 Coord 762QF33XW+WQ</t>
  </si>
  <si>
    <t xml:space="preserve">Las Micas </t>
  </si>
  <si>
    <t>Ruta 606 SC 51100 Km 50+345 Coord 10.373.531        -84.848.065</t>
  </si>
  <si>
    <t xml:space="preserve">Carril izquierdo </t>
  </si>
  <si>
    <t xml:space="preserve">Relleno para recuperar la calzada </t>
  </si>
  <si>
    <t>Ruta 619 SC 50971 Km 6+080 Coord 10.356.110          -84.843.127</t>
  </si>
  <si>
    <t xml:space="preserve">Ruta 619 SC 50971 Km 6+310 Coord 10.357.948        -84.843.127 </t>
  </si>
  <si>
    <t xml:space="preserve">remocion de derrumbe </t>
  </si>
  <si>
    <t>Ruta 619 SC 50971 Km 6+450 Coord 10.358.600         -84.843.141</t>
  </si>
  <si>
    <t xml:space="preserve">Todo el ancho de la calzada </t>
  </si>
  <si>
    <t>Ruta 927 SC 50922 Km 11+966 Coord 10.608.376        -85.032.203</t>
  </si>
  <si>
    <t xml:space="preserve">Obstruccin en un carril </t>
  </si>
  <si>
    <t>Ruta 927 SC 50922 Km 10+926 Coord 10.601028      -85.031.871</t>
  </si>
  <si>
    <t>3.50</t>
  </si>
  <si>
    <t xml:space="preserve">Obstruccin de cuneta </t>
  </si>
  <si>
    <t xml:space="preserve">Tilaran </t>
  </si>
  <si>
    <t xml:space="preserve">La Torre </t>
  </si>
  <si>
    <t>Ruta 926 SC 50204 Km 35+685 Coord 10.4776.650              -84.9211.210</t>
  </si>
  <si>
    <t xml:space="preserve">Deslizamiento de 35 metros de carretera </t>
  </si>
  <si>
    <t xml:space="preserve">Enrocado, relleno y paso de alcantarilla nuevo </t>
  </si>
  <si>
    <t>Ruta 926 SC 50204 Km 37+636 Coord 10476770         -84.9455.480</t>
  </si>
  <si>
    <t xml:space="preserve">Derrumbe en cuneta y carril izquierdo </t>
  </si>
  <si>
    <t xml:space="preserve">Florida </t>
  </si>
  <si>
    <t>Ruta 145 SC 50871 Km 27+240 Coord 10.250.72           -84.5416.27</t>
  </si>
  <si>
    <t xml:space="preserve">En Carril derecho </t>
  </si>
  <si>
    <t xml:space="preserve">Relleno para recuperar la calzada, roca de rio o Gaviones </t>
  </si>
  <si>
    <t>Ruta 145 SC 50871 Km 37+200 Coord 10.2549.36          -84.5533.51</t>
  </si>
  <si>
    <t xml:space="preserve">Carriel Izquierdo y Talud derecho obstruidos </t>
  </si>
  <si>
    <t xml:space="preserve">Remocin de derrumbe, relleno para recuperar la calzada de rio o Gaviones Prestamo </t>
  </si>
  <si>
    <t>Ruta 925 SC 50892 Km 20+375 Coord 10.401.766       -84.981.571</t>
  </si>
  <si>
    <t xml:space="preserve">Cariil izquierdo obstruido </t>
  </si>
  <si>
    <t xml:space="preserve">Arenal </t>
  </si>
  <si>
    <t>Ruta 926 SC 50202 Km 17+150 Coord 10.474.6620       -84.852.9920</t>
  </si>
  <si>
    <t xml:space="preserve">Derrumbe en cunetas y ancho de la calzada </t>
  </si>
  <si>
    <t>Ruta 926 SC 50203 Km 23+995 Coord 10.439.6270        -84.861.6040</t>
  </si>
  <si>
    <t xml:space="preserve">Remocion de derrumbes y descuaje </t>
  </si>
  <si>
    <t>Ruta 926 SC 50203 Km 24+200 Coord 10.4390.020       -84.8630.900</t>
  </si>
  <si>
    <t xml:space="preserve">Deslizamiento lado izquierdo de la calzada </t>
  </si>
  <si>
    <t xml:space="preserve">Prestamo, roca de rio, excavacion de estructura </t>
  </si>
  <si>
    <t>Ruta 145 SC 50871 Km 37+185 Coord 10.2549.36       -84.5533.51</t>
  </si>
  <si>
    <t xml:space="preserve">Deslizamiento total de la via tramo de 15 metros </t>
  </si>
  <si>
    <t xml:space="preserve">Remocion de derrumbe, relleno para recuperar calzada, roca de rio o gaviones </t>
  </si>
  <si>
    <t xml:space="preserve">Ruta 926 SC 50203 Km 24+300 Coord 10.4398.740       -84.2638.840 </t>
  </si>
  <si>
    <t xml:space="preserve">Tlaran </t>
  </si>
  <si>
    <t>Ruta 925 SC 50892 Km 22+850 Coord 10.4125      -84.9853</t>
  </si>
  <si>
    <t xml:space="preserve">Erosion en la cuneta </t>
  </si>
  <si>
    <t xml:space="preserve">Conformacion de cuentas </t>
  </si>
  <si>
    <t xml:space="preserve">Silencio </t>
  </si>
  <si>
    <t>Ruta 926 SC 50203 Km 28+395 Coord 10.4616.150      -84.8874.760</t>
  </si>
  <si>
    <t>Ruta 926 SC 50202 Km 16+350 Coord 10.4805.630     -84.8539.490</t>
  </si>
  <si>
    <t>Javilla</t>
  </si>
  <si>
    <t>Ruta 925 SC 50892 Km 0+150 Coord 10.4013.00         -85.0801.58</t>
  </si>
  <si>
    <t xml:space="preserve">Socavacion lado izquierdo calzada </t>
  </si>
  <si>
    <t xml:space="preserve">Recuperar calzada y revestir canal </t>
  </si>
  <si>
    <t>Ruta 145 SC 50871 Km 34+465 Coord 10.2454.82           -84.5531.46</t>
  </si>
  <si>
    <t xml:space="preserve">Obstruccion de la via </t>
  </si>
  <si>
    <t xml:space="preserve">El dos </t>
  </si>
  <si>
    <t>Ruta 606 SC 51100 Coord 10.3776.54         -84.8795.10</t>
  </si>
  <si>
    <t>Remocion de derrumbe</t>
  </si>
  <si>
    <t>Ruta 606 SC 51100 Coord 10.3626.74          -84.8768.94</t>
  </si>
  <si>
    <t xml:space="preserve">Obstruccion lado derecho </t>
  </si>
  <si>
    <t xml:space="preserve">Remicion de derrumbe </t>
  </si>
  <si>
    <t xml:space="preserve">La Esperanza </t>
  </si>
  <si>
    <t>Ruta 606 SC 51100 Coord 10.3735.85      -84.8780.70</t>
  </si>
  <si>
    <t>4.50</t>
  </si>
  <si>
    <t xml:space="preserve">Caida de calzada </t>
  </si>
  <si>
    <t xml:space="preserve">Estudios de suelos y diseño de proyecto a realizar </t>
  </si>
  <si>
    <t>Ruta 606 SC 51100 Coord 10.3746.02         -84.8791.99</t>
  </si>
  <si>
    <t>Ruta 606 SC 51100 Coord 10.3751.46        -84.8807.94</t>
  </si>
  <si>
    <t>Ruta 606 SC 51100 Coord 10.3755.65       -84.8827.43</t>
  </si>
  <si>
    <t>Ruta 926 SC 50203 Km 23+250 Coord 762QC4RR+G4</t>
  </si>
  <si>
    <t>Ruta 619 SC 50971 Km 6+580 Coord 10.3593.89       -84.8436.07</t>
  </si>
  <si>
    <t>Ruta 619 SC 50971 Km 6+510 Coord 10.3584.87        -84.8431.42</t>
  </si>
  <si>
    <t xml:space="preserve">Carril Izquierdo cortado </t>
  </si>
  <si>
    <t xml:space="preserve">Muro de contencion enrocado </t>
  </si>
  <si>
    <t>Ruta 606 SC 51100 Coord 10.3611.21         -84.8770.05</t>
  </si>
  <si>
    <t xml:space="preserve">Pegadero </t>
  </si>
  <si>
    <t xml:space="preserve">Sustitucion con prestamo </t>
  </si>
  <si>
    <t xml:space="preserve">Deslizamiento lado Izquierdo de la calzada </t>
  </si>
  <si>
    <t>Ruta 936 SC 51220 Km 25+210 Coord 10.4500.08         -84.8263.19</t>
  </si>
  <si>
    <t xml:space="preserve">Derrumbe en toda la vida </t>
  </si>
  <si>
    <t xml:space="preserve">Remocion de derrumbe y descuaje </t>
  </si>
  <si>
    <t>Ruta 606 SC 51100 Km 49+825 Coord 10,3735,85         -84,8780,70</t>
  </si>
  <si>
    <t>LA SUIZA</t>
  </si>
  <si>
    <t>ATIRRO</t>
  </si>
  <si>
    <t>Ruta 225 SC 30580 Km 30+190 Coord 9°51'24'' N 83°38'28'' W</t>
  </si>
  <si>
    <t>San Francisco - Surtubal</t>
  </si>
  <si>
    <t>Ruta 319 SC 10812 Km 7+700 a 23+500 Coord -</t>
  </si>
  <si>
    <t xml:space="preserve">Delicias </t>
  </si>
  <si>
    <t>Ruta 728 SC 21211 Km 3+952 Coord 10.55.5263          -85.141.243</t>
  </si>
  <si>
    <t xml:space="preserve">Obstruccion en la cuneta </t>
  </si>
  <si>
    <t xml:space="preserve">Birmania </t>
  </si>
  <si>
    <t>Ruta 4 SC 21024 Km 178+280 Coord N10,5855,801     W-85,1530,346</t>
  </si>
  <si>
    <t xml:space="preserve">Realizar relleno de alcantarilla </t>
  </si>
  <si>
    <t>Ruta 710 SC 20900 Km 0+250</t>
  </si>
  <si>
    <t>Ruta 118 SC 21630 Coord 269/s88w</t>
  </si>
  <si>
    <t>Ruta 710 SC 20900 Coord 10.089511/-84.352099</t>
  </si>
  <si>
    <t>Valverde vega</t>
  </si>
  <si>
    <t>VASQUEZ DE CORONADO</t>
  </si>
  <si>
    <t>Ruta 32 SC 10990 Km 20,405</t>
  </si>
  <si>
    <t>VASQUEZ DE CORNADO</t>
  </si>
  <si>
    <t>Ruta 307 SC 11173 Km 0,2</t>
  </si>
  <si>
    <t>Socavación de la carretera</t>
  </si>
  <si>
    <t>La Palmera</t>
  </si>
  <si>
    <t>Ruta 748 Sección de Control 20943 Km 14+020 Coordenadas  10°24'46.82"N, 84°23'2.28"O</t>
  </si>
  <si>
    <t>Vigas de Acero con losa de concreto. No tiene barandas laterales, solo bordillos</t>
  </si>
  <si>
    <t>Socavación local y socavación de las protecciones aguas arriba de la estructura. Falta de capacidad hidráulica</t>
  </si>
  <si>
    <t>Actividades de limpieza general. Canalización en cauce y recuperación de la protección con piedra bruta principalmente aguas arriba al Puente, ya que el agua sovavó ese sector</t>
  </si>
  <si>
    <t>Ruta 145 Sección de Control 50141 Coordenadas 10.2741.5774557495      -84.9746.0471106474</t>
  </si>
  <si>
    <t xml:space="preserve">San Juan de Chiquito </t>
  </si>
  <si>
    <t xml:space="preserve">Socavacion del puente </t>
  </si>
  <si>
    <t xml:space="preserve"> Descuajes, Gaviones y relleno en ladera del lado derecho.</t>
  </si>
  <si>
    <t>Ruta 34 Sección de Control 60113 Coordenadas 9"27"18.34 N, 84"10"38,81W</t>
  </si>
  <si>
    <t xml:space="preserve">superestructura  de concreto </t>
  </si>
  <si>
    <t>Desbordamiento río Tarles, en las llanuras de aproximación aguas, arriba y aguas abajo</t>
  </si>
  <si>
    <t>Sin definir</t>
  </si>
  <si>
    <t>No se puede observar ningun daño, por el nivel del agua</t>
  </si>
  <si>
    <t>Ruta 922 Sección de Control 50830 Km 9+950</t>
  </si>
  <si>
    <t>Río Piedras</t>
  </si>
  <si>
    <t>Lavado de rellenos de aproximación</t>
  </si>
  <si>
    <t>Relleno de aproximación terminado. 1 Excavadora, 1 Back Hoe y vagonetas.</t>
  </si>
  <si>
    <t>Ruta 625 Sección de Control 60391 Km 10</t>
  </si>
  <si>
    <t>Socavación por desbordamiento de río</t>
  </si>
  <si>
    <t>Reparación de bastion socavado y relleno</t>
  </si>
  <si>
    <t>Ruta 237 Sección de Control 60982 Km 0+700</t>
  </si>
  <si>
    <t>Concreto-Metal</t>
  </si>
  <si>
    <t>Relleno de aproximación lavado</t>
  </si>
  <si>
    <t>Relleno con material para restablecer paso.  Se requiere ampliación del puente en la longitud que fue afectada</t>
  </si>
  <si>
    <t>Ruta 2 Sección de Control 60052 Km 211+435</t>
  </si>
  <si>
    <t xml:space="preserve">Relleno y protecciones </t>
  </si>
  <si>
    <t>Relleno con material y construcción de cabezales</t>
  </si>
  <si>
    <t>Lagarto</t>
  </si>
  <si>
    <t>Ruta 2 Sección de Control 60051 Km 235+300</t>
  </si>
  <si>
    <t>Puerto Nuevo</t>
  </si>
  <si>
    <t>Socavación de muros de retención de rellenos de aproximación</t>
  </si>
  <si>
    <t>Reparación de muro o construcción nueva</t>
  </si>
  <si>
    <t>Ruta 1 Sección de Control 50110 Km 164+136 Coordenadas 10,421</t>
  </si>
  <si>
    <t xml:space="preserve">Pilas socavadas </t>
  </si>
  <si>
    <t xml:space="preserve">Material de relleno </t>
  </si>
  <si>
    <t>INVU LOS ÁNGELES</t>
  </si>
  <si>
    <t>Ruta 10 Sección de Control 30040 Km 4+505 Coordenadas 9°51'41,4'' N 83°54'32,8'' W</t>
  </si>
  <si>
    <t>Puente de paso superior, Superstructura de concreto</t>
  </si>
  <si>
    <t>Presenta una importante socavación de cimientos. El agua penetra bajo las bases del puente al menos 0,6 m.</t>
  </si>
  <si>
    <t>Hormigón ciclopeo con Roca de río para rellenar cavidades socavadas por el agua.</t>
  </si>
  <si>
    <t>Ruta 222 Sección de Control 30080 Km 12+860 Coordenadas 9°45,765´N  -84°03,251´O</t>
  </si>
  <si>
    <t>Puente en buenas condiciones (estructural) pero con peligro de pérdida del relleno de aproximación</t>
  </si>
  <si>
    <t>Se lavó relleno de aproximación, y uno de los bastiones perdió el relleno de fundacion del bastión.</t>
  </si>
  <si>
    <t>Se restablece el relleno de aproximación mediante una protección con ciclópeo.-</t>
  </si>
  <si>
    <t>PUENTE AMARILLO</t>
  </si>
  <si>
    <t>Ruta 608 Sección de Control 60372 Km 7+350 Puente Río Amarillo Coordenadas 8°35'18,9" N /82°58'0,7" O</t>
  </si>
  <si>
    <t>LOSA EN MAL ESTADO, ALTO CONTENIDO DE EROSION, POCA ALTURA ENTRE ESPEJO Y VIGA PRINCIPAL, CONSTRUIDO SOBRE VIA DE TREN</t>
  </si>
  <si>
    <t>REMOCION DE PUENTE EXISTENTE, SUMINISTRO Y COLOCACION DE PUENTE MODULAR BAILEY</t>
  </si>
  <si>
    <t>RIO JABONAL</t>
  </si>
  <si>
    <t>Ruta 742 Sección de Control 60601 Km 19+620 Coordenadas 10.070190,-84.397150</t>
  </si>
  <si>
    <t>ESTRUCTURA ACERO VIGAS H,SUPERFICIE LAMINA ACERO</t>
  </si>
  <si>
    <t>PERDIDA TOTAL DE LA ESTRUCTURA ARRASTRADA POR EL RIO</t>
  </si>
  <si>
    <t>SE REQUIERE REPLANTEO DE LINEA DE CALZADA Y POSICIONAMIENTO DEL PUENTE. NO SE PUEDE COLOCAR UN MODULAR EN LOS ACTUALES NIVELES YA QUE PROVOCARÍA EXPONER LA ESTRUCTURA MODULAR A LAS CONDICIONES DEL RIO Y PODRÍA COLAPSAR POR EL NIVEL DE AGUA DEL CAUCE. ACTUALMENTE SE HABILITO POR EL MOPT PARA EL PASO DE EQUIPO PESADO PARA LA HABILITACION DE LA RUTA HACIA EL SECTOR DE SAN RAMON PERO NO CUENTA CON CONDICIONES PARA EL PASO NORMAL DE USUARIOS, POR LOS DAÑOS EN ELEMENTOS ESTRUCTURALES Y BASTIONES SOCAVADOS SEVERAMENTE.</t>
  </si>
  <si>
    <t>POR VALORAR</t>
  </si>
  <si>
    <t>Rincón - Puerto Jimenez</t>
  </si>
  <si>
    <t>Ruta 245 Sección de Control 60420</t>
  </si>
  <si>
    <t>Rincón</t>
  </si>
  <si>
    <t>SOCAVACION DE LOS RELLENOS DE APROXIMACION DE LOS PUENTES</t>
  </si>
  <si>
    <t>HORAS MAQUINA, REDIRECCIONAMIENTO DEL RIO, OBRAS DE PROTECCION TIPO ESCOLLERA Y ENROCADO.</t>
  </si>
  <si>
    <t>Barrigones</t>
  </si>
  <si>
    <t>Quebrada Sabala</t>
  </si>
  <si>
    <t>Agujas</t>
  </si>
  <si>
    <t>Terrones</t>
  </si>
  <si>
    <t>Tigre</t>
  </si>
  <si>
    <t>Quebrada Ignacio</t>
  </si>
  <si>
    <t>Ruta 34 Sección de Control 60170 Coordenadas 9"48"108 LN</t>
  </si>
  <si>
    <t>Puente Río Tárcoles</t>
  </si>
  <si>
    <t>Desbordamiento río Tarles</t>
  </si>
  <si>
    <t>Sapoá</t>
  </si>
  <si>
    <t>Ruta 4 Sección de Control 50280 Km 212+970</t>
  </si>
  <si>
    <t>Puente Socavado</t>
  </si>
  <si>
    <t>Relleno de aproximación socavado</t>
  </si>
  <si>
    <t>Relleno</t>
  </si>
  <si>
    <t>Reposición de relleno de aproximación</t>
  </si>
  <si>
    <t>San Dimas</t>
  </si>
  <si>
    <t>Ruta 938 Sección de Control 51180 Km 1+400</t>
  </si>
  <si>
    <t>Río Sapoá</t>
  </si>
  <si>
    <t>Puente obstruido por desechos de las crecidas.</t>
  </si>
  <si>
    <t>Limpieza de puente y cause terminada. 1 Excavadora y vagonetas.</t>
  </si>
  <si>
    <t>Ruta 21 Sección de Control 50082 Km 18+190</t>
  </si>
  <si>
    <t>Río Tempisque</t>
  </si>
  <si>
    <t>Agua del río hace contacto con el puente</t>
  </si>
  <si>
    <t>A la espera de que bajen los niveles de agua por las lluvias.</t>
  </si>
  <si>
    <t xml:space="preserve">
Cortés
</t>
  </si>
  <si>
    <t>Ruta 168 Sección de Control 61000 Km 1+100</t>
  </si>
  <si>
    <t>Balzar</t>
  </si>
  <si>
    <t>Metal</t>
  </si>
  <si>
    <t>Ruta 2 Sección de Control 60040 Km 251+880</t>
  </si>
  <si>
    <t>Socavación en la protección de una de sus pilas y en bastión de salida</t>
  </si>
  <si>
    <t>Reconstruir las protecciones que han colapsado. Limpieza de cauce</t>
  </si>
  <si>
    <t>Interamericana Sur- Palmar Norte- Río Claro</t>
  </si>
  <si>
    <t>Ruta 2 Sección de Control 60030</t>
  </si>
  <si>
    <t>Culebra</t>
  </si>
  <si>
    <t>Olla 1</t>
  </si>
  <si>
    <t>Salama viejo</t>
  </si>
  <si>
    <t>Olla 5</t>
  </si>
  <si>
    <t>Ballast Pit</t>
  </si>
  <si>
    <t>Esquinas</t>
  </si>
  <si>
    <t>Coto</t>
  </si>
  <si>
    <t>Río Claro</t>
  </si>
  <si>
    <t>La Palma, Dominical, Barú, Platanillo, San Cristóbal, Alto de San Juan</t>
  </si>
  <si>
    <t>Ruta 243 Sección de Control 10930 Km 4+500</t>
  </si>
  <si>
    <t>Río Pacuar</t>
  </si>
  <si>
    <t>Punte tipo Ponny, de un carril, un tramo</t>
  </si>
  <si>
    <t>Puente colapsado y arastrado por el río</t>
  </si>
  <si>
    <t>Colocación o construcción de nuevo puente</t>
  </si>
  <si>
    <t>General Viejo</t>
  </si>
  <si>
    <t>General Viejo, La Hermosa, San Blas, Miraflores, Quizarrá, Sana Elena</t>
  </si>
  <si>
    <t>Ruta 321 Sección de Control 10570 Km 2+800</t>
  </si>
  <si>
    <t>Puente General</t>
  </si>
  <si>
    <t>Puente cercha de paso inferior, unido a un puente modular</t>
  </si>
  <si>
    <t>Ruta 322 Sección de Control 10551 Km 1+220</t>
  </si>
  <si>
    <t>Chirripó Pacífico</t>
  </si>
  <si>
    <t xml:space="preserve">Puente modular </t>
  </si>
  <si>
    <t>Socavación de bastiones, desprendimiento de aletón y socavacipon de rellenos de aproximación</t>
  </si>
  <si>
    <t>Protección de rellenos de aproximación, bastiones y resocado del puente</t>
  </si>
  <si>
    <t>Quizarrá, La Hermosa</t>
  </si>
  <si>
    <t>Ruta 326 Sección de Control 10883 Km 9+000</t>
  </si>
  <si>
    <t>Río Peñas Blancas</t>
  </si>
  <si>
    <t>Puente losa simple</t>
  </si>
  <si>
    <t>Socavación importante en bastión 1</t>
  </si>
  <si>
    <t xml:space="preserve">Proteccion del bastión y recuperacion del relleno de soporte </t>
  </si>
  <si>
    <t>El Hoyón, La Palma</t>
  </si>
  <si>
    <t>Ruta 243 Sección de Control 10930 Km 3+550</t>
  </si>
  <si>
    <t>Rïo Pedregoso</t>
  </si>
  <si>
    <t>Puente vigas de acero</t>
  </si>
  <si>
    <t>Socavación importante en bastiones y socavación leve en relleno de aproximación del bastión 1, grietas en bastiones</t>
  </si>
  <si>
    <t>Proteccion de bastiones, y rellenos, sellado de grietas de bastiones</t>
  </si>
  <si>
    <t>Ruta 327 Sección de Control 10891 Km 0+850</t>
  </si>
  <si>
    <t xml:space="preserve">Socavación en el bastión 1, margen derecha </t>
  </si>
  <si>
    <t>Proteccion de bastiones, rellenos y dragado de río</t>
  </si>
  <si>
    <t>Ruta 606 Sección de Control 60682 Km 17+980 Coordenadas 10.216738,-84.850456</t>
  </si>
  <si>
    <t>RIO GUACIMAL</t>
  </si>
  <si>
    <t>ESTRUCTURA CONCRETO</t>
  </si>
  <si>
    <t>PARA HABILITAR PASO COLOCACIÓN PUENTES MODULARES MIENTRAS SE CONSTRUYE PUENTE NUEVO</t>
  </si>
  <si>
    <t>Sta. Clara</t>
  </si>
  <si>
    <t>Ruta 739 Sección de Control 21580 Km 2+575 Coordenadas  10°19'29.63"N 84°30'37.76"W</t>
  </si>
  <si>
    <t>Río Santa Clara</t>
  </si>
  <si>
    <t>Tipo Bailey</t>
  </si>
  <si>
    <t>Colapso en las bahías y socavación de las pilas</t>
  </si>
  <si>
    <t>Analizar si es posible reparar la estructura, sustituyendo solo algunas bahías o un puente nuevo</t>
  </si>
  <si>
    <t>Ruta 742 Sección de Control 20792 Km 25900 Coordenadas 10°.5.41 N, 84°.37" 40"</t>
  </si>
  <si>
    <t>Rio Barranquilla</t>
  </si>
  <si>
    <t>Puente de Vigas y tablones en mal estado</t>
  </si>
  <si>
    <t>Socavacion  del relleno de aproximación, del sector de Carrera Buena</t>
  </si>
  <si>
    <t>Por el momento se requiere reparar los accesos, sin embargo esta estructura esta en muy malas condiciones, la cual requiere una sustitucion del puente</t>
  </si>
  <si>
    <t>Ruta 5 Sección de Control 19009 Km 0,1</t>
  </si>
  <si>
    <t>Virilla</t>
  </si>
  <si>
    <t>Socavación de aletón</t>
  </si>
  <si>
    <t>Reparación del aletón</t>
  </si>
  <si>
    <t>Ruta 32 Sección de Control 19012 Km 0,5 Coordenadas 9,9678180/-84,0735900</t>
  </si>
  <si>
    <t>Desprediemiento de rellenos</t>
  </si>
  <si>
    <t>UNOPS</t>
  </si>
  <si>
    <t>Ruta 925 Sección de Control 50893 Km 23+650 Coordenadas 10.418.227     -84.985.547</t>
  </si>
  <si>
    <t xml:space="preserve">Bailey </t>
  </si>
  <si>
    <t xml:space="preserve">Socavacin total de bastinsalida y desprendimiento de material </t>
  </si>
  <si>
    <t xml:space="preserve">Relleno para recuperar la calzada roca rio o gaviones prestamo, grua para desmontar puente </t>
  </si>
  <si>
    <t>Ruta 936 Sección de Control 51220 Km 30+840 Coordenadas 10.264.68         -84.511.33</t>
  </si>
  <si>
    <t xml:space="preserve">Puente caido </t>
  </si>
  <si>
    <t xml:space="preserve">colocacion de puente Bayle, inlcuir subrasante y roca de rio ancho de 3 metros pila central con concreto ciclopeo </t>
  </si>
  <si>
    <t>Ruta 926 Sección de Control 50202 Km 9+075 Coordenadas 10.4920.990        -84.8975.490</t>
  </si>
  <si>
    <t xml:space="preserve">Bastion derecho socavado </t>
  </si>
  <si>
    <t xml:space="preserve">daño se mantiene paso normal </t>
  </si>
  <si>
    <t>Ruta 926 Sección de Control 50204 Km 40+325 Coordenadas 10.4706.580       -84.9536.920</t>
  </si>
  <si>
    <t xml:space="preserve">San Antonio dos </t>
  </si>
  <si>
    <t xml:space="preserve">Aleton caido </t>
  </si>
  <si>
    <t xml:space="preserve">Daño se mantiene, paso normal </t>
  </si>
  <si>
    <t xml:space="preserve">Roca de rio, excavacion de estructura </t>
  </si>
  <si>
    <t>Ruta 142 Sección de Control 50192 Km 21+130 Coordenadas 10.4807.47          -84.9708.01</t>
  </si>
  <si>
    <t>Río Santa Rosa</t>
  </si>
  <si>
    <t xml:space="preserve">Bastin entrada y salida socavados </t>
  </si>
  <si>
    <t>Escollera</t>
  </si>
  <si>
    <t>Río Itiquís</t>
  </si>
  <si>
    <t>Desvio del rio y desorientación del cauce natural y inestabilidad de taludes príóximos.</t>
  </si>
  <si>
    <t>Inudación de viviendas e inestabilidad de taludes, represamiento del río</t>
  </si>
  <si>
    <t>Estudio Hidrologico, y construcción de medidas de mitgación</t>
  </si>
  <si>
    <t>El Futuro</t>
  </si>
  <si>
    <t>Inudación de viviendas e inestabilidad de taludes, represamiento del rí</t>
  </si>
  <si>
    <t>Estudio Hidrologico, y contrucción de  medidas de mitgación</t>
  </si>
  <si>
    <t>Ruta 602 Sección de Control 51010 Km. 4+200 Coordenadas 10.2756.59        -84.9834.19</t>
  </si>
  <si>
    <t xml:space="preserve">socavacion de la losa del bado </t>
  </si>
  <si>
    <t xml:space="preserve">suministro de piedra grande y material de prestamo </t>
  </si>
  <si>
    <t>Ruta 625 Sección de Control 60392 Km. 19</t>
  </si>
  <si>
    <t xml:space="preserve">Tubería de hormigón 1,00 diametro </t>
  </si>
  <si>
    <t>Socavación por desbordamiento</t>
  </si>
  <si>
    <t>Reparación daños con hormigón y relleno</t>
  </si>
  <si>
    <t>Nueva Guatemala</t>
  </si>
  <si>
    <t xml:space="preserve">Nueva Guatmala </t>
  </si>
  <si>
    <t xml:space="preserve">Ruta 927 Sección de Control 51260 Km. 18+141 Coordenadas 10.632.208          -85.065725            </t>
  </si>
  <si>
    <t xml:space="preserve">Daño en losa, paso de alcantarilla </t>
  </si>
  <si>
    <t xml:space="preserve">Sustituir por doble 75 </t>
  </si>
  <si>
    <t>Ruta 927 Sección de Control 51260 Km. 16+477 Coordenadas 10.623.573        -85.055.498</t>
  </si>
  <si>
    <t xml:space="preserve">Daño en paso de alcantarilla </t>
  </si>
  <si>
    <t xml:space="preserve">Sustitucion alcantarilla dobel 76 cm </t>
  </si>
  <si>
    <t>Ruta 925 Sección de Control 51250 Km. 5+305 Coordenadas 10,389553       -85,0448,44</t>
  </si>
  <si>
    <t xml:space="preserve">Alcantariila obstruida </t>
  </si>
  <si>
    <t xml:space="preserve">Excavar salida de alcantarilla </t>
  </si>
  <si>
    <t>Ruta 923 Sección de Control 50840 Km. 3+150 Coordenadas 10,4222              -85,0889</t>
  </si>
  <si>
    <t xml:space="preserve">Sedimentacion del alcantarillado </t>
  </si>
  <si>
    <t xml:space="preserve">Limpieza de alcantariila </t>
  </si>
  <si>
    <t>Ruta 923 Sección de Control 50840 Km. 9+450 Coordenadas 10,4036         -85,1686</t>
  </si>
  <si>
    <t xml:space="preserve">Cambiar tuberia </t>
  </si>
  <si>
    <t>Ruta 923 Sección de Control 50840 Km. 11+640 Coordenadas 10,3828          -85,1768</t>
  </si>
  <si>
    <t xml:space="preserve">Sedimentacion de cuneta </t>
  </si>
  <si>
    <t xml:space="preserve">Limpieza de cuneta </t>
  </si>
  <si>
    <t>Ruta 923 Sección de Control 50840 Km. 13+500 Coordenadas 10,3696          -85,1867</t>
  </si>
  <si>
    <t xml:space="preserve">Sedimentacion en la entrada y salida de alcantarilla </t>
  </si>
  <si>
    <t xml:space="preserve">Limpieza de alcantarilla </t>
  </si>
  <si>
    <t>Ruta 912 Sección de Control 50450</t>
  </si>
  <si>
    <t>Socavación de alcantarilla</t>
  </si>
  <si>
    <t>No se ha podido verificar el estado de la alcatarilla</t>
  </si>
  <si>
    <t>Ruta 228 Sección de Control 30551 Km. 19+113 Coordenadas 9°48´6"N / 84°1´28"O</t>
  </si>
  <si>
    <t>Restablecer la alcantarilla por falta perdida</t>
  </si>
  <si>
    <t>150 mts despues del Bar Los Pilones</t>
  </si>
  <si>
    <t>Ruta 14 Sección de Control 60251 Km. 3+350 Coordenadas 8º38'5" N /83º4,16" O</t>
  </si>
  <si>
    <t>ARRASTRE Y ACUMULACIÓN DE SEDIMENTO</t>
  </si>
  <si>
    <t>DRAGADO DE CANAL AGAUS ARRIBAS Y AGUAS ABAJO PARA MEJORAR LA CAPACIDAD HIDRAULICA DE ESTE</t>
  </si>
  <si>
    <t>El Canto del Tucán</t>
  </si>
  <si>
    <t>Ruta 14 Sección de Control 60251 Km. 13+400 Coordenadas 8º36'3,19" N /83º6'5,84" O</t>
  </si>
  <si>
    <t>Otro</t>
  </si>
  <si>
    <t>ARRASTRE Y ACUMULACIÓN DE MATERIAL GRANULAR AFECTANDO LA CAPACIDAD HIDRÁULICA  DEL CAUSE</t>
  </si>
  <si>
    <t>REMOCIÓN DEL MATERIAL GRANULAR EXISTENTE Y MEJORAMIENTO DE LA SECCIÓN HIDRÁULICA</t>
  </si>
  <si>
    <t>Ruta 935 Sección de Control 51200 Km. 6+500</t>
  </si>
  <si>
    <t>Vado lavado</t>
  </si>
  <si>
    <t>Remplazo Alcantarilla</t>
  </si>
  <si>
    <t>Murciélago</t>
  </si>
  <si>
    <t>Ruta 937 Sección de Control 51210 Km. 4+800</t>
  </si>
  <si>
    <t>Alcantarillas de concreto</t>
  </si>
  <si>
    <t>Alcantarillas obstruidas</t>
  </si>
  <si>
    <t>Ruta 313 Sección de Control 10292 Km.  Coordenadas 9°40´5,1062"N / 84°5´44,17896"O</t>
  </si>
  <si>
    <t>Alcantarilla colapsada</t>
  </si>
  <si>
    <t>Ruta 915 Sección de Control 50981 Km. 7+060</t>
  </si>
  <si>
    <t>Socavación de cabezal</t>
  </si>
  <si>
    <t>Proteger  cabezal con un enrrocado antes que el cabezal se caiga</t>
  </si>
  <si>
    <t>TINOCO</t>
  </si>
  <si>
    <t>Ruta 2 Sección de Control 60030 Km. 273+480 Coordenadas 8º52'45" N /83º21,50" O</t>
  </si>
  <si>
    <t>Quebrada la Bonita</t>
  </si>
  <si>
    <t>SOCAVACION Y CAIDA DE ALETONES A LA SALIDA DE LA ALCANTARILLA DE CUADRO DOBLE. AFECTACION TOTAL DE LA FUNDACION DEL DELANTAL Y ALETONES</t>
  </si>
  <si>
    <t>RECONSTRUCCION DE ALETONES Y RELLENO DE FUNDACION DE LA CAJA, DELANTAL Y ALETONES A CONSTRUIR DE LA ALCANTARILLA</t>
  </si>
  <si>
    <t>Ruta 34 Sección de Control 60093 Km. 186+000</t>
  </si>
  <si>
    <t>Batería de tuberia corrugada</t>
  </si>
  <si>
    <t>Reconstruir alc. Existen o construir nueva</t>
  </si>
  <si>
    <t>Subasta Ganadera</t>
  </si>
  <si>
    <t>Ruta 34 Sección de Control 60081 Km. Según coordenada (puntual) Coordenadas 9”53'24,32"N 84”37'06,00"W</t>
  </si>
  <si>
    <t>2 Alcantarillas  corrugadas, inundación en ambas margenes de la ruta por falta de capacidad, no se observan daños</t>
  </si>
  <si>
    <t>Se contruyo el paso con un carril el mismo dia, dos dias despues se finalizo con todo el ancho. Falta colocar mezcla asfaltica en caliente para reconstruir la superficie de ruedo.</t>
  </si>
  <si>
    <t xml:space="preserve">Ruta 620 Sección de Control 60152 Km. 3+740 Coordenadas 10.304703,-84.808932 </t>
  </si>
  <si>
    <t>TUBERÍA 2,13 DIAMETRO</t>
  </si>
  <si>
    <t>COLASPSO DE TUBERIA, CABEZALES Y RELLNO.CORTE DE CALZADA COMPLETO</t>
  </si>
  <si>
    <t>CONSTRUCCIÓN DE SISTEMA DE DRENAJE COMPLETO, TUBERÍA, CABEZALES, PROTECCION, RELLENO,CUNETAS Y REVESTIDOS</t>
  </si>
  <si>
    <t>Ruta 734 Sección de Control 21360 Km. 1+100 Coordenadas 10°35'24.20"N     84°42'37.01"W</t>
  </si>
  <si>
    <t>Alcantarilla</t>
  </si>
  <si>
    <t>Lavado de los rellenos de un cabezal</t>
  </si>
  <si>
    <t>Limpieza de la alcantarilla y conformación de rellenos</t>
  </si>
  <si>
    <t>Ruta 734 Sección de Control 21360 Km. 5+200 Coordenadas 10°33'30.0'' N   84°44'23.0'' W</t>
  </si>
  <si>
    <t>Alcantarilla obstruida y daño en la carpeta asfáltica</t>
  </si>
  <si>
    <t>Limpieza de la alcantarilla y recarpeteo de la superficie de ruedo</t>
  </si>
  <si>
    <t>Chachagua</t>
  </si>
  <si>
    <t>Ruta 702 Sección de Control 21370 Km. 64+750</t>
  </si>
  <si>
    <t>El caudal sobrepasó la capacidad inundando las propiedades vecinas</t>
  </si>
  <si>
    <t>Limpieza de la alcantarilla y limpieza del canal</t>
  </si>
  <si>
    <t>Ruta 5 Sección de Control 19008 Km. 100 Coordenadas N9°57´4" W84°4´43"</t>
  </si>
  <si>
    <t>Quebrada Rivera</t>
  </si>
  <si>
    <t xml:space="preserve">Estructura de concreto </t>
  </si>
  <si>
    <t>Desprendimiento cabezal de salida</t>
  </si>
  <si>
    <t>San Pablo de Turrubares</t>
  </si>
  <si>
    <t>Ruta 707 Sección de Control 10670 Km. 24+450 Coordenadas 9°61´04.1”N 80°55´10.4”W</t>
  </si>
  <si>
    <t>Paso de alcantarilla conformado por alcantarilla corrugada de 1,2 m de diámetro y alcantarilla de cuadro de 1,5 m de ancho x 1,6 m de altura</t>
  </si>
  <si>
    <t>El agua de la Quebrada lavó el relleno lateral aguas arriba del paso de alcantarilla, lo que provocó el colapso de un tramo del paso. Dejando deshabilitado un carril de la carretera</t>
  </si>
  <si>
    <t>Sustitución del paso existente, por otro sistema conformado por alcantarillas de mayor capacidad.</t>
  </si>
  <si>
    <t xml:space="preserve">tilaran </t>
  </si>
  <si>
    <t>quebrada grande</t>
  </si>
  <si>
    <t>Ruta 145 Sección de Control 50872 Km. 43+840</t>
  </si>
  <si>
    <t>obstrucción de alcantarilla doble 180 kg/cm2</t>
  </si>
  <si>
    <t>descuaje (limpieza de escombros)</t>
  </si>
  <si>
    <t>Ruta 619 Sección de Control 50971 Km. 6+240</t>
  </si>
  <si>
    <t>boca del tubo dañada en la entrada ocacionada por el golpe de los escombros y ramas de arboles</t>
  </si>
  <si>
    <t>cabezal de entrada</t>
  </si>
  <si>
    <t>Ruta 606 Sección de Control 51100 Km.  Coordenadas 10.3776,54       -84.8795.10</t>
  </si>
  <si>
    <t>Limpieza de paso de alcantariila</t>
  </si>
  <si>
    <t xml:space="preserve">Tejonas </t>
  </si>
  <si>
    <t>Ruta 142 Sección de Control 50192 Km. 34+885 Coordenadas 10.5378.80       -84.9824.72</t>
  </si>
  <si>
    <t xml:space="preserve">Agua cruza sobre calzada </t>
  </si>
  <si>
    <t>Ruta 926 Sección de Control 50203 Km. 24+175 Coordenadas 10.4399.740      -84.8640.180</t>
  </si>
  <si>
    <t xml:space="preserve">Aleton v derecho 1, socavado y quebrado </t>
  </si>
  <si>
    <t>02-Escazú</t>
  </si>
  <si>
    <t>08-Goicoechea</t>
  </si>
  <si>
    <t>10-Alajuelita</t>
  </si>
  <si>
    <t>01-Alajuela</t>
  </si>
  <si>
    <t>02-San Ramón</t>
  </si>
  <si>
    <t>04-San Mateo</t>
  </si>
  <si>
    <t>05-Atenas</t>
  </si>
  <si>
    <t>06-Alvarado</t>
  </si>
  <si>
    <r>
      <rPr>
        <b/>
        <sz val="14"/>
        <color theme="1"/>
        <rFont val="Arial"/>
        <family val="2"/>
      </rPr>
      <t xml:space="preserve">FORMULARIO N 9: AGROPECUARIO: SUBSECTOR </t>
    </r>
    <r>
      <rPr>
        <b/>
        <sz val="20"/>
        <color theme="1"/>
        <rFont val="Arial"/>
        <family val="2"/>
      </rPr>
      <t>PECUARIO;</t>
    </r>
    <r>
      <rPr>
        <b/>
        <sz val="14"/>
        <color theme="1"/>
        <rFont val="Arial"/>
        <family val="2"/>
      </rPr>
      <t xml:space="preserve"> ASENTAMIENTOS CAMPESINOS, INFRAESTRUCTURA DE RIEGO DAÑOS, PÉRDIDAS Y PROPUESTAS DE ATENCIÓN,  REHABILITACIÓN Y RECONSTRUCCIÓN</t>
    </r>
  </si>
  <si>
    <t>PESCA Y ACUICULTURA</t>
  </si>
  <si>
    <t>Declaratoria de Emergencia, Decreto No. 40676 - MP</t>
  </si>
  <si>
    <t>Institución Informante:  Instituto Costarrecense de Pesca y Acuicultura, INCOPESCA</t>
  </si>
  <si>
    <t>Fecha: 4 de diciembre. 2017</t>
  </si>
  <si>
    <t>Cantones</t>
  </si>
  <si>
    <t>Plan de atención, rehabilitación y reconstrucción</t>
  </si>
  <si>
    <t>Cantidad (Animales muertos)</t>
  </si>
  <si>
    <t xml:space="preserve">Infraestructura Pesquera y Acuícola
</t>
  </si>
  <si>
    <r>
      <t xml:space="preserve">Insumos / Cantidad </t>
    </r>
    <r>
      <rPr>
        <sz val="14"/>
        <color theme="1"/>
        <rFont val="Calibri"/>
        <family val="2"/>
      </rPr>
      <t xml:space="preserve">¹
</t>
    </r>
  </si>
  <si>
    <t>Monto Estimado de Pérdidas
Monto experto</t>
  </si>
  <si>
    <t xml:space="preserve">Programas, Proyectos,  Acciones, Obras
</t>
  </si>
  <si>
    <t>Instituciones Involucradas</t>
  </si>
  <si>
    <t xml:space="preserve">Puntarenas </t>
  </si>
  <si>
    <t>Extracciópn de Moluscos</t>
  </si>
  <si>
    <t>43 
productores</t>
  </si>
  <si>
    <t xml:space="preserve">Perdida de producto por  sedimentación </t>
  </si>
  <si>
    <t>Compra de Semilla</t>
  </si>
  <si>
    <t>INCOPESCA</t>
  </si>
  <si>
    <t>2018 - 2019</t>
  </si>
  <si>
    <t>20 
productores</t>
  </si>
  <si>
    <t>Corozal</t>
  </si>
  <si>
    <t>Ciudad Cortéz</t>
  </si>
  <si>
    <t>18 
productores</t>
  </si>
  <si>
    <t>Guarumal</t>
  </si>
  <si>
    <t>28 
productores</t>
  </si>
  <si>
    <t>Isla Chira</t>
  </si>
  <si>
    <t>Cultivo de Ostras</t>
  </si>
  <si>
    <t>4
productores</t>
  </si>
  <si>
    <t>20
productores</t>
  </si>
  <si>
    <t>Producción de Truchas</t>
  </si>
  <si>
    <t>4 
fincas</t>
  </si>
  <si>
    <t>Perdida de producto por obstrucción de tomas de agua</t>
  </si>
  <si>
    <t>2019 - 2019</t>
  </si>
  <si>
    <t>1 
finca</t>
  </si>
  <si>
    <t>2020 - 2019</t>
  </si>
  <si>
    <t>2021 - 2019</t>
  </si>
  <si>
    <t>2022 - 2019</t>
  </si>
  <si>
    <t>2 
fincas</t>
  </si>
  <si>
    <t>2023 - 2019</t>
  </si>
  <si>
    <t xml:space="preserve">Guarco </t>
  </si>
  <si>
    <t>2024 - 2019</t>
  </si>
  <si>
    <t xml:space="preserve">La Estrella </t>
  </si>
  <si>
    <t>2025 - 2019</t>
  </si>
  <si>
    <t xml:space="preserve">Pérez Zeledón </t>
  </si>
  <si>
    <t>2026 - 2019</t>
  </si>
  <si>
    <t xml:space="preserve">Dota </t>
  </si>
  <si>
    <t>Producción de Semillas</t>
  </si>
  <si>
    <t>1
 finca</t>
  </si>
  <si>
    <t>2027 - 2019</t>
  </si>
  <si>
    <t>Producción de Tilapia</t>
  </si>
  <si>
    <t xml:space="preserve">Perdida de producto y deterioro de caminos </t>
  </si>
  <si>
    <t>Rehabilitación de caminos y recuperación de producto</t>
  </si>
  <si>
    <t>2028 - 2019</t>
  </si>
  <si>
    <t xml:space="preserve">Bagáces </t>
  </si>
  <si>
    <t>Hacienda El Pelón</t>
  </si>
  <si>
    <t>2029 - 2019</t>
  </si>
  <si>
    <t>7 millas náuticas</t>
  </si>
  <si>
    <t>Producción de peces en Jaulas Marinas (Maricultura).</t>
  </si>
  <si>
    <t>1 
proyecto</t>
  </si>
  <si>
    <t>7 Jaulas 7x7 para padrotes
1 Jaula 15 mts diámetro y sus componentes
1  Jaula 25 mts y sus componentes</t>
  </si>
  <si>
    <t>Perdiada de infraestructura para desarrollar el proyecto</t>
  </si>
  <si>
    <t>Reconstrucción de Jualas Marinas</t>
  </si>
  <si>
    <t>2030 - 2019</t>
  </si>
  <si>
    <t>Boca Vieja</t>
  </si>
  <si>
    <t>Planta Productiva  y Almacen de Insumos</t>
  </si>
  <si>
    <t>1
proyecto</t>
  </si>
  <si>
    <t xml:space="preserve">Alimento de peces </t>
  </si>
  <si>
    <t xml:space="preserve">Pérdida de producto para alimentación de peces </t>
  </si>
  <si>
    <t xml:space="preserve">Compra de alimento </t>
  </si>
  <si>
    <t>2031 - 2019</t>
  </si>
  <si>
    <t>Río Claro. Pavones</t>
  </si>
  <si>
    <t>Pesca Artesanal Pequeña Escala</t>
  </si>
  <si>
    <t>1
productor</t>
  </si>
  <si>
    <t>Perdida de embarcación y motor fuera de borda.</t>
  </si>
  <si>
    <t>Compra de equipo de trabajo</t>
  </si>
  <si>
    <t xml:space="preserve">Pérdida equipo de navegación, </t>
  </si>
  <si>
    <t xml:space="preserve">Carrillo </t>
  </si>
  <si>
    <t>Pesca Artesanal Subacuática</t>
  </si>
  <si>
    <t>3
productores</t>
  </si>
  <si>
    <t>Las 3 embarcaiones tienen daños casco y perdida de motor fuera de borda.</t>
  </si>
  <si>
    <t>Compra y reparación de equipo de trabajo</t>
  </si>
  <si>
    <t>Pesca Artesanal de Balyhoo Pequeña Escala</t>
  </si>
  <si>
    <t>La embarcación  tienen daños casco y perdida de motor fuera de borda.</t>
  </si>
  <si>
    <t>La Cruz
La Cruz
La Cruz</t>
  </si>
  <si>
    <t xml:space="preserve">La Cruz 
La Cruz 
Santa Elena </t>
  </si>
  <si>
    <t xml:space="preserve">PTO. SOLEY (17)
JOBO (4)  
CUAJINIQUIL  (11).
</t>
  </si>
  <si>
    <t>32
preductores</t>
  </si>
  <si>
    <t>Las 32 embarcaciones necesitan reparación de motor y casco de embarcación.</t>
  </si>
  <si>
    <t xml:space="preserve">Nicoya </t>
  </si>
  <si>
    <t xml:space="preserve">Sámara </t>
  </si>
  <si>
    <t>Mata Palo</t>
  </si>
  <si>
    <t>La embarcación  tienen daños casco  y perdida de motor fuera de borda.</t>
  </si>
  <si>
    <t>Pesca Semi Industrial Camaronera</t>
  </si>
  <si>
    <t xml:space="preserve">Perdida de casco de embarcación </t>
  </si>
  <si>
    <t>Pérdida de Abridor</t>
  </si>
  <si>
    <t>Daño eléctrico de la embarcación y equipo de pesca</t>
  </si>
  <si>
    <t>Pesca de Mediana Escala</t>
  </si>
  <si>
    <t>Daños Casco de Embarcación .</t>
  </si>
  <si>
    <t>Pesca Mediana Escala</t>
  </si>
  <si>
    <t>5
productores</t>
  </si>
  <si>
    <t>Las 5 Embarcaciones tienen daños en el  casco y motor.</t>
  </si>
  <si>
    <t>Pesca Tuirística</t>
  </si>
  <si>
    <t>La Embarcación tiene daños en motor</t>
  </si>
  <si>
    <t>Pesca Pequeña Escala</t>
  </si>
  <si>
    <t>2
productor</t>
  </si>
  <si>
    <t>Las embarcación  tienen daños casco de embarcación y perdida de motor fuera de borda.</t>
  </si>
  <si>
    <r>
      <t xml:space="preserve"> </t>
    </r>
    <r>
      <rPr>
        <sz val="12"/>
        <rFont val="Arial"/>
        <family val="2"/>
      </rPr>
      <t xml:space="preserve"> Rehabilitación, reparación compra y distribución de insumos pesqueros y acuícolas para: Puntarenas, Osa, Ciudad Cortés, Guarco, Pérez Zeledón, Dota, Cañas, Bagaces, Quepos, Golfito, Carrillo, Santa Cruz, Nicoya.</t>
    </r>
  </si>
  <si>
    <t>rsa 5XII07</t>
  </si>
  <si>
    <t>Pesca y Acuicultura</t>
  </si>
  <si>
    <t>3.90</t>
  </si>
  <si>
    <t>7.00</t>
  </si>
  <si>
    <t xml:space="preserve"> ₡247,241,060.89 </t>
  </si>
  <si>
    <t>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</si>
  <si>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464,545,065.48 </t>
  </si>
  <si>
    <t>6.50</t>
  </si>
  <si>
    <t>8.00</t>
  </si>
  <si>
    <t xml:space="preserve"> ₡427,918,781.88 </t>
  </si>
  <si>
    <t>Limpieza de obstrucciones, Recuperación de superficie de ruedo, conformación de subrasante, cambio y colocación de tubería pluvial, limpieza y conformación de cunetas/ canales  y espaldones, suministro, colocción y compactación de material granular.</t>
  </si>
  <si>
    <t xml:space="preserve">₡    613,895,491.80 </t>
  </si>
  <si>
    <t>La Cangreja La Estrella</t>
  </si>
  <si>
    <t>3.40</t>
  </si>
  <si>
    <t>12.00</t>
  </si>
  <si>
    <t xml:space="preserve"> ₡223,834,439.76 </t>
  </si>
  <si>
    <t xml:space="preserve">₡    568,375,920.48 </t>
  </si>
  <si>
    <t xml:space="preserve">La Estrella  </t>
  </si>
  <si>
    <t>1.50</t>
  </si>
  <si>
    <t xml:space="preserve">₡  95,092,715.73 </t>
  </si>
  <si>
    <t xml:space="preserve">₡    178,738,977.32 </t>
  </si>
  <si>
    <t>2.40</t>
  </si>
  <si>
    <t>10.00</t>
  </si>
  <si>
    <t xml:space="preserve"> ₡  26,661,257.84 </t>
  </si>
  <si>
    <t xml:space="preserve">₡    298,983,351.68 </t>
  </si>
  <si>
    <t>3.20</t>
  </si>
  <si>
    <t xml:space="preserve"> ₡202,864,460.22 </t>
  </si>
  <si>
    <t xml:space="preserve">₡    437,519,326.52 </t>
  </si>
  <si>
    <t>4.90</t>
  </si>
  <si>
    <t>6.00</t>
  </si>
  <si>
    <t xml:space="preserve">Derrumbes en el camino, colapso de alcantarillas, paso interrumpido, surcos en la vía, pérdida de material granular (lastre), sedimento en cunetas.  </t>
  </si>
  <si>
    <t xml:space="preserve"> ₡  54,433,401.42 </t>
  </si>
  <si>
    <t>Limpieza de obstrucciones, Construcción de obra de contención, que permita dar protecciónal camino, evita que colapse le vía y recuperar el ancho del camino para brindar seguridad vial a los ususarios, cambio y colocación de tubería pluvial, limpieza y conformación de cunetas/ canales  y espaldones, suministro, colocción y compactación de material granular.</t>
  </si>
  <si>
    <t xml:space="preserve">₡    288,926,710.80 </t>
  </si>
  <si>
    <t>Patio de Agua-SantaClara</t>
  </si>
  <si>
    <t>1.80</t>
  </si>
  <si>
    <t xml:space="preserve"> ₡  19,995,943.38 </t>
  </si>
  <si>
    <t xml:space="preserve">₡    105,905,157.12 </t>
  </si>
  <si>
    <t>3.00</t>
  </si>
  <si>
    <t xml:space="preserve"> ₡  33,326,572.30 </t>
  </si>
  <si>
    <t>Recuperación de superficie de ruedo, conformación de subrasante, cambio y colocación de tubería pluvial, limpieza y conformación de cunetas/ canales  y espaldones, suministro, colocción y compactación de material granular.</t>
  </si>
  <si>
    <t xml:space="preserve">₡    283,422,708.56 </t>
  </si>
  <si>
    <t xml:space="preserve">Barrio Limonal  San  Ramón de  Río Blanco </t>
  </si>
  <si>
    <t xml:space="preserve">749 metros </t>
  </si>
  <si>
    <t>Derumbes en el camino  obtruyendo la pasada. Terreno falseado</t>
  </si>
  <si>
    <t xml:space="preserve">Limpieza del camino, recuparación de la superfie de ruedo </t>
  </si>
  <si>
    <t xml:space="preserve">Entronque de la ruta  cantonal Puente río Aranjuez - Corazón de Jesús </t>
  </si>
  <si>
    <t>3.017 km</t>
  </si>
  <si>
    <t>Derrumbres en varios tramos del camino , cunetas obstruidas , pasos de alcantarillas despedazados , grandes zurcos sobre el camino</t>
  </si>
  <si>
    <t xml:space="preserve">Excavación y limpiez de la superficie del ruedo  y cunetas .Restitución  de  la estructura del pavimento , estabilización de taludes  y pasos de alcantarillas </t>
  </si>
  <si>
    <t xml:space="preserve">Parrita </t>
  </si>
  <si>
    <t xml:space="preserve">Playón de  San Isidro </t>
  </si>
  <si>
    <t>Ruta Nacional  Playón San Isidro</t>
  </si>
  <si>
    <t>4 km</t>
  </si>
  <si>
    <t>Destrucción de la calzada de rodamiento</t>
  </si>
  <si>
    <t>¢100.000.000-</t>
  </si>
  <si>
    <t xml:space="preserve">Recuperación de la superficie de ruedo </t>
  </si>
  <si>
    <t xml:space="preserve">Pirris </t>
  </si>
  <si>
    <t>De la escuela de  Pirris  100 m al  su  y 200 m al oeste</t>
  </si>
  <si>
    <t>Deslizamiento y obstrucción del camino</t>
  </si>
  <si>
    <t>Reabilitar  camino con  gaviones de protecciónj</t>
  </si>
  <si>
    <t xml:space="preserve">Sector de Las Vegas de Parrita </t>
  </si>
  <si>
    <t>1km</t>
  </si>
  <si>
    <t xml:space="preserve">Derrumbres hay cuatro fincas aisladas. No pueden sacar la producción de  de 120 has de palma . Hay 10 familias incomunicadas </t>
  </si>
  <si>
    <t>Rehabilitar el camino</t>
  </si>
  <si>
    <t xml:space="preserve">Pueblo Nuevo -sector Isla Palo Seco </t>
  </si>
  <si>
    <t xml:space="preserve">Pueblo Nuevo  Sector de Palo Seco </t>
  </si>
  <si>
    <t>3km</t>
  </si>
  <si>
    <t xml:space="preserve">Camino obstruido </t>
  </si>
  <si>
    <t>Rehabilitar el  camino</t>
  </si>
  <si>
    <t>Ruta  616</t>
  </si>
  <si>
    <t>4km</t>
  </si>
  <si>
    <t>camino destruidos por derrumbres</t>
  </si>
  <si>
    <t>rehabilitar camino</t>
  </si>
  <si>
    <t xml:space="preserve">Pejibaye </t>
  </si>
  <si>
    <t>camino asentamiento El Progreso</t>
  </si>
  <si>
    <t>o.o5</t>
  </si>
  <si>
    <t>Es necesario  realizar  topografía  para definir  niveles de desplante, la obra que se necesita construir es un muro de gaviones  y sustituir un paso de alcantarillo por un de mayor diametro</t>
  </si>
  <si>
    <t>50.000.000.00</t>
  </si>
  <si>
    <t xml:space="preserve">Instalación de gaviones </t>
  </si>
  <si>
    <t>camino al asentamiento</t>
  </si>
  <si>
    <t>0.4</t>
  </si>
  <si>
    <t>Afectaciones por la Tormenta Nate  paralero de acceso al asentamiento  se encuentra el río Ceibo , este provoco el desprendimiento  de un tramo del camino</t>
  </si>
  <si>
    <t>30.000.00</t>
  </si>
  <si>
    <t xml:space="preserve">Construir  el camino y alejarlo del área afectada </t>
  </si>
  <si>
    <t xml:space="preserve">La Pavona </t>
  </si>
  <si>
    <t xml:space="preserve">caminos internos del  asentamiento </t>
  </si>
  <si>
    <t>deterioro por  anegamiento</t>
  </si>
  <si>
    <t>10.000.000.</t>
  </si>
  <si>
    <t>Lastrear el camino</t>
  </si>
  <si>
    <t>La Chaparra</t>
  </si>
  <si>
    <t>Tramo La Chaparra - Carrizal</t>
  </si>
  <si>
    <t>Pérdida de Superficie de Ruedo y sistemas de aguas pluviales</t>
  </si>
  <si>
    <t>Recuperacion de superficie de ruedo y estabilización de pendientes</t>
  </si>
  <si>
    <t>El Cerro</t>
  </si>
  <si>
    <t>Tramo El Cerro - Sabanilla</t>
  </si>
  <si>
    <t>Obras para Esbilidad de Taludes y reconstrucción de superficie de ruedo y alcantarillado</t>
  </si>
  <si>
    <t>Guácima</t>
  </si>
  <si>
    <t>Calle El Urbano</t>
  </si>
  <si>
    <t>Entre El Roble y La Guácima</t>
  </si>
  <si>
    <t>Río Ciruelas</t>
  </si>
  <si>
    <t>Puente de Acero con Bastiones en Concreto</t>
  </si>
  <si>
    <t>Debilitamiento de Bastiones y superficie de ruedo por avenida máxima del cauce</t>
  </si>
  <si>
    <t>Estudio de Estabilidad, Hidrológico e hidráulico para considerar obras de mitigación o reconstrucción</t>
  </si>
  <si>
    <t>Rio Segundo</t>
  </si>
  <si>
    <t>Acceso al Barrio Fátima</t>
  </si>
  <si>
    <t>Río Segundo</t>
  </si>
  <si>
    <t xml:space="preserve">Puente con estructura y bastiones en Concreto </t>
  </si>
  <si>
    <t xml:space="preserve">Debilitamiento de Bastiones </t>
  </si>
  <si>
    <t>Entre Sabanilla y San Isdro</t>
  </si>
  <si>
    <t>Río Tambor</t>
  </si>
  <si>
    <t xml:space="preserve">Urb. La Mandarina </t>
  </si>
  <si>
    <t>Entre El Coyol y El Barrio San José</t>
  </si>
  <si>
    <t>Río Alajuela</t>
  </si>
  <si>
    <t>Puente peatonal con estructura y bastiones en Concreto</t>
  </si>
  <si>
    <t>Debilitamiento de Bastiones y superficie de paso por avenida máxima del cauce</t>
  </si>
  <si>
    <t>El Cacique</t>
  </si>
  <si>
    <t>Ruta paralela al Barrio El Cacique</t>
  </si>
  <si>
    <t>Puente en Acero</t>
  </si>
  <si>
    <t>Colpaso de Estructura por completo</t>
  </si>
  <si>
    <t>Calle Los Sandobal</t>
  </si>
  <si>
    <t>Ruta entre Cinco Esquinas y Proyecto Nuevo Carrizal</t>
  </si>
  <si>
    <t>Río La Concordia</t>
  </si>
  <si>
    <t>Calle Doka</t>
  </si>
  <si>
    <t>Puente de conducción del canal de riego y secciones del mismo</t>
  </si>
  <si>
    <t>Colapso de puente conducción y pérdida de secciones del canal de conducción</t>
  </si>
  <si>
    <t>Estudo y obras de reconstrucción del puente, y secciones del canal afectado como la limpieza de todo el sistema en general</t>
  </si>
  <si>
    <t xml:space="preserve">Jorco, Bajos de río Jorco, Aguas Blancas, Toledo,  Chirraca y San Ignacio </t>
  </si>
  <si>
    <t xml:space="preserve"> Disminución de la capacidad del Cauce </t>
  </si>
  <si>
    <t>900 metros</t>
  </si>
  <si>
    <t xml:space="preserve">Migración de cauce con deposición y arrastre de materiales por deslizamientos de tierra  </t>
  </si>
  <si>
    <t>Obras hidráulicas con diques, micropresas  de estabilización cabezales y alcantarillados.</t>
  </si>
  <si>
    <t>Barrio San Martin</t>
  </si>
  <si>
    <t xml:space="preserve">Nosara, Santa Marta, Holywood, aeropuerto  y alrededores del río Nosara. </t>
  </si>
  <si>
    <t>Río Nosara</t>
  </si>
  <si>
    <t xml:space="preserve"> Disminución de la capacidad del Cauce  y peligrto de desborde</t>
  </si>
  <si>
    <t>3150 metros</t>
  </si>
  <si>
    <r>
      <t>Daño de la toba en alrededor de 1400 m, daño de concreto de corasa en 250 m, socavación de  800 m sedimentación de alrededor de  80 000.0 m</t>
    </r>
    <r>
      <rPr>
        <vertAlign val="superscript"/>
        <sz val="8"/>
        <rFont val="Arial"/>
        <family val="2"/>
      </rPr>
      <t xml:space="preserve">3   </t>
    </r>
    <r>
      <rPr>
        <sz val="8"/>
        <rFont val="Arial"/>
        <family val="2"/>
      </rPr>
      <t xml:space="preserve">  y Migración de cauce con peligro de inundación.  </t>
    </r>
  </si>
  <si>
    <t>--</t>
  </si>
  <si>
    <t>LA OBSTRUCCIÓN CON PIEDRAS PROVOCÓ RUPTURA INTERNA DE LA ALCANTARILLA PLÁSTICA. El desbordamiento afectó la estructura del cause.</t>
  </si>
  <si>
    <t>Salitrillos Centro</t>
  </si>
  <si>
    <t>Centro de Nutricion</t>
  </si>
  <si>
    <r>
      <t>75 m</t>
    </r>
    <r>
      <rPr>
        <sz val="10"/>
        <rFont val="Calibri"/>
        <family val="2"/>
      </rPr>
      <t>²</t>
    </r>
  </si>
  <si>
    <t>MS</t>
  </si>
  <si>
    <t>Deslizamiento de suelo</t>
  </si>
  <si>
    <t>Frente a la Iglesia Catolica de Guayabo</t>
  </si>
  <si>
    <t>70 m²</t>
  </si>
  <si>
    <t>Prestada</t>
  </si>
  <si>
    <t>Cubierta de techos y drenaje en mal estado</t>
  </si>
  <si>
    <t>Concepcion de Buenos Aires</t>
  </si>
  <si>
    <t>Del Salon Comunal 150 mts al este</t>
  </si>
  <si>
    <t>Baldosas pretensadas con acero</t>
  </si>
  <si>
    <t>130 m²</t>
  </si>
  <si>
    <t>Muro de Retencion en mal estado</t>
  </si>
  <si>
    <t>Bebedero Centro</t>
  </si>
  <si>
    <r>
      <t>220 m</t>
    </r>
    <r>
      <rPr>
        <sz val="10"/>
        <rFont val="Calibri"/>
        <family val="2"/>
      </rPr>
      <t>²</t>
    </r>
  </si>
  <si>
    <t>Drenaje, bomba de agua en mal estado</t>
  </si>
  <si>
    <t>Barrio los Canales</t>
  </si>
  <si>
    <r>
      <t>70 m</t>
    </r>
    <r>
      <rPr>
        <sz val="10"/>
        <rFont val="Calibri"/>
        <family val="2"/>
      </rPr>
      <t>²</t>
    </r>
  </si>
  <si>
    <t>Alquiada</t>
  </si>
  <si>
    <t>Drenajes en mal estado- parte electrica</t>
  </si>
  <si>
    <t>Frente al parque de Sardinal</t>
  </si>
  <si>
    <t>180 m²</t>
  </si>
  <si>
    <t>Drenajes, techos en mal estado</t>
  </si>
  <si>
    <t>Continuo a la Clinica de Filadelfia</t>
  </si>
  <si>
    <r>
      <t>250 m</t>
    </r>
    <r>
      <rPr>
        <sz val="10"/>
        <rFont val="Calibri"/>
        <family val="2"/>
      </rPr>
      <t>²</t>
    </r>
  </si>
  <si>
    <t>Tanque septico y techos en mal estado</t>
  </si>
  <si>
    <t>100 mtrs oeste de la plaza de deportes</t>
  </si>
  <si>
    <r>
      <t>80 m</t>
    </r>
    <r>
      <rPr>
        <sz val="10"/>
        <rFont val="Calibri"/>
        <family val="2"/>
      </rPr>
      <t>²</t>
    </r>
  </si>
  <si>
    <t>Techos y drenajes</t>
  </si>
  <si>
    <t>200 mtrs norte del parque</t>
  </si>
  <si>
    <r>
      <t>270 m</t>
    </r>
    <r>
      <rPr>
        <sz val="10"/>
        <rFont val="Calibri"/>
        <family val="2"/>
      </rPr>
      <t>²</t>
    </r>
  </si>
  <si>
    <t>Tanque septico y drenajes</t>
  </si>
  <si>
    <t>100 sur de la iglesia de Sagrada familia</t>
  </si>
  <si>
    <t>Madera</t>
  </si>
  <si>
    <r>
      <t>360 m</t>
    </r>
    <r>
      <rPr>
        <sz val="10"/>
        <rFont val="Calibri"/>
        <family val="2"/>
      </rPr>
      <t>²</t>
    </r>
  </si>
  <si>
    <t>Edificio en mal estado por ruinoso</t>
  </si>
  <si>
    <t>Curridabat Centro</t>
  </si>
  <si>
    <r>
      <t>350 m</t>
    </r>
    <r>
      <rPr>
        <sz val="10"/>
        <rFont val="Calibri"/>
        <family val="2"/>
      </rPr>
      <t>²</t>
    </r>
  </si>
  <si>
    <t>Techos y cielo razo</t>
  </si>
  <si>
    <t>Torremolinos centro</t>
  </si>
  <si>
    <r>
      <t>130 m</t>
    </r>
    <r>
      <rPr>
        <sz val="10"/>
        <rFont val="Calibri"/>
        <family val="2"/>
      </rPr>
      <t>²</t>
    </r>
  </si>
  <si>
    <t>Tapia falseada por lluvias</t>
  </si>
  <si>
    <t>El Rosario Centro</t>
  </si>
  <si>
    <r>
      <t>180 m</t>
    </r>
    <r>
      <rPr>
        <sz val="10"/>
        <rFont val="Calibri"/>
        <family val="2"/>
      </rPr>
      <t>²</t>
    </r>
  </si>
  <si>
    <t>Daños electricos y drenajes</t>
  </si>
  <si>
    <t>Prestado</t>
  </si>
  <si>
    <t>Tanque septico y drenajes en mal estado</t>
  </si>
  <si>
    <t>Jaco centro</t>
  </si>
  <si>
    <t>160 m²</t>
  </si>
  <si>
    <t>Mercedes Norte</t>
  </si>
  <si>
    <t>Mercedes Norte Centro</t>
  </si>
  <si>
    <t>220 m²</t>
  </si>
  <si>
    <t>Techos y drenajes en mal estado</t>
  </si>
  <si>
    <t>Cuajiniquil Centro</t>
  </si>
  <si>
    <t>Paredes libianas</t>
  </si>
  <si>
    <r>
      <t>140 m</t>
    </r>
    <r>
      <rPr>
        <sz val="10"/>
        <rFont val="Calibri"/>
        <family val="2"/>
      </rPr>
      <t>²</t>
    </r>
  </si>
  <si>
    <t>Parte electrica paredes y drenajes en mal estado</t>
  </si>
  <si>
    <t>Santa Cecilia Centro</t>
  </si>
  <si>
    <r>
      <t>280 m</t>
    </r>
    <r>
      <rPr>
        <sz val="10"/>
        <rFont val="Calibri"/>
        <family val="2"/>
      </rPr>
      <t>²</t>
    </r>
  </si>
  <si>
    <t>Daños en tapicheless y techos</t>
  </si>
  <si>
    <t>La Garita Centro</t>
  </si>
  <si>
    <t>Lamias de techo en mal estado</t>
  </si>
  <si>
    <t>Frente al Parque de Guardia</t>
  </si>
  <si>
    <r>
      <t>90 m</t>
    </r>
    <r>
      <rPr>
        <sz val="10"/>
        <rFont val="Calibri"/>
        <family val="2"/>
      </rPr>
      <t>²</t>
    </r>
  </si>
  <si>
    <t>Daños en aleros y tanque septico, techos</t>
  </si>
  <si>
    <t>Frente a Bar las Piscinas</t>
  </si>
  <si>
    <t>350 m²</t>
  </si>
  <si>
    <t>Alquilada</t>
  </si>
  <si>
    <t>Cielo razo, cubierta de techos y enchapes ceramica y drenajes</t>
  </si>
  <si>
    <t>Ciudad Colon</t>
  </si>
  <si>
    <t>Contiguio a la GAR</t>
  </si>
  <si>
    <r>
      <t>320 m</t>
    </r>
    <r>
      <rPr>
        <sz val="10"/>
        <rFont val="Calibri"/>
        <family val="2"/>
      </rPr>
      <t>²</t>
    </r>
  </si>
  <si>
    <t>Problema en tanque septico y techo</t>
  </si>
  <si>
    <t>Nambi</t>
  </si>
  <si>
    <t>Nambi Centro</t>
  </si>
  <si>
    <t>Techos en mal estado</t>
  </si>
  <si>
    <t>Contiguo a la GAR</t>
  </si>
  <si>
    <t>Prestada a nombre de PINDECO</t>
  </si>
  <si>
    <t>Drenajes en mal estado y evacuacion de aguas de area de cen</t>
  </si>
  <si>
    <t>Chacarita</t>
  </si>
  <si>
    <t>Drenajes y tanque septico e mal estado</t>
  </si>
  <si>
    <r>
      <t>240 m</t>
    </r>
    <r>
      <rPr>
        <sz val="10"/>
        <rFont val="Calibri"/>
        <family val="2"/>
      </rPr>
      <t>²</t>
    </r>
  </si>
  <si>
    <t>Drenajes mal estado</t>
  </si>
  <si>
    <t>Puntareas Centro</t>
  </si>
  <si>
    <r>
      <t>400 m</t>
    </r>
    <r>
      <rPr>
        <sz val="10"/>
        <rFont val="Calibri"/>
        <family val="2"/>
      </rPr>
      <t>²</t>
    </r>
  </si>
  <si>
    <t>Daños en cubierta de techos y drenajes</t>
  </si>
  <si>
    <r>
      <t>190 m</t>
    </r>
    <r>
      <rPr>
        <sz val="10"/>
        <rFont val="Calibri"/>
        <family val="2"/>
      </rPr>
      <t>²</t>
    </r>
  </si>
  <si>
    <t>Sistema de drenajes y muro de retencion en mal estado</t>
  </si>
  <si>
    <t>75 metros norte de Coopealianza</t>
  </si>
  <si>
    <t xml:space="preserve">Drenajes, canoas y techos en mal estado </t>
  </si>
  <si>
    <t>27 de abril</t>
  </si>
  <si>
    <t>Las Delicias Centro</t>
  </si>
  <si>
    <r>
      <t>120 m</t>
    </r>
    <r>
      <rPr>
        <sz val="10"/>
        <rFont val="Calibri"/>
        <family val="2"/>
      </rPr>
      <t>²</t>
    </r>
  </si>
  <si>
    <t>Tanque septico drenajes y techos</t>
  </si>
  <si>
    <t>Arado</t>
  </si>
  <si>
    <t>De la plaza de deportes 600mts al sur</t>
  </si>
  <si>
    <r>
      <t>160 m</t>
    </r>
    <r>
      <rPr>
        <sz val="10"/>
        <rFont val="Calibri"/>
        <family val="2"/>
      </rPr>
      <t>²</t>
    </r>
  </si>
  <si>
    <t>Sistema de aguas negras y servidas en mal estado</t>
  </si>
  <si>
    <t>Tres Equis</t>
  </si>
  <si>
    <t>Tres Equis Centro</t>
  </si>
  <si>
    <t>120 m²</t>
  </si>
  <si>
    <t>Deslizamiento de terreno</t>
  </si>
  <si>
    <t>Area Rectora Golfito</t>
  </si>
  <si>
    <t>Oficinas</t>
  </si>
  <si>
    <t>Estructura, cubierta techos</t>
  </si>
  <si>
    <t>Area Rectora Salud</t>
  </si>
  <si>
    <t>Instalacion electrica</t>
  </si>
  <si>
    <t>Area Rectora de Salud Osa</t>
  </si>
  <si>
    <t>Drenajes Colapsados</t>
  </si>
  <si>
    <t>Sede Regional</t>
  </si>
  <si>
    <t>Infliltraciones</t>
  </si>
  <si>
    <t>Cortez</t>
  </si>
  <si>
    <t>300 metros al norte del parque</t>
  </si>
  <si>
    <t>Cemento</t>
  </si>
  <si>
    <t>Inundación total</t>
  </si>
  <si>
    <t>Declaratoria de la CNE de no utilización</t>
  </si>
  <si>
    <t>Reubicar y construir</t>
  </si>
  <si>
    <t>13-Upala</t>
  </si>
  <si>
    <t>01-Heredia</t>
  </si>
  <si>
    <t>02-Barva</t>
  </si>
  <si>
    <t>07-Belén</t>
  </si>
  <si>
    <t>15-Tibas</t>
  </si>
  <si>
    <t>CUADRO RESUMEN</t>
  </si>
  <si>
    <t>Obras correctivas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</si>
</sst>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quot;₡&quot;#,##0"/>
    <numFmt numFmtId="166" formatCode="_-* #,##0.00\ _€_-;\-* #,##0.00\ _€_-;_-* &quot;-&quot;??\ _€_-;_-@_-"/>
    <numFmt numFmtId="167" formatCode="0.0"/>
    <numFmt numFmtId="168" formatCode="_-[$₡-140A]* #,##0.00_-;\-[$₡-140A]* #,##0.00_-;_-[$₡-140A]* &quot;-&quot;??_-;_-@_-"/>
    <numFmt numFmtId="169" formatCode="0.000"/>
    <numFmt numFmtId="170" formatCode="\C\-0\-00\-000\-00"/>
    <numFmt numFmtId="171" formatCode="&quot;01-03-&quot;\X\X\X"/>
    <numFmt numFmtId="172" formatCode="_-* #,##0.000\ _€_-;\-* #,##0.000\ _€_-;_-* &quot;-&quot;???\ _€_-;_-@_-"/>
    <numFmt numFmtId="173" formatCode="#,##0.0"/>
    <numFmt numFmtId="174" formatCode="[$₡-140A]#,##0.00"/>
    <numFmt numFmtId="175" formatCode="0;[Red]0"/>
    <numFmt numFmtId="176" formatCode="_(\₡* #,##0.00_);_(\₡* \(#,##0.00\);_(\₡* \-??_);_(@_)"/>
    <numFmt numFmtId="177" formatCode="0\ &quot;m&quot;"/>
    <numFmt numFmtId="178" formatCode="[$-10409]dd/mm/yyyy"/>
    <numFmt numFmtId="179" formatCode="_-* #,##0.00\ &quot;€&quot;_-;\-* #,##0.00\ &quot;€&quot;_-;_-* &quot;-&quot;??\ &quot;€&quot;_-;_-@_-"/>
  </numFmts>
  <fonts count="115">
    <font>
      <sz val="11"/>
      <color theme="1"/>
      <name val="Calibri"/>
      <family val="2"/>
      <scheme val="minor"/>
    </font>
    <font>
      <b/>
      <sz val="11"/>
      <color theme="1"/>
      <name val="Calibri"/>
      <family val="2"/>
      <scheme val="minor"/>
    </font>
    <font>
      <sz val="12"/>
      <color theme="1"/>
      <name val="Arial"/>
      <family val="2"/>
    </font>
    <font>
      <sz val="8"/>
      <name val="Arial"/>
      <family val="2"/>
    </font>
    <font>
      <sz val="10"/>
      <name val="Arial"/>
      <family val="2"/>
    </font>
    <font>
      <sz val="11"/>
      <color indexed="8"/>
      <name val="Calibri"/>
      <family val="2"/>
      <charset val="1"/>
    </font>
    <font>
      <sz val="12"/>
      <color theme="1"/>
      <name val="Calibri"/>
      <family val="2"/>
      <scheme val="minor"/>
    </font>
    <font>
      <sz val="10"/>
      <color rgb="FF000000"/>
      <name val="Arial"/>
      <family val="2"/>
    </font>
    <font>
      <b/>
      <sz val="8"/>
      <name val="Arial"/>
      <family val="2"/>
    </font>
    <font>
      <b/>
      <sz val="9"/>
      <name val="Arial"/>
      <family val="2"/>
    </font>
    <font>
      <sz val="11"/>
      <color theme="1"/>
      <name val="Calibri"/>
      <family val="2"/>
    </font>
    <font>
      <b/>
      <sz val="12"/>
      <name val="Arial"/>
      <family val="2"/>
    </font>
    <font>
      <sz val="12"/>
      <color theme="1"/>
      <name val="Calibri"/>
      <family val="2"/>
    </font>
    <font>
      <b/>
      <sz val="12"/>
      <color theme="1"/>
      <name val="Calibri"/>
      <family val="2"/>
    </font>
    <font>
      <b/>
      <sz val="12"/>
      <color theme="1"/>
      <name val="Calibri"/>
      <family val="2"/>
      <scheme val="minor"/>
    </font>
    <font>
      <b/>
      <sz val="12"/>
      <name val="Calibri"/>
      <family val="2"/>
      <scheme val="minor"/>
    </font>
    <font>
      <sz val="9"/>
      <name val="Arial"/>
      <family val="2"/>
    </font>
    <font>
      <sz val="10"/>
      <color rgb="FF494529"/>
      <name val="Arial"/>
      <family val="2"/>
    </font>
    <font>
      <b/>
      <sz val="11"/>
      <color theme="1"/>
      <name val="Calibri"/>
      <family val="2"/>
    </font>
    <font>
      <sz val="11"/>
      <color theme="1"/>
      <name val="Calibri"/>
      <family val="2"/>
      <scheme val="minor"/>
    </font>
    <font>
      <b/>
      <sz val="10"/>
      <name val="Arial"/>
      <family val="2"/>
    </font>
    <font>
      <sz val="11"/>
      <name val="Arial"/>
      <family val="2"/>
    </font>
    <font>
      <b/>
      <sz val="10"/>
      <color theme="1"/>
      <name val="Arial"/>
      <family val="2"/>
    </font>
    <font>
      <sz val="8"/>
      <color rgb="FF000000"/>
      <name val="Arial"/>
      <family val="2"/>
    </font>
    <font>
      <sz val="10"/>
      <color theme="1"/>
      <name val="Calibri"/>
      <family val="2"/>
      <scheme val="minor"/>
    </font>
    <font>
      <b/>
      <sz val="10"/>
      <color theme="1"/>
      <name val="Calibri"/>
      <family val="2"/>
      <scheme val="minor"/>
    </font>
    <font>
      <b/>
      <sz val="10"/>
      <color rgb="FF000000"/>
      <name val="Arial"/>
      <family val="2"/>
    </font>
    <font>
      <sz val="10"/>
      <color indexed="8"/>
      <name val="Arial"/>
      <family val="2"/>
    </font>
    <font>
      <sz val="11"/>
      <color indexed="8"/>
      <name val="Calibri"/>
      <family val="2"/>
    </font>
    <font>
      <sz val="10"/>
      <color indexed="8"/>
      <name val="Calibri"/>
      <family val="2"/>
    </font>
    <font>
      <sz val="6"/>
      <name val="Arial"/>
      <family val="2"/>
    </font>
    <font>
      <sz val="8"/>
      <color rgb="FF00000A"/>
      <name val="Arial"/>
      <family val="2"/>
    </font>
    <font>
      <sz val="12"/>
      <name val="Times New Roman"/>
      <family val="1"/>
    </font>
    <font>
      <sz val="11"/>
      <name val="Calibri"/>
      <family val="2"/>
    </font>
    <font>
      <sz val="10"/>
      <color theme="1"/>
      <name val="Arial"/>
      <family val="2"/>
    </font>
    <font>
      <b/>
      <sz val="11"/>
      <name val="Arial"/>
      <family val="2"/>
    </font>
    <font>
      <sz val="12"/>
      <name val="Calibri"/>
      <family val="2"/>
      <scheme val="minor"/>
    </font>
    <font>
      <sz val="11"/>
      <color rgb="FFFF0000"/>
      <name val="Calibri"/>
      <family val="2"/>
      <scheme val="minor"/>
    </font>
    <font>
      <sz val="8"/>
      <name val="Calibri"/>
      <family val="2"/>
    </font>
    <font>
      <sz val="9"/>
      <color indexed="8"/>
      <name val="Arial"/>
      <family val="2"/>
    </font>
    <font>
      <sz val="11"/>
      <color indexed="8"/>
      <name val="Arial"/>
      <family val="2"/>
    </font>
    <font>
      <sz val="9"/>
      <color theme="1"/>
      <name val="Century Gothic"/>
      <family val="2"/>
    </font>
    <font>
      <sz val="10"/>
      <name val="Calibri"/>
      <family val="2"/>
    </font>
    <font>
      <sz val="9"/>
      <color theme="1"/>
      <name val="Calibri"/>
      <family val="2"/>
      <scheme val="minor"/>
    </font>
    <font>
      <sz val="8"/>
      <color theme="1"/>
      <name val="Arial"/>
      <family val="2"/>
    </font>
    <font>
      <sz val="12"/>
      <name val="Arial"/>
      <family val="2"/>
    </font>
    <font>
      <b/>
      <sz val="20"/>
      <name val="Arial"/>
      <family val="2"/>
    </font>
    <font>
      <sz val="20"/>
      <name val="Arial"/>
      <family val="2"/>
    </font>
    <font>
      <b/>
      <sz val="12"/>
      <name val="Tahoma"/>
      <family val="2"/>
    </font>
    <font>
      <b/>
      <sz val="14"/>
      <name val="Tahoma"/>
      <family val="2"/>
    </font>
    <font>
      <b/>
      <sz val="10"/>
      <name val="Tahoma"/>
      <family val="2"/>
    </font>
    <font>
      <b/>
      <sz val="8"/>
      <name val="Tahoma"/>
      <family val="2"/>
    </font>
    <font>
      <sz val="8"/>
      <color theme="1"/>
      <name val="Calibri"/>
      <family val="2"/>
      <scheme val="minor"/>
    </font>
    <font>
      <sz val="8"/>
      <color indexed="8"/>
      <name val="Calibri"/>
      <family val="2"/>
    </font>
    <font>
      <sz val="8"/>
      <color indexed="60"/>
      <name val="Calibri"/>
      <family val="2"/>
    </font>
    <font>
      <sz val="8"/>
      <color rgb="FF000000"/>
      <name val="Calibri"/>
      <family val="2"/>
    </font>
    <font>
      <sz val="8"/>
      <name val="Calibri"/>
      <family val="2"/>
      <scheme val="minor"/>
    </font>
    <font>
      <sz val="11"/>
      <name val="Calibri"/>
      <family val="2"/>
      <scheme val="minor"/>
    </font>
    <font>
      <b/>
      <sz val="11"/>
      <name val="Calibri"/>
      <family val="2"/>
    </font>
    <font>
      <sz val="8"/>
      <color rgb="FFFF0000"/>
      <name val="Arial"/>
      <family val="2"/>
    </font>
    <font>
      <vertAlign val="superscript"/>
      <sz val="8"/>
      <color indexed="8"/>
      <name val="Arial"/>
      <family val="2"/>
    </font>
    <font>
      <b/>
      <sz val="8"/>
      <color theme="1"/>
      <name val="Arial"/>
      <family val="2"/>
    </font>
    <font>
      <b/>
      <sz val="8"/>
      <color theme="1"/>
      <name val="Calibri"/>
      <family val="2"/>
      <scheme val="minor"/>
    </font>
    <font>
      <sz val="8"/>
      <name val="Times New Roman"/>
      <family val="1"/>
    </font>
    <font>
      <sz val="8"/>
      <color theme="1"/>
      <name val="Times New Roman"/>
      <family val="1"/>
    </font>
    <font>
      <b/>
      <sz val="14"/>
      <name val="Arial"/>
      <family val="2"/>
    </font>
    <font>
      <b/>
      <sz val="11"/>
      <color theme="1"/>
      <name val="Arial"/>
      <family val="2"/>
    </font>
    <font>
      <sz val="9"/>
      <color theme="1"/>
      <name val="Arial"/>
      <family val="2"/>
    </font>
    <font>
      <sz val="11"/>
      <color theme="1"/>
      <name val="Arial"/>
      <family val="2"/>
    </font>
    <font>
      <sz val="9"/>
      <name val="Times New Roman"/>
      <family val="1"/>
    </font>
    <font>
      <b/>
      <sz val="9"/>
      <color theme="1"/>
      <name val="Arial"/>
      <family val="2"/>
    </font>
    <font>
      <sz val="9"/>
      <color theme="1"/>
      <name val="Times New Roman"/>
      <family val="1"/>
    </font>
    <font>
      <b/>
      <sz val="9"/>
      <color indexed="81"/>
      <name val="Tahoma"/>
      <family val="2"/>
    </font>
    <font>
      <sz val="9"/>
      <color indexed="81"/>
      <name val="Tahoma"/>
      <family val="2"/>
    </font>
    <font>
      <sz val="10"/>
      <name val="Arial"/>
      <family val="2"/>
      <charset val="1"/>
    </font>
    <font>
      <b/>
      <sz val="10"/>
      <name val="Arial"/>
      <family val="2"/>
      <charset val="1"/>
    </font>
    <font>
      <sz val="8"/>
      <name val="Arial"/>
      <family val="2"/>
      <charset val="1"/>
    </font>
    <font>
      <b/>
      <sz val="8"/>
      <name val="Arial"/>
      <family val="2"/>
      <charset val="1"/>
    </font>
    <font>
      <sz val="12"/>
      <name val="Calibri"/>
      <family val="2"/>
    </font>
    <font>
      <b/>
      <sz val="12"/>
      <name val="Calibri"/>
      <family val="2"/>
    </font>
    <font>
      <sz val="10"/>
      <name val="Calibri"/>
      <family val="2"/>
      <scheme val="minor"/>
    </font>
    <font>
      <sz val="10"/>
      <color rgb="FF000000"/>
      <name val="Calibri"/>
      <family val="2"/>
      <scheme val="minor"/>
    </font>
    <font>
      <b/>
      <sz val="11"/>
      <color rgb="FF3F3F3F"/>
      <name val="Calibri"/>
      <family val="2"/>
      <scheme val="minor"/>
    </font>
    <font>
      <b/>
      <sz val="12"/>
      <color theme="1"/>
      <name val="Arial"/>
      <family val="2"/>
    </font>
    <font>
      <sz val="12"/>
      <color rgb="FF000000"/>
      <name val="Calibri"/>
      <family val="2"/>
    </font>
    <font>
      <i/>
      <sz val="10"/>
      <name val="Arial"/>
      <family val="2"/>
    </font>
    <font>
      <b/>
      <sz val="10"/>
      <name val="Arial Narrow"/>
      <family val="2"/>
    </font>
    <font>
      <b/>
      <sz val="11"/>
      <color rgb="FF000000"/>
      <name val="Calibri"/>
      <family val="2"/>
    </font>
    <font>
      <b/>
      <sz val="16"/>
      <color theme="1"/>
      <name val="Calibri"/>
      <family val="2"/>
    </font>
    <font>
      <sz val="11"/>
      <color rgb="FF000000"/>
      <name val="Calibri"/>
      <family val="2"/>
    </font>
    <font>
      <b/>
      <u/>
      <sz val="11"/>
      <color rgb="FFFF0000"/>
      <name val="Calibri"/>
      <family val="2"/>
    </font>
    <font>
      <sz val="11"/>
      <color rgb="FF000000"/>
      <name val="Palatino"/>
      <family val="1"/>
    </font>
    <font>
      <b/>
      <sz val="11"/>
      <color rgb="FF000000"/>
      <name val="Arial"/>
      <family val="2"/>
    </font>
    <font>
      <b/>
      <sz val="10"/>
      <color rgb="FF3F3F3F"/>
      <name val="Calibri"/>
      <family val="2"/>
    </font>
    <font>
      <vertAlign val="superscript"/>
      <sz val="8"/>
      <name val="Arial"/>
      <family val="2"/>
    </font>
    <font>
      <sz val="10"/>
      <color rgb="FF1F497D"/>
      <name val="Arial"/>
      <family val="2"/>
    </font>
    <font>
      <b/>
      <sz val="11"/>
      <color rgb="FFFFFFFF"/>
      <name val="Tahoma"/>
      <family val="2"/>
    </font>
    <font>
      <b/>
      <sz val="10"/>
      <color rgb="FF000000"/>
      <name val="Tahoma"/>
      <family val="2"/>
    </font>
    <font>
      <sz val="10"/>
      <color rgb="FF000000"/>
      <name val="Tahoma"/>
      <family val="2"/>
    </font>
    <font>
      <b/>
      <sz val="16"/>
      <name val="Arial"/>
      <family val="2"/>
    </font>
    <font>
      <sz val="14"/>
      <name val="Arial"/>
      <family val="2"/>
    </font>
    <font>
      <sz val="16"/>
      <name val="Arial"/>
      <family val="2"/>
    </font>
    <font>
      <u/>
      <sz val="10"/>
      <color theme="10"/>
      <name val="Arial"/>
      <family val="2"/>
    </font>
    <font>
      <u/>
      <sz val="12"/>
      <color theme="10"/>
      <name val="Arial"/>
      <family val="2"/>
    </font>
    <font>
      <b/>
      <sz val="10"/>
      <name val="Calibri"/>
      <family val="2"/>
      <scheme val="minor"/>
    </font>
    <font>
      <b/>
      <sz val="16"/>
      <color theme="1"/>
      <name val="Arial"/>
      <family val="2"/>
    </font>
    <font>
      <b/>
      <sz val="14"/>
      <color theme="1"/>
      <name val="Arial"/>
      <family val="2"/>
    </font>
    <font>
      <b/>
      <sz val="20"/>
      <color theme="1"/>
      <name val="Arial"/>
      <family val="2"/>
    </font>
    <font>
      <sz val="14"/>
      <color theme="1"/>
      <name val="Calibri"/>
      <family val="2"/>
    </font>
    <font>
      <sz val="12"/>
      <color rgb="FFFF0000"/>
      <name val="Arial"/>
      <family val="2"/>
    </font>
    <font>
      <sz val="10"/>
      <color theme="1"/>
      <name val="Times New Roman"/>
      <family val="1"/>
    </font>
    <font>
      <b/>
      <sz val="10"/>
      <color theme="1"/>
      <name val="Calibri"/>
      <family val="2"/>
    </font>
    <font>
      <sz val="10"/>
      <color theme="1"/>
      <name val="Calibri"/>
      <family val="2"/>
    </font>
    <font>
      <sz val="10"/>
      <name val="Arial"/>
      <family val="2"/>
    </font>
    <font>
      <b/>
      <sz val="12"/>
      <color rgb="FF000000"/>
      <name val="Calibri"/>
      <family val="2"/>
    </font>
  </fonts>
  <fills count="2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rgb="FFFFFFFF"/>
        <bgColor rgb="FF000000"/>
      </patternFill>
    </fill>
    <fill>
      <patternFill patternType="solid">
        <fgColor theme="0" tint="-0.34998626667073579"/>
        <bgColor indexed="64"/>
      </patternFill>
    </fill>
    <fill>
      <patternFill patternType="solid">
        <fgColor rgb="FFFFFF66"/>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indexed="9"/>
        <bgColor indexed="64"/>
      </patternFill>
    </fill>
    <fill>
      <patternFill patternType="solid">
        <fgColor theme="0"/>
        <bgColor rgb="FFFFFF00"/>
      </patternFill>
    </fill>
    <fill>
      <patternFill patternType="solid">
        <fgColor rgb="FFF2F2F2"/>
      </patternFill>
    </fill>
    <fill>
      <patternFill patternType="solid">
        <fgColor theme="4" tint="0.79998168889431442"/>
        <bgColor indexed="64"/>
      </patternFill>
    </fill>
    <fill>
      <patternFill patternType="solid">
        <fgColor rgb="FFBFBFBF"/>
        <bgColor rgb="FF000000"/>
      </patternFill>
    </fill>
    <fill>
      <patternFill patternType="solid">
        <fgColor rgb="FFD9E1F2"/>
        <bgColor rgb="FF000000"/>
      </patternFill>
    </fill>
    <fill>
      <patternFill patternType="solid">
        <fgColor theme="0" tint="-0.499984740745262"/>
        <bgColor rgb="FF4682B4"/>
      </patternFill>
    </fill>
    <fill>
      <patternFill patternType="solid">
        <fgColor theme="0" tint="-0.499984740745262"/>
        <bgColor indexed="64"/>
      </patternFill>
    </fill>
    <fill>
      <patternFill patternType="solid">
        <fgColor theme="0" tint="-0.249977111117893"/>
        <bgColor rgb="FF000000"/>
      </patternFill>
    </fill>
    <fill>
      <patternFill patternType="solid">
        <fgColor theme="0"/>
        <bgColor rgb="FF000000"/>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top style="thin">
        <color auto="1"/>
      </top>
      <bottom/>
      <diagonal/>
    </border>
    <border>
      <left style="thin">
        <color indexed="64"/>
      </left>
      <right style="thin">
        <color indexed="64"/>
      </right>
      <top style="medium">
        <color indexed="64"/>
      </top>
      <bottom style="medium">
        <color indexed="64"/>
      </bottom>
      <diagonal/>
    </border>
    <border>
      <left style="thin">
        <color rgb="FF3F3F3F"/>
      </left>
      <right style="thin">
        <color rgb="FF3F3F3F"/>
      </right>
      <top style="thin">
        <color rgb="FF3F3F3F"/>
      </top>
      <bottom style="thin">
        <color rgb="FF3F3F3F"/>
      </bottom>
      <diagonal/>
    </border>
    <border>
      <left/>
      <right style="thin">
        <color indexed="64"/>
      </right>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s>
  <cellStyleXfs count="22">
    <xf numFmtId="0" fontId="0" fillId="0" borderId="0"/>
    <xf numFmtId="0" fontId="4" fillId="0" borderId="0"/>
    <xf numFmtId="0" fontId="5" fillId="0" borderId="0"/>
    <xf numFmtId="44" fontId="4" fillId="0" borderId="0" applyFont="0" applyFill="0" applyBorder="0" applyAlignment="0" applyProtection="0"/>
    <xf numFmtId="0" fontId="7" fillId="0" borderId="0"/>
    <xf numFmtId="166" fontId="7" fillId="0" borderId="0" applyFont="0" applyFill="0" applyBorder="0" applyAlignment="0" applyProtection="0"/>
    <xf numFmtId="0" fontId="4" fillId="0" borderId="0"/>
    <xf numFmtId="41"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2" fontId="19" fillId="0" borderId="0" applyFont="0" applyFill="0" applyBorder="0" applyAlignment="0" applyProtection="0"/>
    <xf numFmtId="0" fontId="4" fillId="0" borderId="0"/>
    <xf numFmtId="0" fontId="27" fillId="0" borderId="0"/>
    <xf numFmtId="9" fontId="19"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74" fillId="0" borderId="0"/>
    <xf numFmtId="176" fontId="74" fillId="0" borderId="0" applyBorder="0" applyProtection="0"/>
    <xf numFmtId="0" fontId="82" fillId="14" borderId="48" applyNumberFormat="0" applyAlignment="0" applyProtection="0"/>
    <xf numFmtId="0" fontId="4" fillId="0" borderId="0"/>
    <xf numFmtId="179" fontId="4" fillId="0" borderId="0" applyFont="0" applyFill="0" applyBorder="0" applyAlignment="0" applyProtection="0"/>
    <xf numFmtId="0" fontId="102" fillId="0" borderId="0" applyNumberFormat="0" applyFill="0" applyBorder="0" applyAlignment="0" applyProtection="0"/>
  </cellStyleXfs>
  <cellXfs count="1223">
    <xf numFmtId="0" fontId="0" fillId="0" borderId="0" xfId="0"/>
    <xf numFmtId="0" fontId="0" fillId="0" borderId="0" xfId="0" applyAlignment="1">
      <alignment horizontal="center"/>
    </xf>
    <xf numFmtId="0" fontId="6" fillId="0" borderId="0" xfId="0" applyFont="1" applyAlignment="1">
      <alignment horizontal="center" vertical="center"/>
    </xf>
    <xf numFmtId="0" fontId="0" fillId="0" borderId="0" xfId="0" applyAlignment="1">
      <alignment horizontal="center" vertical="top"/>
    </xf>
    <xf numFmtId="0" fontId="0" fillId="0" borderId="0" xfId="0" applyAlignment="1">
      <alignment horizontal="center" vertical="center"/>
    </xf>
    <xf numFmtId="0" fontId="2" fillId="0" borderId="0" xfId="0" applyFont="1"/>
    <xf numFmtId="0" fontId="2" fillId="0" borderId="0" xfId="0" applyFont="1" applyAlignment="1">
      <alignment vertical="center"/>
    </xf>
    <xf numFmtId="0" fontId="6" fillId="0" borderId="0" xfId="0" applyFont="1" applyAlignment="1">
      <alignment horizontal="center" vertical="top"/>
    </xf>
    <xf numFmtId="0" fontId="6" fillId="0" borderId="0" xfId="0" applyFont="1" applyAlignment="1">
      <alignment horizontal="center" vertical="top" wrapText="1"/>
    </xf>
    <xf numFmtId="0" fontId="10" fillId="0" borderId="0" xfId="0" applyFont="1"/>
    <xf numFmtId="0" fontId="10" fillId="0" borderId="0" xfId="0" applyFont="1" applyAlignment="1">
      <alignment horizontal="center"/>
    </xf>
    <xf numFmtId="0" fontId="0" fillId="0" borderId="0" xfId="0" applyAlignment="1">
      <alignment vertical="center"/>
    </xf>
    <xf numFmtId="0" fontId="13" fillId="3" borderId="1" xfId="0" applyFont="1" applyFill="1" applyBorder="1" applyAlignment="1">
      <alignment horizontal="center" vertical="center" wrapText="1"/>
    </xf>
    <xf numFmtId="0" fontId="10" fillId="0" borderId="1" xfId="0" applyFont="1" applyBorder="1"/>
    <xf numFmtId="0" fontId="15" fillId="2" borderId="1" xfId="0" applyFont="1" applyFill="1" applyBorder="1" applyAlignment="1">
      <alignment horizontal="center" vertical="center" wrapText="1"/>
    </xf>
    <xf numFmtId="0" fontId="4" fillId="6" borderId="13" xfId="1" applyFill="1" applyBorder="1" applyAlignment="1">
      <alignment horizontal="center" vertical="center" wrapText="1"/>
    </xf>
    <xf numFmtId="0" fontId="4" fillId="6" borderId="1" xfId="1" applyFill="1" applyBorder="1" applyAlignment="1">
      <alignment horizontal="center" vertical="center" wrapText="1"/>
    </xf>
    <xf numFmtId="0" fontId="16" fillId="6" borderId="1" xfId="1" applyFont="1" applyFill="1" applyBorder="1" applyAlignment="1">
      <alignment horizontal="center" vertical="center" wrapText="1"/>
    </xf>
    <xf numFmtId="2" fontId="4" fillId="6" borderId="1" xfId="1" applyNumberFormat="1" applyFill="1" applyBorder="1" applyAlignment="1">
      <alignment horizontal="center" vertical="center" wrapText="1"/>
    </xf>
    <xf numFmtId="2" fontId="4" fillId="0" borderId="1" xfId="0" applyNumberFormat="1" applyFont="1" applyBorder="1" applyAlignment="1">
      <alignment horizontal="center" vertical="center"/>
    </xf>
    <xf numFmtId="0" fontId="4" fillId="0" borderId="13" xfId="1" applyBorder="1" applyAlignment="1">
      <alignment horizontal="center" vertical="center" wrapText="1"/>
    </xf>
    <xf numFmtId="0" fontId="4" fillId="0" borderId="1" xfId="1" applyBorder="1" applyAlignment="1">
      <alignment horizontal="center" vertical="center" wrapText="1"/>
    </xf>
    <xf numFmtId="0" fontId="4" fillId="0" borderId="1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top" wrapText="1"/>
    </xf>
    <xf numFmtId="0" fontId="4" fillId="0" borderId="1" xfId="0" applyFont="1" applyBorder="1" applyAlignment="1">
      <alignment horizontal="center" vertical="center" wrapText="1"/>
    </xf>
    <xf numFmtId="0" fontId="20" fillId="0" borderId="13" xfId="0" applyFont="1" applyBorder="1" applyAlignment="1">
      <alignment horizontal="center" vertical="center" wrapText="1"/>
    </xf>
    <xf numFmtId="0" fontId="21" fillId="0" borderId="1" xfId="0" applyFont="1" applyBorder="1" applyAlignment="1">
      <alignment wrapText="1"/>
    </xf>
    <xf numFmtId="0" fontId="22" fillId="5" borderId="1" xfId="0" applyFont="1" applyFill="1" applyBorder="1" applyAlignment="1">
      <alignment horizontal="center" vertical="top" wrapText="1"/>
    </xf>
    <xf numFmtId="0" fontId="22" fillId="8" borderId="1" xfId="0" applyFont="1" applyFill="1" applyBorder="1" applyAlignment="1">
      <alignment horizontal="center" wrapText="1"/>
    </xf>
    <xf numFmtId="0" fontId="22" fillId="9" borderId="1" xfId="0" applyFont="1" applyFill="1" applyBorder="1" applyAlignment="1">
      <alignment horizontal="center" wrapText="1"/>
    </xf>
    <xf numFmtId="0" fontId="22" fillId="10" borderId="1" xfId="0" applyFont="1" applyFill="1" applyBorder="1" applyAlignment="1">
      <alignment horizontal="center" wrapText="1"/>
    </xf>
    <xf numFmtId="0" fontId="22" fillId="11" borderId="1" xfId="0" applyFont="1" applyFill="1" applyBorder="1" applyAlignment="1">
      <alignment horizontal="center" wrapText="1"/>
    </xf>
    <xf numFmtId="164" fontId="12" fillId="0" borderId="1" xfId="0" applyNumberFormat="1" applyFont="1" applyBorder="1"/>
    <xf numFmtId="0" fontId="3" fillId="0" borderId="1" xfId="0" applyFont="1" applyBorder="1" applyAlignment="1">
      <alignment horizontal="left" vertical="center" wrapText="1"/>
    </xf>
    <xf numFmtId="0" fontId="23" fillId="0" borderId="1" xfId="1" applyFont="1" applyBorder="1" applyAlignment="1">
      <alignment horizontal="center" vertical="top" wrapText="1"/>
    </xf>
    <xf numFmtId="0" fontId="23" fillId="0" borderId="1" xfId="1" applyFont="1" applyBorder="1" applyAlignment="1">
      <alignment vertical="top" wrapText="1"/>
    </xf>
    <xf numFmtId="0" fontId="7" fillId="0" borderId="1" xfId="0" applyFont="1" applyBorder="1" applyAlignment="1">
      <alignment vertical="top" wrapText="1"/>
    </xf>
    <xf numFmtId="0" fontId="4" fillId="0" borderId="13" xfId="0" applyFont="1" applyBorder="1" applyAlignment="1">
      <alignment horizontal="center" vertical="top" wrapText="1"/>
    </xf>
    <xf numFmtId="0" fontId="4" fillId="0" borderId="1" xfId="0" applyFont="1" applyBorder="1" applyAlignment="1">
      <alignment horizontal="left" vertical="top" wrapText="1"/>
    </xf>
    <xf numFmtId="164" fontId="4" fillId="0" borderId="14" xfId="0" applyNumberFormat="1" applyFont="1" applyBorder="1" applyAlignment="1">
      <alignment horizontal="right" vertical="top" wrapText="1"/>
    </xf>
    <xf numFmtId="0" fontId="7" fillId="0" borderId="1" xfId="1" applyFont="1" applyBorder="1" applyAlignment="1">
      <alignment horizontal="left" vertical="top" wrapText="1"/>
    </xf>
    <xf numFmtId="164" fontId="3" fillId="0" borderId="14" xfId="0" applyNumberFormat="1" applyFont="1" applyBorder="1" applyAlignment="1">
      <alignment horizontal="right" vertical="center" wrapText="1"/>
    </xf>
    <xf numFmtId="0" fontId="4" fillId="0" borderId="1" xfId="0" applyFont="1" applyBorder="1" applyAlignment="1">
      <alignment vertical="center" wrapText="1"/>
    </xf>
    <xf numFmtId="0" fontId="28" fillId="0" borderId="1" xfId="12" applyFont="1" applyBorder="1" applyAlignment="1">
      <alignment wrapText="1"/>
    </xf>
    <xf numFmtId="0" fontId="28" fillId="0" borderId="1" xfId="12" applyFont="1" applyBorder="1" applyAlignment="1">
      <alignment horizontal="center" vertical="center" wrapText="1"/>
    </xf>
    <xf numFmtId="0" fontId="4" fillId="0" borderId="1" xfId="1" applyBorder="1"/>
    <xf numFmtId="0" fontId="29" fillId="0" borderId="1" xfId="12" applyFont="1" applyBorder="1" applyAlignment="1">
      <alignment horizontal="center" vertical="center" wrapText="1"/>
    </xf>
    <xf numFmtId="0" fontId="4" fillId="0" borderId="1" xfId="0" applyFont="1" applyBorder="1" applyAlignment="1">
      <alignment horizontal="left" vertical="center" wrapText="1"/>
    </xf>
    <xf numFmtId="0" fontId="16" fillId="0" borderId="1" xfId="0" applyFont="1" applyBorder="1" applyAlignment="1">
      <alignment horizontal="center" vertical="top" wrapText="1"/>
    </xf>
    <xf numFmtId="0" fontId="20" fillId="0" borderId="13" xfId="0" applyFont="1" applyBorder="1" applyAlignment="1">
      <alignment horizontal="center" vertical="top" wrapText="1"/>
    </xf>
    <xf numFmtId="0" fontId="4" fillId="0" borderId="1" xfId="0" applyFont="1" applyBorder="1" applyAlignment="1">
      <alignment horizontal="center" vertical="top" wrapText="1"/>
    </xf>
    <xf numFmtId="164" fontId="10" fillId="0" borderId="0" xfId="0" applyNumberFormat="1" applyFont="1"/>
    <xf numFmtId="0" fontId="31" fillId="0" borderId="1" xfId="0" applyFont="1" applyBorder="1" applyAlignment="1">
      <alignment horizontal="left" vertical="top" wrapText="1"/>
    </xf>
    <xf numFmtId="0" fontId="24" fillId="0" borderId="0" xfId="0" applyFont="1" applyAlignment="1">
      <alignment horizontal="center" vertical="top"/>
    </xf>
    <xf numFmtId="0" fontId="4" fillId="0" borderId="1" xfId="0" applyFont="1" applyBorder="1" applyAlignment="1">
      <alignment horizontal="center" vertical="center"/>
    </xf>
    <xf numFmtId="0" fontId="34" fillId="0" borderId="1" xfId="0" applyFont="1" applyBorder="1" applyAlignment="1">
      <alignment horizontal="center" vertical="center"/>
    </xf>
    <xf numFmtId="43" fontId="36" fillId="0" borderId="1" xfId="8" applyFont="1" applyBorder="1" applyAlignment="1">
      <alignment horizontal="left" vertical="center"/>
    </xf>
    <xf numFmtId="43" fontId="6" fillId="0" borderId="1" xfId="8" applyFont="1" applyBorder="1" applyAlignment="1">
      <alignment horizontal="left" vertical="center" wrapText="1"/>
    </xf>
    <xf numFmtId="43" fontId="6" fillId="0" borderId="1" xfId="8" applyFont="1" applyBorder="1" applyAlignment="1">
      <alignment horizontal="left" vertical="center"/>
    </xf>
    <xf numFmtId="43" fontId="36" fillId="0" borderId="1" xfId="8" applyFont="1" applyBorder="1" applyAlignment="1">
      <alignment horizontal="left" vertical="center" wrapText="1"/>
    </xf>
    <xf numFmtId="0" fontId="21" fillId="0" borderId="1" xfId="0" applyFont="1" applyBorder="1" applyAlignment="1">
      <alignment horizontal="left" vertical="center" wrapText="1"/>
    </xf>
    <xf numFmtId="0" fontId="16" fillId="0" borderId="1" xfId="0" applyFont="1" applyBorder="1" applyAlignment="1">
      <alignment horizontal="center" vertical="center" wrapText="1"/>
    </xf>
    <xf numFmtId="167" fontId="3" fillId="0" borderId="1" xfId="0" applyNumberFormat="1" applyFont="1" applyBorder="1" applyAlignment="1">
      <alignment horizontal="center" vertical="center" wrapText="1"/>
    </xf>
    <xf numFmtId="0" fontId="20" fillId="0" borderId="13" xfId="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6"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39" fillId="12" borderId="1" xfId="0" applyFont="1" applyFill="1" applyBorder="1" applyAlignment="1">
      <alignment horizontal="center" vertical="top" wrapText="1"/>
    </xf>
    <xf numFmtId="0" fontId="39" fillId="12" borderId="1" xfId="0" applyFont="1" applyFill="1" applyBorder="1" applyAlignment="1">
      <alignment horizontal="center" vertical="center" wrapText="1"/>
    </xf>
    <xf numFmtId="0" fontId="40" fillId="1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1" fillId="0" borderId="0" xfId="0" applyFont="1"/>
    <xf numFmtId="0" fontId="3" fillId="4" borderId="1" xfId="1" applyFont="1" applyFill="1" applyBorder="1" applyAlignment="1">
      <alignment horizontal="center" vertical="center" wrapText="1"/>
    </xf>
    <xf numFmtId="170" fontId="7" fillId="6" borderId="1" xfId="0" applyNumberFormat="1" applyFont="1" applyFill="1" applyBorder="1" applyAlignment="1">
      <alignment horizontal="center" vertical="center" wrapText="1"/>
    </xf>
    <xf numFmtId="169" fontId="7" fillId="6" borderId="1" xfId="0" applyNumberFormat="1" applyFont="1" applyFill="1" applyBorder="1" applyAlignment="1">
      <alignment horizontal="center" vertical="center" wrapText="1"/>
    </xf>
    <xf numFmtId="0" fontId="3" fillId="6" borderId="1" xfId="1" applyFont="1" applyFill="1" applyBorder="1" applyAlignment="1">
      <alignment horizontal="center" vertical="center" wrapText="1"/>
    </xf>
    <xf numFmtId="0" fontId="4" fillId="6" borderId="1" xfId="0" applyFont="1" applyFill="1" applyBorder="1" applyAlignment="1">
      <alignment horizontal="center" vertical="center" wrapText="1"/>
    </xf>
    <xf numFmtId="0" fontId="16" fillId="0" borderId="1" xfId="0" applyFont="1" applyBorder="1" applyAlignment="1">
      <alignment vertical="top"/>
    </xf>
    <xf numFmtId="0" fontId="0" fillId="0" borderId="1" xfId="0" applyBorder="1" applyAlignment="1">
      <alignment horizontal="center" vertical="top"/>
    </xf>
    <xf numFmtId="0" fontId="0" fillId="0" borderId="1" xfId="0" applyBorder="1" applyAlignment="1">
      <alignment vertical="top"/>
    </xf>
    <xf numFmtId="0" fontId="0" fillId="0" borderId="1" xfId="0" applyBorder="1" applyAlignment="1">
      <alignment vertical="top" wrapText="1"/>
    </xf>
    <xf numFmtId="0" fontId="4" fillId="0" borderId="1" xfId="0" applyFont="1" applyBorder="1" applyAlignment="1">
      <alignment vertical="top" wrapText="1"/>
    </xf>
    <xf numFmtId="171" fontId="16" fillId="0" borderId="1" xfId="0" applyNumberFormat="1" applyFont="1" applyBorder="1" applyAlignment="1">
      <alignment vertical="top"/>
    </xf>
    <xf numFmtId="0" fontId="16" fillId="4" borderId="1" xfId="0" applyFont="1" applyFill="1" applyBorder="1" applyAlignment="1">
      <alignment vertical="top"/>
    </xf>
    <xf numFmtId="0" fontId="0" fillId="4" borderId="1" xfId="0" applyFill="1" applyBorder="1" applyAlignment="1">
      <alignment horizontal="center" vertical="top"/>
    </xf>
    <xf numFmtId="0" fontId="0" fillId="4" borderId="1" xfId="0" applyFill="1" applyBorder="1" applyAlignment="1">
      <alignment vertical="top"/>
    </xf>
    <xf numFmtId="0" fontId="4" fillId="12" borderId="1" xfId="1" applyFill="1" applyBorder="1" applyAlignment="1">
      <alignment horizontal="center" vertical="center" wrapText="1"/>
    </xf>
    <xf numFmtId="3" fontId="4" fillId="12" borderId="1" xfId="1" applyNumberFormat="1" applyFill="1" applyBorder="1" applyAlignment="1">
      <alignment horizontal="center" vertical="center" wrapText="1"/>
    </xf>
    <xf numFmtId="0" fontId="4" fillId="0" borderId="1" xfId="0" applyFont="1" applyBorder="1" applyAlignment="1">
      <alignment horizontal="center" wrapText="1"/>
    </xf>
    <xf numFmtId="0" fontId="41" fillId="0" borderId="1" xfId="11" applyFont="1" applyBorder="1" applyAlignment="1">
      <alignment horizontal="left" vertical="center" wrapText="1"/>
    </xf>
    <xf numFmtId="0" fontId="34" fillId="0" borderId="1" xfId="11" applyFont="1" applyBorder="1" applyAlignment="1">
      <alignment horizontal="center" vertical="center" wrapText="1"/>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43" fillId="0" borderId="1" xfId="0" applyFont="1" applyBorder="1" applyAlignment="1">
      <alignment horizontal="left" vertical="center" wrapText="1"/>
    </xf>
    <xf numFmtId="0" fontId="43" fillId="0" borderId="1" xfId="0" applyFont="1" applyBorder="1" applyAlignment="1">
      <alignment vertical="center"/>
    </xf>
    <xf numFmtId="0" fontId="43" fillId="0" borderId="1" xfId="0" applyFont="1" applyBorder="1" applyAlignment="1">
      <alignment horizontal="left" vertical="center"/>
    </xf>
    <xf numFmtId="0" fontId="43" fillId="0" borderId="1" xfId="0" applyFont="1" applyBorder="1" applyAlignment="1">
      <alignment vertical="center" wrapText="1"/>
    </xf>
    <xf numFmtId="0" fontId="21" fillId="0" borderId="13" xfId="0" applyFont="1" applyBorder="1" applyAlignment="1">
      <alignment vertical="center" wrapText="1"/>
    </xf>
    <xf numFmtId="0" fontId="21" fillId="0" borderId="13" xfId="0" applyFont="1" applyBorder="1" applyAlignment="1">
      <alignment horizontal="left" vertical="center" wrapText="1"/>
    </xf>
    <xf numFmtId="0" fontId="4" fillId="0" borderId="13" xfId="0" applyFont="1" applyBorder="1" applyAlignment="1">
      <alignment horizontal="center" wrapText="1"/>
    </xf>
    <xf numFmtId="0" fontId="45" fillId="0" borderId="1" xfId="0" applyFont="1" applyBorder="1" applyAlignment="1">
      <alignment horizontal="left" vertical="center" wrapText="1"/>
    </xf>
    <xf numFmtId="0" fontId="45" fillId="4" borderId="1" xfId="0" applyFont="1" applyFill="1" applyBorder="1" applyAlignment="1">
      <alignment horizontal="left" vertical="center" wrapText="1"/>
    </xf>
    <xf numFmtId="49" fontId="45" fillId="4" borderId="1" xfId="0" applyNumberFormat="1" applyFont="1" applyFill="1" applyBorder="1" applyAlignment="1">
      <alignment horizontal="left" vertical="center" wrapText="1"/>
    </xf>
    <xf numFmtId="0" fontId="45" fillId="0" borderId="1" xfId="0" applyFont="1" applyBorder="1" applyAlignment="1">
      <alignment horizontal="left" wrapText="1"/>
    </xf>
    <xf numFmtId="0" fontId="4" fillId="4" borderId="1" xfId="0" applyFont="1" applyFill="1" applyBorder="1" applyAlignment="1">
      <alignment horizontal="center" vertical="top" wrapText="1"/>
    </xf>
    <xf numFmtId="0" fontId="3" fillId="0" borderId="1" xfId="0" applyFont="1" applyBorder="1" applyAlignment="1">
      <alignment horizontal="left" vertical="top" wrapText="1"/>
    </xf>
    <xf numFmtId="0" fontId="16" fillId="0" borderId="1" xfId="0" applyFont="1" applyBorder="1" applyAlignment="1">
      <alignment horizontal="left" vertical="center" wrapText="1"/>
    </xf>
    <xf numFmtId="0" fontId="4" fillId="0" borderId="0" xfId="1"/>
    <xf numFmtId="0" fontId="3" fillId="0" borderId="7" xfId="1" applyFont="1" applyBorder="1" applyAlignment="1">
      <alignment horizontal="center" vertical="center"/>
    </xf>
    <xf numFmtId="0" fontId="3" fillId="0" borderId="7" xfId="1" applyFont="1" applyBorder="1" applyAlignment="1">
      <alignment horizontal="center"/>
    </xf>
    <xf numFmtId="0" fontId="3" fillId="0" borderId="7" xfId="1" applyFont="1" applyBorder="1" applyAlignment="1">
      <alignment horizontal="center" vertical="center" wrapText="1"/>
    </xf>
    <xf numFmtId="0" fontId="8" fillId="0" borderId="13" xfId="1" applyFont="1" applyBorder="1" applyAlignment="1">
      <alignment horizontal="center" vertical="center"/>
    </xf>
    <xf numFmtId="0" fontId="3" fillId="0" borderId="1" xfId="1" applyFont="1" applyBorder="1" applyAlignment="1">
      <alignment horizontal="center" vertical="center"/>
    </xf>
    <xf numFmtId="0" fontId="3" fillId="0" borderId="1" xfId="1" applyFont="1" applyBorder="1" applyAlignment="1">
      <alignment horizontal="center"/>
    </xf>
    <xf numFmtId="0" fontId="3" fillId="0" borderId="1" xfId="1" applyFont="1" applyBorder="1" applyAlignment="1">
      <alignment horizontal="justify" vertical="center"/>
    </xf>
    <xf numFmtId="0" fontId="3" fillId="0" borderId="1" xfId="1" applyFont="1" applyBorder="1" applyAlignment="1">
      <alignment vertical="center"/>
    </xf>
    <xf numFmtId="0" fontId="8" fillId="0" borderId="16" xfId="1" applyFont="1" applyBorder="1" applyAlignment="1">
      <alignment horizontal="center" vertical="center" wrapText="1"/>
    </xf>
    <xf numFmtId="0" fontId="8" fillId="0" borderId="13" xfId="1" applyFont="1" applyBorder="1" applyAlignment="1">
      <alignment horizontal="center" vertical="center" wrapText="1"/>
    </xf>
    <xf numFmtId="3" fontId="3" fillId="0" borderId="1" xfId="1" applyNumberFormat="1" applyFont="1" applyBorder="1" applyAlignment="1">
      <alignment horizontal="center" vertical="center" wrapText="1"/>
    </xf>
    <xf numFmtId="0" fontId="3" fillId="0" borderId="1" xfId="1" applyFont="1" applyBorder="1" applyAlignment="1">
      <alignment horizontal="center" vertical="top" wrapText="1"/>
    </xf>
    <xf numFmtId="172" fontId="3" fillId="0" borderId="1" xfId="14" applyNumberFormat="1" applyFont="1" applyBorder="1" applyAlignment="1">
      <alignment horizontal="center" vertical="center" wrapText="1"/>
    </xf>
    <xf numFmtId="0" fontId="4" fillId="0" borderId="1" xfId="1" applyBorder="1" applyAlignment="1">
      <alignment vertical="top" wrapText="1"/>
    </xf>
    <xf numFmtId="0" fontId="4" fillId="0" borderId="1" xfId="1" applyBorder="1" applyAlignment="1">
      <alignment horizontal="justify" vertical="center"/>
    </xf>
    <xf numFmtId="4" fontId="3" fillId="0" borderId="1" xfId="1" applyNumberFormat="1" applyFont="1" applyBorder="1" applyAlignment="1">
      <alignment horizontal="center" vertical="center" wrapText="1"/>
    </xf>
    <xf numFmtId="0" fontId="3" fillId="0" borderId="1" xfId="1" applyFont="1" applyBorder="1" applyAlignment="1">
      <alignment vertical="top" wrapText="1"/>
    </xf>
    <xf numFmtId="0" fontId="23" fillId="0" borderId="1" xfId="1" applyFont="1" applyBorder="1" applyAlignment="1">
      <alignment horizontal="justify" vertical="center"/>
    </xf>
    <xf numFmtId="2" fontId="3" fillId="0" borderId="1" xfId="1" applyNumberFormat="1" applyFont="1" applyBorder="1" applyAlignment="1">
      <alignment horizontal="center" vertical="center" wrapText="1"/>
    </xf>
    <xf numFmtId="3" fontId="3" fillId="0" borderId="1" xfId="1" applyNumberFormat="1" applyFont="1" applyBorder="1" applyAlignment="1">
      <alignment horizontal="center" vertical="center"/>
    </xf>
    <xf numFmtId="167" fontId="3" fillId="0" borderId="1" xfId="1" applyNumberFormat="1" applyFont="1" applyBorder="1" applyAlignment="1">
      <alignment horizontal="center" vertical="center"/>
    </xf>
    <xf numFmtId="0" fontId="3" fillId="4" borderId="1" xfId="1" applyFont="1" applyFill="1" applyBorder="1" applyAlignment="1">
      <alignment horizontal="center"/>
    </xf>
    <xf numFmtId="4" fontId="3" fillId="0" borderId="1" xfId="1" applyNumberFormat="1" applyFont="1" applyBorder="1" applyAlignment="1">
      <alignment horizontal="center" vertical="center"/>
    </xf>
    <xf numFmtId="0" fontId="56" fillId="0" borderId="1" xfId="1" applyFont="1" applyBorder="1" applyAlignment="1">
      <alignment horizontal="center" vertical="top" wrapText="1"/>
    </xf>
    <xf numFmtId="0" fontId="56" fillId="0" borderId="1" xfId="1" applyFont="1" applyBorder="1" applyAlignment="1">
      <alignment horizontal="center" vertical="center" wrapText="1"/>
    </xf>
    <xf numFmtId="165" fontId="3" fillId="0" borderId="1" xfId="1" applyNumberFormat="1" applyFont="1" applyBorder="1" applyAlignment="1">
      <alignment vertical="center"/>
    </xf>
    <xf numFmtId="3" fontId="3" fillId="4" borderId="1" xfId="1" applyNumberFormat="1" applyFont="1" applyFill="1" applyBorder="1" applyAlignment="1">
      <alignment horizontal="center" vertical="center"/>
    </xf>
    <xf numFmtId="0" fontId="3" fillId="4" borderId="1" xfId="1" applyFont="1" applyFill="1" applyBorder="1" applyAlignment="1">
      <alignment vertical="center"/>
    </xf>
    <xf numFmtId="2" fontId="3" fillId="0" borderId="1" xfId="1" applyNumberFormat="1" applyFont="1" applyBorder="1" applyAlignment="1">
      <alignment horizontal="center" vertical="center"/>
    </xf>
    <xf numFmtId="2" fontId="3" fillId="0" borderId="1" xfId="1" applyNumberFormat="1" applyFont="1" applyBorder="1" applyAlignment="1">
      <alignment horizontal="center"/>
    </xf>
    <xf numFmtId="167" fontId="3" fillId="0" borderId="1" xfId="1" applyNumberFormat="1" applyFont="1" applyBorder="1" applyAlignment="1">
      <alignment horizontal="center" vertical="center" wrapText="1"/>
    </xf>
    <xf numFmtId="0" fontId="61" fillId="0" borderId="13" xfId="1" applyFont="1" applyBorder="1" applyAlignment="1">
      <alignment horizontal="center" vertical="center" wrapText="1"/>
    </xf>
    <xf numFmtId="3" fontId="44" fillId="0" borderId="1" xfId="1" applyNumberFormat="1" applyFont="1" applyBorder="1" applyAlignment="1">
      <alignment horizontal="center" vertical="center" wrapText="1"/>
    </xf>
    <xf numFmtId="2" fontId="44" fillId="0" borderId="1" xfId="1" applyNumberFormat="1" applyFont="1" applyBorder="1" applyAlignment="1">
      <alignment horizontal="center" vertical="center" wrapText="1"/>
    </xf>
    <xf numFmtId="0" fontId="44" fillId="0" borderId="1" xfId="1" applyFont="1" applyBorder="1" applyAlignment="1">
      <alignment horizontal="center" vertical="center" wrapText="1"/>
    </xf>
    <xf numFmtId="167" fontId="44" fillId="0" borderId="1" xfId="1" applyNumberFormat="1" applyFont="1" applyBorder="1" applyAlignment="1">
      <alignment horizontal="center" vertical="center" wrapText="1"/>
    </xf>
    <xf numFmtId="0" fontId="44" fillId="0" borderId="1" xfId="1" applyFont="1" applyBorder="1" applyAlignment="1">
      <alignment horizontal="center" vertical="center"/>
    </xf>
    <xf numFmtId="173" fontId="44" fillId="0" borderId="1" xfId="1" applyNumberFormat="1" applyFont="1" applyBorder="1" applyAlignment="1">
      <alignment horizontal="center" vertical="center" wrapText="1"/>
    </xf>
    <xf numFmtId="4" fontId="44" fillId="0" borderId="1" xfId="1" applyNumberFormat="1" applyFont="1" applyBorder="1" applyAlignment="1">
      <alignment horizontal="center" vertical="center" wrapText="1"/>
    </xf>
    <xf numFmtId="173" fontId="3" fillId="0" borderId="1" xfId="1" applyNumberFormat="1" applyFont="1" applyBorder="1" applyAlignment="1">
      <alignment horizontal="center" vertical="center" wrapText="1"/>
    </xf>
    <xf numFmtId="167" fontId="3" fillId="0" borderId="1" xfId="14" applyNumberFormat="1" applyFont="1" applyBorder="1" applyAlignment="1">
      <alignment horizontal="center" vertical="center" wrapText="1"/>
    </xf>
    <xf numFmtId="0" fontId="8" fillId="4" borderId="13" xfId="1" applyFont="1" applyFill="1" applyBorder="1" applyAlignment="1">
      <alignment horizontal="center" vertical="center" wrapText="1"/>
    </xf>
    <xf numFmtId="167" fontId="3" fillId="4" borderId="1" xfId="1" applyNumberFormat="1" applyFont="1" applyFill="1" applyBorder="1" applyAlignment="1">
      <alignment horizontal="center" vertical="center" wrapText="1"/>
    </xf>
    <xf numFmtId="167" fontId="3" fillId="4" borderId="1" xfId="14" applyNumberFormat="1" applyFont="1" applyFill="1" applyBorder="1" applyAlignment="1">
      <alignment horizontal="center" vertical="center" wrapText="1"/>
    </xf>
    <xf numFmtId="173" fontId="3" fillId="0" borderId="1" xfId="14" applyNumberFormat="1" applyFont="1" applyBorder="1" applyAlignment="1">
      <alignment horizontal="center" vertical="center" wrapText="1"/>
    </xf>
    <xf numFmtId="167" fontId="3" fillId="0" borderId="1" xfId="14" applyNumberFormat="1" applyFont="1" applyFill="1" applyBorder="1" applyAlignment="1">
      <alignment horizontal="center" vertical="center" wrapText="1"/>
    </xf>
    <xf numFmtId="0" fontId="3" fillId="0" borderId="1" xfId="14" applyNumberFormat="1" applyFont="1" applyBorder="1" applyAlignment="1">
      <alignment horizontal="center" vertical="center" wrapText="1"/>
    </xf>
    <xf numFmtId="167" fontId="3" fillId="0" borderId="1" xfId="1" applyNumberFormat="1" applyFont="1" applyBorder="1" applyAlignment="1">
      <alignment vertical="center"/>
    </xf>
    <xf numFmtId="0" fontId="61" fillId="4" borderId="13" xfId="1" applyFont="1" applyFill="1" applyBorder="1" applyAlignment="1">
      <alignment horizontal="center" vertical="center" wrapText="1"/>
    </xf>
    <xf numFmtId="0" fontId="44" fillId="4" borderId="1" xfId="1" applyFont="1" applyFill="1" applyBorder="1" applyAlignment="1">
      <alignment horizontal="center" vertical="center" wrapText="1"/>
    </xf>
    <xf numFmtId="167" fontId="44" fillId="4" borderId="1" xfId="1" applyNumberFormat="1" applyFont="1" applyFill="1" applyBorder="1" applyAlignment="1">
      <alignment horizontal="center" vertical="center" wrapText="1"/>
    </xf>
    <xf numFmtId="0" fontId="62" fillId="0" borderId="13" xfId="1" applyFont="1" applyBorder="1" applyAlignment="1">
      <alignment horizontal="center" vertical="center" wrapText="1"/>
    </xf>
    <xf numFmtId="2" fontId="52" fillId="0" borderId="1" xfId="1" applyNumberFormat="1" applyFont="1" applyBorder="1" applyAlignment="1">
      <alignment horizontal="center" vertical="center"/>
    </xf>
    <xf numFmtId="2" fontId="44" fillId="0" borderId="1" xfId="1" applyNumberFormat="1" applyFont="1" applyBorder="1" applyAlignment="1">
      <alignment horizontal="center" vertical="center"/>
    </xf>
    <xf numFmtId="0" fontId="61" fillId="0" borderId="1" xfId="1" applyFont="1" applyBorder="1" applyAlignment="1">
      <alignment vertical="center"/>
    </xf>
    <xf numFmtId="0" fontId="52" fillId="0" borderId="1" xfId="1" applyFont="1" applyBorder="1" applyAlignment="1">
      <alignment vertical="center" wrapText="1"/>
    </xf>
    <xf numFmtId="3" fontId="52" fillId="0" borderId="1" xfId="1" applyNumberFormat="1" applyFont="1" applyBorder="1" applyAlignment="1">
      <alignment horizontal="center" vertical="center"/>
    </xf>
    <xf numFmtId="0" fontId="52" fillId="0" borderId="1" xfId="1" applyFont="1" applyBorder="1" applyAlignment="1">
      <alignment horizontal="center"/>
    </xf>
    <xf numFmtId="0" fontId="52" fillId="0" borderId="1" xfId="1" applyFont="1" applyBorder="1" applyAlignment="1">
      <alignment horizontal="center" vertical="center"/>
    </xf>
    <xf numFmtId="0" fontId="3" fillId="0" borderId="1" xfId="1" applyFont="1" applyBorder="1" applyAlignment="1">
      <alignment vertical="center" wrapText="1"/>
    </xf>
    <xf numFmtId="1" fontId="3" fillId="0" borderId="1" xfId="1" applyNumberFormat="1" applyFont="1" applyBorder="1" applyAlignment="1">
      <alignment horizontal="center" vertical="center"/>
    </xf>
    <xf numFmtId="0" fontId="44" fillId="0" borderId="1" xfId="1" applyFont="1" applyBorder="1" applyAlignment="1">
      <alignment horizontal="justify" vertical="center"/>
    </xf>
    <xf numFmtId="1" fontId="3" fillId="0" borderId="1" xfId="1" applyNumberFormat="1" applyFont="1" applyBorder="1" applyAlignment="1">
      <alignment horizontal="center" vertical="center" wrapText="1"/>
    </xf>
    <xf numFmtId="41" fontId="52" fillId="0" borderId="1" xfId="15" applyFont="1" applyFill="1" applyBorder="1" applyAlignment="1">
      <alignment horizontal="center" vertical="center"/>
    </xf>
    <xf numFmtId="174" fontId="3" fillId="0" borderId="1" xfId="1" applyNumberFormat="1" applyFont="1" applyBorder="1" applyAlignment="1">
      <alignment vertical="center"/>
    </xf>
    <xf numFmtId="41" fontId="3" fillId="0" borderId="1" xfId="15" applyFont="1" applyFill="1" applyBorder="1" applyAlignment="1">
      <alignment horizontal="center" vertical="center"/>
    </xf>
    <xf numFmtId="0" fontId="61" fillId="0" borderId="1" xfId="1" applyFont="1" applyBorder="1" applyAlignment="1">
      <alignment horizontal="center" vertical="center" wrapText="1"/>
    </xf>
    <xf numFmtId="0" fontId="62" fillId="0" borderId="1" xfId="1" applyFont="1" applyBorder="1" applyAlignment="1">
      <alignment horizontal="center" vertical="center"/>
    </xf>
    <xf numFmtId="0" fontId="62" fillId="0" borderId="1" xfId="1" applyFont="1" applyBorder="1" applyAlignment="1">
      <alignment horizontal="justify" vertical="center"/>
    </xf>
    <xf numFmtId="0" fontId="62" fillId="0" borderId="1" xfId="1" applyFont="1" applyBorder="1" applyAlignment="1">
      <alignment horizontal="center" vertical="center" wrapText="1"/>
    </xf>
    <xf numFmtId="0" fontId="52" fillId="0" borderId="1" xfId="1" applyFont="1" applyBorder="1" applyAlignment="1">
      <alignment horizontal="left" vertical="center"/>
    </xf>
    <xf numFmtId="0" fontId="3" fillId="4" borderId="1" xfId="1" applyFont="1" applyFill="1" applyBorder="1" applyAlignment="1">
      <alignment horizontal="justify" vertical="center"/>
    </xf>
    <xf numFmtId="0" fontId="3" fillId="4" borderId="1" xfId="1" applyFont="1" applyFill="1" applyBorder="1" applyAlignment="1">
      <alignment horizontal="center" vertical="center"/>
    </xf>
    <xf numFmtId="0" fontId="3" fillId="4" borderId="1" xfId="1" applyFont="1" applyFill="1" applyBorder="1" applyAlignment="1">
      <alignment vertical="center" wrapText="1"/>
    </xf>
    <xf numFmtId="0" fontId="20" fillId="0" borderId="0" xfId="1" applyFont="1" applyAlignment="1">
      <alignment horizontal="center" vertical="center"/>
    </xf>
    <xf numFmtId="0" fontId="4" fillId="0" borderId="0" xfId="1" applyAlignment="1">
      <alignment vertical="center"/>
    </xf>
    <xf numFmtId="0" fontId="4" fillId="0" borderId="0" xfId="1" applyAlignment="1">
      <alignment vertical="center" wrapText="1"/>
    </xf>
    <xf numFmtId="0" fontId="4" fillId="0" borderId="0" xfId="1" applyAlignment="1">
      <alignment horizontal="center" vertical="center" wrapText="1"/>
    </xf>
    <xf numFmtId="0" fontId="4" fillId="0" borderId="0" xfId="1" applyAlignment="1">
      <alignment horizontal="center" vertical="center"/>
    </xf>
    <xf numFmtId="0" fontId="4" fillId="0" borderId="0" xfId="1" applyAlignment="1">
      <alignment horizontal="justify" vertical="center"/>
    </xf>
    <xf numFmtId="0" fontId="8" fillId="0" borderId="13" xfId="1" applyFont="1" applyBorder="1" applyAlignment="1">
      <alignment horizontal="center" wrapText="1"/>
    </xf>
    <xf numFmtId="0" fontId="3" fillId="0" borderId="1" xfId="1" applyFont="1" applyBorder="1" applyAlignment="1">
      <alignment horizontal="justify" wrapText="1"/>
    </xf>
    <xf numFmtId="0" fontId="8" fillId="0" borderId="13" xfId="1" applyFont="1" applyBorder="1" applyAlignment="1">
      <alignment horizontal="center" vertical="top" wrapText="1"/>
    </xf>
    <xf numFmtId="0" fontId="3" fillId="0" borderId="1" xfId="1" applyFont="1" applyBorder="1" applyAlignment="1">
      <alignment horizontal="justify" vertical="top" wrapText="1"/>
    </xf>
    <xf numFmtId="0" fontId="4" fillId="0" borderId="1" xfId="1" applyBorder="1" applyAlignment="1">
      <alignment horizontal="justify"/>
    </xf>
    <xf numFmtId="0" fontId="4" fillId="0" borderId="1" xfId="1" applyBorder="1" applyAlignment="1">
      <alignment horizontal="center" vertical="center"/>
    </xf>
    <xf numFmtId="0" fontId="4" fillId="0" borderId="1" xfId="1" applyBorder="1" applyAlignment="1">
      <alignment horizontal="justify" wrapText="1"/>
    </xf>
    <xf numFmtId="0" fontId="3" fillId="0" borderId="7" xfId="1" applyFont="1" applyBorder="1" applyAlignment="1">
      <alignment horizontal="justify" vertical="center" wrapText="1"/>
    </xf>
    <xf numFmtId="0" fontId="3" fillId="0" borderId="1" xfId="1" applyFont="1" applyBorder="1" applyAlignment="1">
      <alignment horizontal="justify" vertical="center" wrapText="1"/>
    </xf>
    <xf numFmtId="0" fontId="44" fillId="0" borderId="1" xfId="1" applyFont="1" applyBorder="1" applyAlignment="1">
      <alignment horizontal="justify" vertical="center" wrapText="1"/>
    </xf>
    <xf numFmtId="166" fontId="3" fillId="0" borderId="1" xfId="14" applyNumberFormat="1" applyFont="1" applyBorder="1" applyAlignment="1">
      <alignment horizontal="center" vertical="center" wrapText="1"/>
    </xf>
    <xf numFmtId="168" fontId="3" fillId="0" borderId="1" xfId="1" applyNumberFormat="1" applyFont="1" applyBorder="1" applyAlignment="1">
      <alignment horizontal="center" vertical="center" wrapText="1"/>
    </xf>
    <xf numFmtId="0" fontId="68" fillId="0" borderId="1" xfId="1" applyFont="1" applyBorder="1" applyAlignment="1">
      <alignment horizontal="justify" vertical="center" wrapText="1"/>
    </xf>
    <xf numFmtId="0" fontId="4" fillId="0" borderId="1" xfId="1" applyBorder="1" applyAlignment="1">
      <alignment horizontal="justify" vertical="center" wrapText="1"/>
    </xf>
    <xf numFmtId="0" fontId="66" fillId="0" borderId="13" xfId="1" applyFont="1" applyBorder="1" applyAlignment="1">
      <alignment horizontal="center" vertical="center" wrapText="1"/>
    </xf>
    <xf numFmtId="0" fontId="34" fillId="0" borderId="1" xfId="1" applyFont="1" applyBorder="1" applyAlignment="1">
      <alignment horizontal="center" vertical="center" wrapText="1"/>
    </xf>
    <xf numFmtId="0" fontId="34" fillId="0" borderId="1" xfId="1" applyFont="1" applyBorder="1" applyAlignment="1">
      <alignment horizontal="justify" vertical="center" wrapText="1"/>
    </xf>
    <xf numFmtId="0" fontId="22" fillId="0" borderId="1" xfId="1" applyFont="1" applyBorder="1" applyAlignment="1">
      <alignment horizontal="center" vertical="center" wrapText="1"/>
    </xf>
    <xf numFmtId="0" fontId="67" fillId="0" borderId="1" xfId="1" applyFont="1" applyBorder="1" applyAlignment="1">
      <alignment horizontal="justify" vertical="center" wrapText="1"/>
    </xf>
    <xf numFmtId="0" fontId="68" fillId="0" borderId="1" xfId="1" applyFont="1" applyBorder="1" applyAlignment="1">
      <alignment horizontal="center" vertical="center" wrapText="1"/>
    </xf>
    <xf numFmtId="0" fontId="69" fillId="0" borderId="1" xfId="6" applyFont="1" applyBorder="1" applyAlignment="1" applyProtection="1">
      <alignment horizontal="center" vertical="center" wrapText="1"/>
      <protection locked="0"/>
    </xf>
    <xf numFmtId="0" fontId="21" fillId="0" borderId="1" xfId="6" applyFont="1" applyBorder="1" applyAlignment="1" applyProtection="1">
      <alignment horizontal="justify" vertical="center" wrapText="1"/>
      <protection locked="0"/>
    </xf>
    <xf numFmtId="0" fontId="66" fillId="0" borderId="1" xfId="1" applyFont="1" applyBorder="1" applyAlignment="1">
      <alignment horizontal="center" vertical="center" wrapText="1"/>
    </xf>
    <xf numFmtId="0" fontId="68" fillId="0" borderId="1" xfId="1" applyFont="1" applyBorder="1" applyAlignment="1">
      <alignment horizontal="center" vertical="center"/>
    </xf>
    <xf numFmtId="0" fontId="37" fillId="0" borderId="1" xfId="1" applyFont="1" applyBorder="1" applyAlignment="1">
      <alignment horizontal="center" vertical="center"/>
    </xf>
    <xf numFmtId="167" fontId="24" fillId="0" borderId="1" xfId="1" applyNumberFormat="1" applyFont="1" applyBorder="1" applyAlignment="1">
      <alignment horizontal="center" vertical="center"/>
    </xf>
    <xf numFmtId="0" fontId="20" fillId="0" borderId="0" xfId="1" applyFont="1" applyAlignment="1">
      <alignment horizontal="center"/>
    </xf>
    <xf numFmtId="0" fontId="4" fillId="0" borderId="0" xfId="1" applyAlignment="1">
      <alignment horizontal="justify"/>
    </xf>
    <xf numFmtId="0" fontId="0" fillId="0" borderId="0" xfId="0" applyAlignment="1">
      <alignment horizontal="left"/>
    </xf>
    <xf numFmtId="0" fontId="8" fillId="0" borderId="13" xfId="1" applyFont="1" applyBorder="1" applyAlignment="1">
      <alignment vertical="center" wrapText="1"/>
    </xf>
    <xf numFmtId="0" fontId="61" fillId="0" borderId="13" xfId="1" applyFont="1" applyBorder="1" applyAlignment="1">
      <alignment vertical="center" wrapText="1"/>
    </xf>
    <xf numFmtId="0" fontId="61" fillId="0" borderId="13" xfId="1" applyFont="1" applyBorder="1" applyAlignment="1">
      <alignment vertical="center"/>
    </xf>
    <xf numFmtId="0" fontId="61" fillId="0" borderId="1" xfId="1" applyFont="1" applyBorder="1" applyAlignment="1">
      <alignment horizontal="center" vertical="center"/>
    </xf>
    <xf numFmtId="0" fontId="64" fillId="0" borderId="1" xfId="1" applyFont="1" applyBorder="1" applyAlignment="1">
      <alignment horizontal="center" vertical="center" wrapText="1"/>
    </xf>
    <xf numFmtId="0" fontId="3" fillId="0" borderId="1" xfId="6" applyFont="1" applyBorder="1" applyAlignment="1" applyProtection="1">
      <alignment horizontal="justify" vertical="center"/>
      <protection locked="0"/>
    </xf>
    <xf numFmtId="0" fontId="63" fillId="0" borderId="1" xfId="6" applyFont="1" applyBorder="1" applyAlignment="1" applyProtection="1">
      <alignment horizontal="center" vertical="center" textRotation="90" wrapText="1"/>
      <protection locked="0"/>
    </xf>
    <xf numFmtId="0" fontId="62" fillId="0" borderId="13" xfId="1" applyFont="1" applyBorder="1" applyAlignment="1">
      <alignment vertical="center" wrapText="1"/>
    </xf>
    <xf numFmtId="0" fontId="56" fillId="0" borderId="1" xfId="6" applyFont="1" applyBorder="1" applyAlignment="1" applyProtection="1">
      <alignment horizontal="justify" vertical="center"/>
      <protection locked="0"/>
    </xf>
    <xf numFmtId="0" fontId="52" fillId="0" borderId="1" xfId="1" applyFont="1" applyBorder="1" applyAlignment="1">
      <alignment horizontal="center" vertical="center" wrapText="1"/>
    </xf>
    <xf numFmtId="0" fontId="52" fillId="0" borderId="1" xfId="1" applyFont="1" applyBorder="1" applyAlignment="1">
      <alignment horizontal="justify" vertical="center"/>
    </xf>
    <xf numFmtId="3" fontId="3" fillId="0" borderId="1" xfId="1" applyNumberFormat="1" applyFont="1" applyBorder="1" applyAlignment="1">
      <alignment horizontal="justify" vertical="center"/>
    </xf>
    <xf numFmtId="49" fontId="3" fillId="0" borderId="1" xfId="1" applyNumberFormat="1" applyFont="1" applyBorder="1" applyAlignment="1">
      <alignment horizontal="center" vertical="center"/>
    </xf>
    <xf numFmtId="0" fontId="66" fillId="0" borderId="13" xfId="1" applyFont="1" applyBorder="1" applyAlignment="1">
      <alignment vertical="center" wrapText="1"/>
    </xf>
    <xf numFmtId="0" fontId="13" fillId="3" borderId="1" xfId="0" applyFont="1" applyFill="1" applyBorder="1" applyAlignment="1">
      <alignment horizontal="center" vertical="center"/>
    </xf>
    <xf numFmtId="0" fontId="4" fillId="0" borderId="1" xfId="11" applyBorder="1" applyAlignment="1">
      <alignment horizontal="center" vertical="center" wrapText="1"/>
    </xf>
    <xf numFmtId="0" fontId="3" fillId="0" borderId="1" xfId="11" applyFont="1" applyBorder="1" applyAlignment="1">
      <alignment horizontal="center" vertical="center" wrapText="1"/>
    </xf>
    <xf numFmtId="0" fontId="33" fillId="12" borderId="1" xfId="1" applyFont="1" applyFill="1" applyBorder="1" applyAlignment="1">
      <alignment horizontal="center" vertical="center" wrapText="1"/>
    </xf>
    <xf numFmtId="0" fontId="33" fillId="12" borderId="13" xfId="1" applyFont="1" applyFill="1" applyBorder="1" applyAlignment="1">
      <alignment horizontal="left" vertical="center" wrapText="1"/>
    </xf>
    <xf numFmtId="0" fontId="33" fillId="12" borderId="1" xfId="1" applyFont="1" applyFill="1" applyBorder="1" applyAlignment="1">
      <alignment horizontal="left" vertical="center" wrapText="1"/>
    </xf>
    <xf numFmtId="164" fontId="33" fillId="12" borderId="14" xfId="9" applyNumberFormat="1" applyFont="1" applyFill="1" applyBorder="1" applyAlignment="1">
      <alignment horizontal="center" vertical="center" wrapText="1"/>
    </xf>
    <xf numFmtId="0" fontId="33" fillId="0" borderId="1" xfId="1" applyFont="1" applyBorder="1" applyAlignment="1">
      <alignment horizontal="center" vertical="center" wrapText="1"/>
    </xf>
    <xf numFmtId="0" fontId="33" fillId="0" borderId="13" xfId="1" applyFont="1" applyBorder="1" applyAlignment="1">
      <alignment horizontal="left" vertical="center" wrapText="1"/>
    </xf>
    <xf numFmtId="0" fontId="33" fillId="0" borderId="1" xfId="1" applyFont="1" applyBorder="1" applyAlignment="1">
      <alignment horizontal="left" vertical="center" wrapText="1"/>
    </xf>
    <xf numFmtId="164" fontId="33" fillId="0" borderId="14" xfId="9" applyNumberFormat="1" applyFont="1" applyFill="1" applyBorder="1" applyAlignment="1">
      <alignment horizontal="center" vertical="center" wrapText="1"/>
    </xf>
    <xf numFmtId="0" fontId="0" fillId="0" borderId="1" xfId="0" applyBorder="1" applyAlignment="1">
      <alignment vertical="center"/>
    </xf>
    <xf numFmtId="4" fontId="0" fillId="0" borderId="1" xfId="0" applyNumberFormat="1" applyBorder="1" applyAlignment="1">
      <alignment vertical="center"/>
    </xf>
    <xf numFmtId="0" fontId="4" fillId="0" borderId="1" xfId="0" applyFont="1" applyBorder="1" applyAlignment="1">
      <alignment horizontal="left" vertical="center"/>
    </xf>
    <xf numFmtId="0" fontId="4" fillId="0" borderId="1" xfId="0" applyFont="1" applyBorder="1" applyAlignment="1">
      <alignment vertical="center"/>
    </xf>
    <xf numFmtId="4" fontId="4" fillId="0" borderId="1" xfId="0" applyNumberFormat="1" applyFont="1" applyBorder="1" applyAlignment="1">
      <alignment vertical="center"/>
    </xf>
    <xf numFmtId="0" fontId="78" fillId="0" borderId="1" xfId="11" applyFont="1" applyBorder="1" applyAlignment="1">
      <alignment horizontal="center" vertical="center" wrapText="1"/>
    </xf>
    <xf numFmtId="0" fontId="79" fillId="0" borderId="1" xfId="0" applyFont="1" applyBorder="1" applyAlignment="1">
      <alignment horizontal="center" vertical="center" wrapText="1"/>
    </xf>
    <xf numFmtId="0" fontId="78"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33" fillId="0" borderId="13" xfId="1" applyFont="1" applyBorder="1" applyAlignment="1">
      <alignment horizontal="center" vertical="center"/>
    </xf>
    <xf numFmtId="0" fontId="33" fillId="0" borderId="1" xfId="1" applyFont="1" applyBorder="1" applyAlignment="1">
      <alignment horizontal="center" vertical="center"/>
    </xf>
    <xf numFmtId="164" fontId="33" fillId="0" borderId="14" xfId="1" applyNumberFormat="1" applyFont="1" applyBorder="1" applyAlignment="1">
      <alignment horizontal="right" vertical="center" wrapText="1"/>
    </xf>
    <xf numFmtId="44" fontId="10" fillId="0" borderId="1" xfId="9"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pplyAlignment="1">
      <alignment horizontal="left" vertical="center"/>
    </xf>
    <xf numFmtId="0" fontId="78" fillId="0" borderId="1" xfId="1" applyFont="1" applyBorder="1" applyAlignment="1">
      <alignment horizontal="center" vertical="center"/>
    </xf>
    <xf numFmtId="0" fontId="12" fillId="0" borderId="1" xfId="1" applyFont="1" applyBorder="1" applyAlignment="1">
      <alignment horizontal="center" vertical="center"/>
    </xf>
    <xf numFmtId="0" fontId="57" fillId="0" borderId="1" xfId="0" applyFont="1" applyBorder="1" applyAlignment="1">
      <alignment vertical="center" wrapText="1"/>
    </xf>
    <xf numFmtId="0" fontId="21" fillId="0" borderId="1" xfId="0" applyFont="1" applyBorder="1" applyAlignment="1">
      <alignment vertical="center" wrapText="1"/>
    </xf>
    <xf numFmtId="0" fontId="0" fillId="0" borderId="1" xfId="0" applyBorder="1" applyAlignment="1">
      <alignment vertical="center" wrapText="1"/>
    </xf>
    <xf numFmtId="0" fontId="0" fillId="4" borderId="1" xfId="0" applyFill="1" applyBorder="1" applyAlignment="1">
      <alignment horizontal="left" vertical="center"/>
    </xf>
    <xf numFmtId="0" fontId="0" fillId="4" borderId="1" xfId="0" applyFill="1" applyBorder="1" applyAlignment="1">
      <alignment horizontal="left" vertical="center" wrapText="1"/>
    </xf>
    <xf numFmtId="0" fontId="57" fillId="0" borderId="1" xfId="0" applyFont="1" applyBorder="1" applyAlignment="1">
      <alignment vertical="center"/>
    </xf>
    <xf numFmtId="44" fontId="10" fillId="0" borderId="1" xfId="0" applyNumberFormat="1" applyFont="1" applyBorder="1"/>
    <xf numFmtId="0" fontId="21" fillId="4" borderId="1" xfId="0" applyFont="1" applyFill="1" applyBorder="1" applyAlignment="1">
      <alignment horizontal="center" vertical="center" wrapText="1"/>
    </xf>
    <xf numFmtId="1" fontId="21" fillId="4" borderId="1" xfId="0" applyNumberFormat="1" applyFont="1" applyFill="1" applyBorder="1" applyAlignment="1">
      <alignment horizontal="center" vertical="center" wrapText="1"/>
    </xf>
    <xf numFmtId="1" fontId="80" fillId="4" borderId="1" xfId="0" applyNumberFormat="1" applyFont="1" applyFill="1" applyBorder="1" applyAlignment="1">
      <alignment horizontal="left" vertical="top" wrapText="1"/>
    </xf>
    <xf numFmtId="0" fontId="81" fillId="0" borderId="1" xfId="0" applyFont="1" applyBorder="1" applyAlignment="1">
      <alignment horizontal="left" vertical="top"/>
    </xf>
    <xf numFmtId="0" fontId="81" fillId="0" borderId="1" xfId="0" applyFont="1" applyBorder="1" applyAlignment="1">
      <alignment horizontal="left" vertical="top" wrapText="1"/>
    </xf>
    <xf numFmtId="0" fontId="24" fillId="0" borderId="1" xfId="0" applyFont="1" applyBorder="1" applyAlignment="1">
      <alignment horizontal="left" vertical="top" wrapText="1"/>
    </xf>
    <xf numFmtId="2" fontId="24" fillId="0" borderId="1" xfId="0" applyNumberFormat="1" applyFont="1" applyBorder="1" applyAlignment="1">
      <alignment horizontal="left" vertical="top" wrapText="1"/>
    </xf>
    <xf numFmtId="167" fontId="24" fillId="0" borderId="1" xfId="0" applyNumberFormat="1" applyFont="1" applyBorder="1" applyAlignment="1">
      <alignment horizontal="left" vertical="top" wrapText="1"/>
    </xf>
    <xf numFmtId="0" fontId="80" fillId="0" borderId="1" xfId="1" applyFont="1" applyBorder="1" applyAlignment="1">
      <alignment horizontal="left" vertical="top" wrapText="1"/>
    </xf>
    <xf numFmtId="0" fontId="80" fillId="4" borderId="1" xfId="1" applyFont="1" applyFill="1" applyBorder="1" applyAlignment="1">
      <alignment horizontal="left" vertical="top" wrapText="1"/>
    </xf>
    <xf numFmtId="0" fontId="80" fillId="4" borderId="1" xfId="0" applyFont="1" applyFill="1" applyBorder="1" applyAlignment="1">
      <alignment horizontal="center" vertical="center" wrapText="1"/>
    </xf>
    <xf numFmtId="1" fontId="80" fillId="4" borderId="1" xfId="0" applyNumberFormat="1" applyFont="1" applyFill="1" applyBorder="1" applyAlignment="1">
      <alignment horizontal="center" vertical="center" wrapText="1"/>
    </xf>
    <xf numFmtId="0" fontId="80" fillId="4" borderId="1" xfId="0" applyFont="1" applyFill="1" applyBorder="1" applyAlignment="1">
      <alignment horizontal="justify" vertical="center" wrapText="1"/>
    </xf>
    <xf numFmtId="0" fontId="80" fillId="0" borderId="1" xfId="0" applyFont="1" applyBorder="1" applyAlignment="1">
      <alignment horizontal="center" vertical="center" wrapText="1"/>
    </xf>
    <xf numFmtId="0" fontId="80" fillId="0" borderId="1" xfId="0" applyFont="1" applyBorder="1" applyAlignment="1">
      <alignment horizontal="left" vertical="top" wrapText="1"/>
    </xf>
    <xf numFmtId="0" fontId="24" fillId="0" borderId="1" xfId="0" applyFont="1" applyBorder="1" applyAlignment="1">
      <alignment vertical="center"/>
    </xf>
    <xf numFmtId="0" fontId="80" fillId="0" borderId="1" xfId="1" applyFont="1" applyBorder="1" applyAlignment="1">
      <alignment horizontal="center" vertical="center" wrapText="1"/>
    </xf>
    <xf numFmtId="0" fontId="80" fillId="0" borderId="1" xfId="1" applyFont="1" applyBorder="1" applyAlignment="1">
      <alignment vertical="center" wrapText="1"/>
    </xf>
    <xf numFmtId="0" fontId="80" fillId="0" borderId="1" xfId="1" applyFont="1" applyBorder="1" applyAlignment="1">
      <alignment horizontal="left" vertical="center" wrapText="1"/>
    </xf>
    <xf numFmtId="164" fontId="12" fillId="0" borderId="0" xfId="0" applyNumberFormat="1" applyFont="1"/>
    <xf numFmtId="164" fontId="13" fillId="5" borderId="0" xfId="0" applyNumberFormat="1" applyFont="1" applyFill="1"/>
    <xf numFmtId="0" fontId="22" fillId="15" borderId="1" xfId="0" applyFont="1" applyFill="1" applyBorder="1" applyAlignment="1">
      <alignment horizontal="center" wrapText="1"/>
    </xf>
    <xf numFmtId="164" fontId="13" fillId="15" borderId="1" xfId="0" applyNumberFormat="1" applyFont="1" applyFill="1" applyBorder="1"/>
    <xf numFmtId="0" fontId="18" fillId="0" borderId="0" xfId="0" applyFont="1"/>
    <xf numFmtId="164" fontId="10" fillId="0" borderId="1" xfId="0" applyNumberFormat="1" applyFont="1" applyBorder="1"/>
    <xf numFmtId="0" fontId="1" fillId="15" borderId="6" xfId="0" applyFont="1" applyFill="1" applyBorder="1" applyAlignment="1">
      <alignment vertical="center"/>
    </xf>
    <xf numFmtId="0" fontId="66" fillId="8" borderId="1" xfId="0" applyFont="1" applyFill="1" applyBorder="1" applyAlignment="1">
      <alignment horizontal="center" wrapText="1"/>
    </xf>
    <xf numFmtId="165" fontId="83" fillId="8" borderId="1" xfId="0" applyNumberFormat="1" applyFont="1" applyFill="1" applyBorder="1" applyAlignment="1">
      <alignment horizontal="center" wrapText="1"/>
    </xf>
    <xf numFmtId="164" fontId="13" fillId="10" borderId="1" xfId="0" applyNumberFormat="1" applyFont="1" applyFill="1" applyBorder="1"/>
    <xf numFmtId="164" fontId="83" fillId="9" borderId="1" xfId="0" applyNumberFormat="1" applyFont="1" applyFill="1" applyBorder="1" applyAlignment="1">
      <alignment horizontal="center" wrapText="1"/>
    </xf>
    <xf numFmtId="0" fontId="20" fillId="0" borderId="1" xfId="0" applyFont="1" applyBorder="1" applyAlignment="1">
      <alignment horizontal="center" vertical="center" wrapText="1"/>
    </xf>
    <xf numFmtId="0" fontId="78" fillId="6" borderId="1" xfId="0" applyFont="1" applyFill="1" applyBorder="1" applyAlignment="1">
      <alignment horizontal="center" vertical="center" wrapText="1"/>
    </xf>
    <xf numFmtId="1" fontId="78" fillId="6" borderId="1" xfId="0" applyNumberFormat="1" applyFont="1" applyFill="1" applyBorder="1" applyAlignment="1">
      <alignment horizontal="center" vertical="center" wrapText="1"/>
    </xf>
    <xf numFmtId="0" fontId="78" fillId="6" borderId="1" xfId="0" applyFont="1" applyFill="1" applyBorder="1" applyAlignment="1">
      <alignment horizontal="justify" vertical="center" wrapText="1"/>
    </xf>
    <xf numFmtId="0" fontId="86" fillId="0" borderId="1" xfId="0" applyFont="1" applyBorder="1" applyAlignment="1">
      <alignment horizontal="justify" vertical="center" wrapText="1"/>
    </xf>
    <xf numFmtId="0" fontId="86" fillId="0" borderId="1" xfId="0" applyFont="1" applyBorder="1" applyAlignment="1">
      <alignment wrapText="1"/>
    </xf>
    <xf numFmtId="164" fontId="18" fillId="11" borderId="1" xfId="0" applyNumberFormat="1" applyFont="1" applyFill="1" applyBorder="1"/>
    <xf numFmtId="164" fontId="88" fillId="3" borderId="1" xfId="0" applyNumberFormat="1" applyFont="1" applyFill="1" applyBorder="1"/>
    <xf numFmtId="0" fontId="88" fillId="0" borderId="0" xfId="0" applyFont="1"/>
    <xf numFmtId="16" fontId="3" fillId="0" borderId="1" xfId="0" applyNumberFormat="1" applyFont="1" applyBorder="1" applyAlignment="1">
      <alignment horizontal="center" vertical="top" wrapText="1"/>
    </xf>
    <xf numFmtId="0" fontId="8" fillId="0" borderId="1" xfId="0" applyFont="1" applyBorder="1" applyAlignment="1">
      <alignment vertical="center" wrapText="1"/>
    </xf>
    <xf numFmtId="0" fontId="35" fillId="0" borderId="1" xfId="0" applyFont="1" applyBorder="1" applyAlignment="1">
      <alignment horizontal="left" vertical="center" wrapText="1"/>
    </xf>
    <xf numFmtId="0" fontId="33" fillId="6" borderId="1" xfId="0" applyFont="1" applyFill="1" applyBorder="1" applyAlignment="1">
      <alignment horizontal="center" vertical="center" wrapText="1"/>
    </xf>
    <xf numFmtId="1" fontId="33" fillId="6" borderId="1" xfId="0" applyNumberFormat="1" applyFont="1" applyFill="1" applyBorder="1" applyAlignment="1">
      <alignment horizontal="center" vertical="center" wrapText="1"/>
    </xf>
    <xf numFmtId="0" fontId="33" fillId="6" borderId="1" xfId="0" applyFont="1" applyFill="1" applyBorder="1" applyAlignment="1">
      <alignment horizontal="justify" vertical="center" wrapText="1"/>
    </xf>
    <xf numFmtId="0" fontId="35" fillId="0" borderId="13" xfId="0" applyFont="1" applyBorder="1" applyAlignment="1">
      <alignment horizontal="center" vertical="top" wrapText="1"/>
    </xf>
    <xf numFmtId="0" fontId="21" fillId="0" borderId="1" xfId="0" applyFont="1" applyBorder="1" applyAlignment="1">
      <alignment horizontal="center" vertical="top" wrapText="1"/>
    </xf>
    <xf numFmtId="0" fontId="35" fillId="6" borderId="13" xfId="0" applyFont="1" applyFill="1" applyBorder="1" applyAlignment="1">
      <alignment horizontal="center" vertical="top" wrapText="1"/>
    </xf>
    <xf numFmtId="0" fontId="21" fillId="6" borderId="1" xfId="0" applyFont="1" applyFill="1" applyBorder="1" applyAlignment="1">
      <alignment horizontal="center" vertical="top" wrapText="1"/>
    </xf>
    <xf numFmtId="16" fontId="21" fillId="0" borderId="1" xfId="0" applyNumberFormat="1" applyFont="1" applyBorder="1" applyAlignment="1">
      <alignment horizontal="center" vertical="top" wrapText="1"/>
    </xf>
    <xf numFmtId="0" fontId="21" fillId="6" borderId="1" xfId="0" applyFont="1" applyFill="1" applyBorder="1" applyAlignment="1">
      <alignment horizontal="center" vertical="center" wrapText="1"/>
    </xf>
    <xf numFmtId="0" fontId="21" fillId="0" borderId="13"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 xfId="0" applyFont="1" applyBorder="1" applyAlignment="1">
      <alignment vertical="center" wrapText="1"/>
    </xf>
    <xf numFmtId="0" fontId="20" fillId="0" borderId="1" xfId="0" applyFont="1" applyBorder="1" applyAlignment="1">
      <alignment horizontal="center" vertical="top" wrapText="1"/>
    </xf>
    <xf numFmtId="0" fontId="10" fillId="0" borderId="1" xfId="0" applyFont="1" applyBorder="1" applyAlignment="1">
      <alignment horizontal="center" vertical="center" wrapText="1"/>
    </xf>
    <xf numFmtId="0" fontId="4" fillId="0" borderId="13" xfId="0" applyFont="1" applyBorder="1" applyAlignment="1">
      <alignment horizontal="left" vertical="center" wrapText="1"/>
    </xf>
    <xf numFmtId="0" fontId="10" fillId="0" borderId="1" xfId="0" applyFont="1" applyBorder="1" applyAlignment="1">
      <alignment vertical="center"/>
    </xf>
    <xf numFmtId="0" fontId="33" fillId="0" borderId="1" xfId="0" applyFont="1" applyBorder="1" applyAlignment="1">
      <alignment horizontal="center" vertical="top" wrapText="1"/>
    </xf>
    <xf numFmtId="0" fontId="42" fillId="0" borderId="1" xfId="0" applyFont="1" applyBorder="1" applyAlignment="1">
      <alignment horizontal="center" vertical="top" wrapText="1"/>
    </xf>
    <xf numFmtId="0" fontId="7" fillId="0" borderId="1" xfId="1" applyFont="1" applyBorder="1" applyAlignment="1">
      <alignment horizontal="center" vertical="center"/>
    </xf>
    <xf numFmtId="0" fontId="7" fillId="0" borderId="1" xfId="1" applyFont="1" applyBorder="1" applyAlignment="1">
      <alignment horizontal="center" vertical="center" wrapText="1"/>
    </xf>
    <xf numFmtId="0" fontId="34" fillId="0" borderId="1" xfId="1" applyFont="1" applyBorder="1" applyAlignment="1">
      <alignment horizontal="center" vertical="center"/>
    </xf>
    <xf numFmtId="164" fontId="34" fillId="0" borderId="1" xfId="1" applyNumberFormat="1" applyFont="1" applyBorder="1" applyAlignment="1">
      <alignment horizontal="center" vertical="center"/>
    </xf>
    <xf numFmtId="164" fontId="34" fillId="0" borderId="14" xfId="1" applyNumberFormat="1" applyFont="1" applyBorder="1" applyAlignment="1">
      <alignment horizontal="center" vertical="center" wrapText="1"/>
    </xf>
    <xf numFmtId="0" fontId="34" fillId="0" borderId="1" xfId="0" applyFont="1" applyBorder="1" applyAlignment="1">
      <alignment horizontal="center" vertical="center" wrapText="1"/>
    </xf>
    <xf numFmtId="164" fontId="34" fillId="0" borderId="1" xfId="1" applyNumberFormat="1" applyFont="1" applyBorder="1" applyAlignment="1">
      <alignment horizontal="center" vertical="center" wrapText="1"/>
    </xf>
    <xf numFmtId="0" fontId="7" fillId="0" borderId="1" xfId="0" applyFont="1" applyBorder="1" applyAlignment="1">
      <alignment horizontal="center" vertical="center" wrapText="1"/>
    </xf>
    <xf numFmtId="164" fontId="4" fillId="0" borderId="1" xfId="1" applyNumberFormat="1" applyBorder="1" applyAlignment="1">
      <alignment horizontal="center" vertical="center"/>
    </xf>
    <xf numFmtId="0" fontId="34" fillId="0" borderId="0" xfId="0" applyFont="1"/>
    <xf numFmtId="0" fontId="46" fillId="0" borderId="0" xfId="1" applyFont="1" applyAlignment="1">
      <alignment vertical="center"/>
    </xf>
    <xf numFmtId="0" fontId="33" fillId="0" borderId="0" xfId="1" applyFont="1"/>
    <xf numFmtId="0" fontId="11" fillId="0" borderId="0" xfId="1" applyFont="1" applyAlignment="1">
      <alignment vertical="center"/>
    </xf>
    <xf numFmtId="0" fontId="97" fillId="0" borderId="0" xfId="1" applyFont="1" applyAlignment="1">
      <alignment vertical="top" wrapText="1" readingOrder="1"/>
    </xf>
    <xf numFmtId="178" fontId="97" fillId="0" borderId="0" xfId="1" applyNumberFormat="1" applyFont="1" applyAlignment="1">
      <alignment vertical="top" wrapText="1" readingOrder="1"/>
    </xf>
    <xf numFmtId="0" fontId="98" fillId="0" borderId="0" xfId="1" applyFont="1" applyAlignment="1">
      <alignment vertical="top" wrapText="1" readingOrder="1"/>
    </xf>
    <xf numFmtId="0" fontId="11" fillId="2" borderId="26" xfId="1" applyFont="1" applyFill="1" applyBorder="1" applyAlignment="1">
      <alignment vertical="center"/>
    </xf>
    <xf numFmtId="0" fontId="11" fillId="2" borderId="35" xfId="1" applyFont="1" applyFill="1" applyBorder="1" applyAlignment="1">
      <alignment vertical="center"/>
    </xf>
    <xf numFmtId="0" fontId="11" fillId="2" borderId="11" xfId="1" applyFont="1" applyFill="1" applyBorder="1" applyAlignment="1">
      <alignment horizontal="center"/>
    </xf>
    <xf numFmtId="0" fontId="11" fillId="2" borderId="51" xfId="1" applyFont="1" applyFill="1" applyBorder="1" applyAlignment="1">
      <alignment horizontal="center"/>
    </xf>
    <xf numFmtId="0" fontId="89" fillId="0" borderId="8" xfId="1" applyFont="1" applyBorder="1"/>
    <xf numFmtId="0" fontId="89" fillId="0" borderId="9" xfId="1" applyFont="1" applyBorder="1"/>
    <xf numFmtId="168" fontId="89" fillId="0" borderId="12" xfId="1" applyNumberFormat="1" applyFont="1" applyBorder="1"/>
    <xf numFmtId="0" fontId="89" fillId="0" borderId="15" xfId="1" applyFont="1" applyBorder="1"/>
    <xf numFmtId="0" fontId="89" fillId="0" borderId="13" xfId="1" applyFont="1" applyBorder="1"/>
    <xf numFmtId="168" fontId="89" fillId="0" borderId="14" xfId="1" applyNumberFormat="1" applyFont="1" applyBorder="1"/>
    <xf numFmtId="0" fontId="89" fillId="0" borderId="20" xfId="1" applyFont="1" applyBorder="1"/>
    <xf numFmtId="0" fontId="89" fillId="0" borderId="21" xfId="1" applyFont="1" applyBorder="1"/>
    <xf numFmtId="168" fontId="89" fillId="0" borderId="23" xfId="1" applyNumberFormat="1" applyFont="1" applyBorder="1"/>
    <xf numFmtId="168" fontId="100" fillId="0" borderId="0" xfId="1" applyNumberFormat="1" applyFont="1" applyAlignment="1">
      <alignment vertical="center"/>
    </xf>
    <xf numFmtId="0" fontId="100" fillId="0" borderId="0" xfId="1" applyFont="1" applyAlignment="1">
      <alignment vertical="center"/>
    </xf>
    <xf numFmtId="0" fontId="4" fillId="0" borderId="0" xfId="1" applyAlignment="1">
      <alignment horizontal="left"/>
    </xf>
    <xf numFmtId="0" fontId="4" fillId="0" borderId="0" xfId="1" applyAlignment="1">
      <alignment horizontal="center"/>
    </xf>
    <xf numFmtId="4" fontId="4" fillId="0" borderId="0" xfId="1" applyNumberFormat="1" applyAlignment="1">
      <alignment horizontal="right"/>
    </xf>
    <xf numFmtId="0" fontId="45" fillId="0" borderId="0" xfId="1" applyFont="1"/>
    <xf numFmtId="0" fontId="101" fillId="0" borderId="0" xfId="1" applyFont="1" applyAlignment="1">
      <alignment horizontal="right"/>
    </xf>
    <xf numFmtId="0" fontId="101" fillId="0" borderId="0" xfId="1" applyFont="1"/>
    <xf numFmtId="0" fontId="3" fillId="0" borderId="1" xfId="0" applyFont="1" applyBorder="1" applyAlignment="1" applyProtection="1">
      <alignment horizontal="center" vertical="center" wrapText="1"/>
      <protection locked="0"/>
    </xf>
    <xf numFmtId="0" fontId="22" fillId="8" borderId="6" xfId="0" applyFont="1" applyFill="1" applyBorder="1" applyAlignment="1">
      <alignment vertical="center" wrapText="1"/>
    </xf>
    <xf numFmtId="0" fontId="107" fillId="0" borderId="0" xfId="0" applyFont="1" applyAlignment="1">
      <alignment horizontal="center" vertical="center"/>
    </xf>
    <xf numFmtId="0" fontId="52" fillId="0" borderId="0" xfId="0" applyFont="1"/>
    <xf numFmtId="0" fontId="34" fillId="0" borderId="1" xfId="0" applyFont="1" applyBorder="1" applyAlignment="1">
      <alignment vertical="center"/>
    </xf>
    <xf numFmtId="0" fontId="34" fillId="0" borderId="1" xfId="0" applyFont="1" applyBorder="1" applyAlignment="1">
      <alignment vertical="center" wrapText="1"/>
    </xf>
    <xf numFmtId="0" fontId="44" fillId="0" borderId="1" xfId="0" applyFont="1" applyBorder="1" applyAlignment="1">
      <alignment horizontal="center" vertical="center" wrapText="1"/>
    </xf>
    <xf numFmtId="0" fontId="0" fillId="0" borderId="1" xfId="0" applyBorder="1"/>
    <xf numFmtId="0" fontId="0" fillId="0" borderId="1" xfId="0" applyBorder="1" applyAlignment="1">
      <alignment horizontal="center" vertical="distributed"/>
    </xf>
    <xf numFmtId="0" fontId="80" fillId="3" borderId="1" xfId="0" applyFont="1" applyFill="1" applyBorder="1" applyAlignment="1">
      <alignment horizontal="left" vertical="top" wrapText="1"/>
    </xf>
    <xf numFmtId="0" fontId="80" fillId="4" borderId="1" xfId="0" applyFont="1" applyFill="1" applyBorder="1" applyAlignment="1">
      <alignment horizontal="left" vertical="top" wrapText="1"/>
    </xf>
    <xf numFmtId="164" fontId="104" fillId="2" borderId="1" xfId="0" applyNumberFormat="1" applyFont="1" applyFill="1" applyBorder="1" applyAlignment="1">
      <alignment horizontal="center" vertical="top" wrapText="1"/>
    </xf>
    <xf numFmtId="0" fontId="104" fillId="2" borderId="1" xfId="0" applyFont="1" applyFill="1" applyBorder="1" applyAlignment="1">
      <alignment horizontal="center" vertical="top" wrapText="1"/>
    </xf>
    <xf numFmtId="164" fontId="4" fillId="0" borderId="1" xfId="0" applyNumberFormat="1" applyFont="1" applyBorder="1" applyAlignment="1">
      <alignment horizontal="center" vertical="top" wrapText="1"/>
    </xf>
    <xf numFmtId="164" fontId="4" fillId="0" borderId="1" xfId="0" applyNumberFormat="1" applyFont="1" applyBorder="1" applyAlignment="1">
      <alignment horizontal="center" vertical="center" wrapText="1"/>
    </xf>
    <xf numFmtId="164" fontId="4" fillId="0" borderId="1" xfId="10" applyNumberFormat="1" applyFont="1" applyBorder="1" applyAlignment="1">
      <alignment horizontal="center" vertical="top" wrapText="1"/>
    </xf>
    <xf numFmtId="0" fontId="4" fillId="0" borderId="1" xfId="1" applyBorder="1" applyAlignment="1">
      <alignment horizontal="left" vertical="top" wrapText="1"/>
    </xf>
    <xf numFmtId="164" fontId="4" fillId="0" borderId="1" xfId="1" applyNumberFormat="1" applyBorder="1" applyAlignment="1">
      <alignment horizontal="center" vertical="top" wrapText="1"/>
    </xf>
    <xf numFmtId="0" fontId="4" fillId="0" borderId="1" xfId="1" applyBorder="1" applyAlignment="1">
      <alignment horizontal="center" vertical="top" wrapText="1"/>
    </xf>
    <xf numFmtId="164" fontId="4" fillId="0" borderId="1" xfId="1" applyNumberFormat="1" applyBorder="1" applyAlignment="1">
      <alignment horizontal="center" vertical="center" wrapText="1"/>
    </xf>
    <xf numFmtId="164" fontId="4" fillId="0" borderId="1" xfId="7" applyNumberFormat="1" applyFont="1" applyBorder="1" applyAlignment="1">
      <alignment horizontal="center" vertical="top" wrapText="1"/>
    </xf>
    <xf numFmtId="164" fontId="4" fillId="0" borderId="1" xfId="10" applyNumberFormat="1" applyFont="1" applyFill="1" applyBorder="1" applyAlignment="1">
      <alignment horizontal="center" vertical="top" wrapText="1"/>
    </xf>
    <xf numFmtId="0" fontId="110" fillId="0" borderId="1" xfId="0" applyFont="1" applyBorder="1" applyAlignment="1">
      <alignment horizontal="left" vertical="top" wrapText="1"/>
    </xf>
    <xf numFmtId="164" fontId="24" fillId="0" borderId="1" xfId="0" applyNumberFormat="1" applyFont="1" applyBorder="1" applyAlignment="1">
      <alignment horizontal="center" vertical="top" wrapText="1"/>
    </xf>
    <xf numFmtId="0" fontId="34" fillId="0" borderId="1" xfId="0" applyFont="1" applyBorder="1" applyAlignment="1">
      <alignment horizontal="left" vertical="top" wrapText="1"/>
    </xf>
    <xf numFmtId="164" fontId="34" fillId="0" borderId="1" xfId="0" applyNumberFormat="1" applyFont="1" applyBorder="1" applyAlignment="1">
      <alignment horizontal="center" vertical="top" wrapText="1"/>
    </xf>
    <xf numFmtId="164" fontId="111" fillId="2" borderId="1" xfId="1" applyNumberFormat="1" applyFont="1" applyFill="1" applyBorder="1" applyAlignment="1">
      <alignment horizontal="center" vertical="top" wrapText="1"/>
    </xf>
    <xf numFmtId="0" fontId="111" fillId="2" borderId="1" xfId="1" applyFont="1" applyFill="1" applyBorder="1" applyAlignment="1">
      <alignment horizontal="center" vertical="top" wrapText="1"/>
    </xf>
    <xf numFmtId="164" fontId="80" fillId="4" borderId="1" xfId="0" applyNumberFormat="1" applyFont="1" applyFill="1" applyBorder="1" applyAlignment="1">
      <alignment horizontal="center" vertical="top" wrapText="1"/>
    </xf>
    <xf numFmtId="0" fontId="80" fillId="4" borderId="1" xfId="0" applyFont="1" applyFill="1" applyBorder="1" applyAlignment="1">
      <alignment horizontal="center" vertical="top" wrapText="1"/>
    </xf>
    <xf numFmtId="164" fontId="104" fillId="3" borderId="1" xfId="0" applyNumberFormat="1" applyFont="1" applyFill="1" applyBorder="1" applyAlignment="1">
      <alignment horizontal="center" vertical="top" wrapText="1"/>
    </xf>
    <xf numFmtId="0" fontId="80" fillId="3" borderId="1" xfId="0" applyFont="1" applyFill="1" applyBorder="1" applyAlignment="1">
      <alignment horizontal="center" vertical="top" wrapText="1"/>
    </xf>
    <xf numFmtId="164" fontId="80" fillId="0" borderId="1" xfId="0" applyNumberFormat="1" applyFont="1" applyBorder="1" applyAlignment="1">
      <alignment horizontal="center" vertical="top" wrapText="1"/>
    </xf>
    <xf numFmtId="0" fontId="80" fillId="0" borderId="1" xfId="0" applyFont="1" applyBorder="1" applyAlignment="1">
      <alignment horizontal="center" vertical="top" wrapText="1"/>
    </xf>
    <xf numFmtId="164" fontId="80" fillId="0" borderId="1" xfId="0" applyNumberFormat="1" applyFont="1" applyBorder="1" applyAlignment="1">
      <alignment horizontal="center" vertical="center" wrapText="1"/>
    </xf>
    <xf numFmtId="0" fontId="80" fillId="0" borderId="1" xfId="11" applyFont="1" applyBorder="1" applyAlignment="1">
      <alignment horizontal="left" vertical="top" wrapText="1"/>
    </xf>
    <xf numFmtId="164" fontId="80" fillId="0" borderId="1" xfId="11" applyNumberFormat="1" applyFont="1" applyBorder="1" applyAlignment="1">
      <alignment horizontal="center" vertical="top" wrapText="1"/>
    </xf>
    <xf numFmtId="0" fontId="80" fillId="0" borderId="1" xfId="11" applyFont="1" applyBorder="1" applyAlignment="1">
      <alignment horizontal="center" vertical="top" wrapText="1"/>
    </xf>
    <xf numFmtId="164" fontId="104" fillId="3" borderId="1" xfId="0" applyNumberFormat="1" applyFont="1" applyFill="1" applyBorder="1" applyAlignment="1">
      <alignment horizontal="left" vertical="top" wrapText="1"/>
    </xf>
    <xf numFmtId="164" fontId="80" fillId="0" borderId="1" xfId="1" applyNumberFormat="1" applyFont="1" applyBorder="1" applyAlignment="1">
      <alignment horizontal="center" vertical="top" wrapText="1"/>
    </xf>
    <xf numFmtId="0" fontId="80" fillId="0" borderId="1" xfId="1" applyFont="1" applyBorder="1" applyAlignment="1">
      <alignment horizontal="center" vertical="top" wrapText="1"/>
    </xf>
    <xf numFmtId="0" fontId="24" fillId="0" borderId="1" xfId="0" applyFont="1" applyBorder="1" applyAlignment="1">
      <alignment horizontal="center" vertical="top" wrapText="1"/>
    </xf>
    <xf numFmtId="0" fontId="4" fillId="4" borderId="1" xfId="0" applyFont="1" applyFill="1" applyBorder="1" applyAlignment="1">
      <alignment horizontal="left" vertical="top" wrapText="1"/>
    </xf>
    <xf numFmtId="164" fontId="20" fillId="3" borderId="1" xfId="0" applyNumberFormat="1" applyFont="1" applyFill="1" applyBorder="1" applyAlignment="1">
      <alignment horizontal="center" vertical="top" wrapText="1"/>
    </xf>
    <xf numFmtId="0" fontId="20" fillId="3" borderId="1" xfId="0" applyFont="1" applyFill="1" applyBorder="1" applyAlignment="1">
      <alignment horizontal="center" vertical="top" wrapText="1"/>
    </xf>
    <xf numFmtId="4" fontId="20" fillId="3" borderId="1" xfId="0" applyNumberFormat="1" applyFont="1" applyFill="1" applyBorder="1" applyAlignment="1">
      <alignment horizontal="center" vertical="top" wrapText="1"/>
    </xf>
    <xf numFmtId="4" fontId="20"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center" vertical="top" wrapText="1"/>
    </xf>
    <xf numFmtId="0" fontId="25" fillId="3" borderId="1" xfId="0" applyFont="1" applyFill="1" applyBorder="1" applyAlignment="1">
      <alignment horizontal="center" vertical="top" wrapText="1"/>
    </xf>
    <xf numFmtId="177" fontId="4" fillId="0" borderId="1" xfId="1" applyNumberFormat="1" applyBorder="1" applyAlignment="1">
      <alignment horizontal="left" vertical="top" wrapText="1"/>
    </xf>
    <xf numFmtId="164" fontId="4" fillId="0" borderId="1" xfId="9" applyNumberFormat="1" applyFont="1" applyBorder="1" applyAlignment="1">
      <alignment horizontal="center" vertical="top" wrapText="1"/>
    </xf>
    <xf numFmtId="0" fontId="20" fillId="0" borderId="1" xfId="0" applyFont="1" applyBorder="1" applyAlignment="1">
      <alignment horizontal="left" vertical="top" wrapText="1"/>
    </xf>
    <xf numFmtId="0" fontId="42" fillId="6" borderId="1" xfId="0" applyFont="1" applyFill="1" applyBorder="1" applyAlignment="1">
      <alignment horizontal="left" vertical="top" wrapText="1"/>
    </xf>
    <xf numFmtId="1" fontId="42" fillId="6" borderId="1" xfId="0" applyNumberFormat="1" applyFont="1" applyFill="1" applyBorder="1" applyAlignment="1">
      <alignment horizontal="left" vertical="top" wrapText="1"/>
    </xf>
    <xf numFmtId="164" fontId="42" fillId="6" borderId="1" xfId="0" applyNumberFormat="1" applyFont="1" applyFill="1" applyBorder="1" applyAlignment="1">
      <alignment horizontal="center" vertical="top" wrapText="1"/>
    </xf>
    <xf numFmtId="0" fontId="42" fillId="6" borderId="1" xfId="0" applyFont="1" applyFill="1" applyBorder="1" applyAlignment="1">
      <alignment horizontal="center" vertical="top" wrapText="1"/>
    </xf>
    <xf numFmtId="0" fontId="42" fillId="0" borderId="1" xfId="0" applyFont="1" applyBorder="1" applyAlignment="1">
      <alignment horizontal="left" vertical="top" wrapText="1"/>
    </xf>
    <xf numFmtId="1" fontId="42" fillId="0" borderId="1" xfId="0" applyNumberFormat="1" applyFont="1" applyBorder="1" applyAlignment="1">
      <alignment horizontal="left" vertical="top" wrapText="1"/>
    </xf>
    <xf numFmtId="164" fontId="42" fillId="0" borderId="1" xfId="0" applyNumberFormat="1" applyFont="1" applyBorder="1" applyAlignment="1">
      <alignment horizontal="center" vertical="top" wrapText="1"/>
    </xf>
    <xf numFmtId="164" fontId="4" fillId="0" borderId="1" xfId="0" applyNumberFormat="1" applyFont="1" applyBorder="1" applyAlignment="1">
      <alignment vertical="top" wrapText="1"/>
    </xf>
    <xf numFmtId="0" fontId="4" fillId="0" borderId="1" xfId="0" quotePrefix="1" applyFont="1" applyBorder="1" applyAlignment="1">
      <alignment horizontal="center" vertical="top" wrapText="1"/>
    </xf>
    <xf numFmtId="0" fontId="112" fillId="0" borderId="1" xfId="0" applyFont="1" applyBorder="1" applyAlignment="1">
      <alignment horizontal="left" vertical="top" wrapText="1"/>
    </xf>
    <xf numFmtId="164" fontId="20" fillId="0" borderId="1" xfId="0" applyNumberFormat="1" applyFont="1" applyBorder="1" applyAlignment="1">
      <alignment horizontal="center" vertical="center" wrapText="1"/>
    </xf>
    <xf numFmtId="0" fontId="0" fillId="0" borderId="0" xfId="0" applyAlignment="1">
      <alignment horizontal="center" vertical="top" wrapText="1"/>
    </xf>
    <xf numFmtId="164" fontId="0" fillId="0" borderId="0" xfId="0" applyNumberFormat="1" applyAlignment="1">
      <alignment horizontal="center" vertical="center"/>
    </xf>
    <xf numFmtId="0" fontId="4" fillId="0" borderId="13" xfId="0" applyFont="1" applyBorder="1"/>
    <xf numFmtId="0" fontId="4" fillId="0" borderId="1" xfId="0" applyFont="1" applyBorder="1"/>
    <xf numFmtId="0" fontId="0" fillId="0" borderId="13" xfId="0" applyBorder="1"/>
    <xf numFmtId="0" fontId="0" fillId="0" borderId="13" xfId="0" applyBorder="1" applyAlignment="1">
      <alignment vertical="center"/>
    </xf>
    <xf numFmtId="0" fontId="4" fillId="0" borderId="13" xfId="0" applyFont="1" applyBorder="1" applyAlignment="1">
      <alignment vertical="center"/>
    </xf>
    <xf numFmtId="0" fontId="113" fillId="0" borderId="1" xfId="0" applyFont="1" applyBorder="1" applyAlignment="1">
      <alignment vertical="center"/>
    </xf>
    <xf numFmtId="0" fontId="66" fillId="0" borderId="11" xfId="0" applyFont="1" applyBorder="1" applyAlignment="1">
      <alignment vertical="top" wrapText="1"/>
    </xf>
    <xf numFmtId="0" fontId="66" fillId="0" borderId="29" xfId="0" applyFont="1" applyBorder="1" applyAlignment="1">
      <alignment vertical="top" wrapText="1"/>
    </xf>
    <xf numFmtId="0" fontId="66" fillId="0" borderId="30" xfId="0" applyFont="1" applyBorder="1" applyAlignment="1">
      <alignment vertical="top" wrapText="1"/>
    </xf>
    <xf numFmtId="0" fontId="22" fillId="0" borderId="11" xfId="0" applyFont="1" applyBorder="1" applyAlignment="1">
      <alignment horizontal="center" vertical="top" wrapText="1"/>
    </xf>
    <xf numFmtId="0" fontId="22" fillId="0" borderId="29" xfId="0" applyFont="1" applyBorder="1" applyAlignment="1">
      <alignment horizontal="center" vertical="top" wrapText="1"/>
    </xf>
    <xf numFmtId="0" fontId="22" fillId="0" borderId="29" xfId="0" applyFont="1" applyBorder="1" applyAlignment="1">
      <alignment horizontal="left" vertical="top" wrapText="1"/>
    </xf>
    <xf numFmtId="0" fontId="34" fillId="0" borderId="9" xfId="0" applyFont="1" applyBorder="1" applyAlignment="1">
      <alignment horizontal="center" vertical="top" wrapText="1"/>
    </xf>
    <xf numFmtId="0" fontId="34" fillId="0" borderId="10" xfId="0" applyFont="1" applyBorder="1" applyAlignment="1">
      <alignment horizontal="center" vertical="top" wrapText="1"/>
    </xf>
    <xf numFmtId="0" fontId="34" fillId="0" borderId="10" xfId="0" applyFont="1" applyBorder="1" applyAlignment="1">
      <alignment horizontal="left" vertical="top" wrapText="1"/>
    </xf>
    <xf numFmtId="3" fontId="34" fillId="0" borderId="10" xfId="0" applyNumberFormat="1" applyFont="1" applyBorder="1" applyAlignment="1">
      <alignment horizontal="center" vertical="top" wrapText="1"/>
    </xf>
    <xf numFmtId="0" fontId="34" fillId="0" borderId="13" xfId="0" applyFont="1" applyBorder="1" applyAlignment="1">
      <alignment horizontal="center" vertical="top" wrapText="1"/>
    </xf>
    <xf numFmtId="0" fontId="34" fillId="0" borderId="1" xfId="0" applyFont="1" applyBorder="1" applyAlignment="1">
      <alignment horizontal="center" vertical="top" wrapText="1"/>
    </xf>
    <xf numFmtId="3" fontId="34" fillId="0" borderId="1" xfId="0" applyNumberFormat="1" applyFont="1" applyBorder="1" applyAlignment="1">
      <alignment horizontal="center" vertical="top" wrapText="1"/>
    </xf>
    <xf numFmtId="0" fontId="34" fillId="0" borderId="1" xfId="0" applyFont="1" applyBorder="1" applyAlignment="1">
      <alignment horizontal="center" vertical="top"/>
    </xf>
    <xf numFmtId="3" fontId="34" fillId="0" borderId="1" xfId="0" applyNumberFormat="1" applyFont="1" applyBorder="1" applyAlignment="1">
      <alignment horizontal="center" vertical="top"/>
    </xf>
    <xf numFmtId="0" fontId="34" fillId="0" borderId="1" xfId="0" applyFont="1" applyBorder="1" applyAlignment="1">
      <alignment vertical="top" wrapText="1"/>
    </xf>
    <xf numFmtId="0" fontId="34" fillId="0" borderId="21" xfId="0" applyFont="1" applyBorder="1" applyAlignment="1">
      <alignment horizontal="center" vertical="top" wrapText="1"/>
    </xf>
    <xf numFmtId="0" fontId="34" fillId="0" borderId="22" xfId="0" applyFont="1" applyBorder="1" applyAlignment="1">
      <alignment horizontal="center" vertical="top" wrapText="1"/>
    </xf>
    <xf numFmtId="0" fontId="34" fillId="0" borderId="22" xfId="0" applyFont="1" applyBorder="1" applyAlignment="1">
      <alignment horizontal="left" vertical="top" wrapText="1"/>
    </xf>
    <xf numFmtId="0" fontId="34" fillId="0" borderId="22" xfId="0" applyFont="1" applyBorder="1" applyAlignment="1">
      <alignment horizontal="center" vertical="top"/>
    </xf>
    <xf numFmtId="164" fontId="107" fillId="0" borderId="0" xfId="0" applyNumberFormat="1" applyFont="1" applyAlignment="1">
      <alignment horizontal="center" vertical="center"/>
    </xf>
    <xf numFmtId="164" fontId="0" fillId="0" borderId="0" xfId="0" applyNumberFormat="1"/>
    <xf numFmtId="164" fontId="22" fillId="0" borderId="30" xfId="0" applyNumberFormat="1" applyFont="1" applyBorder="1" applyAlignment="1">
      <alignment horizontal="center" vertical="top" wrapText="1"/>
    </xf>
    <xf numFmtId="164" fontId="34" fillId="0" borderId="10" xfId="0" applyNumberFormat="1" applyFont="1" applyBorder="1" applyAlignment="1">
      <alignment horizontal="center" vertical="top" wrapText="1"/>
    </xf>
    <xf numFmtId="164" fontId="34" fillId="0" borderId="1" xfId="0" applyNumberFormat="1" applyFont="1" applyBorder="1" applyAlignment="1">
      <alignment horizontal="center" vertical="top"/>
    </xf>
    <xf numFmtId="164" fontId="34" fillId="0" borderId="22" xfId="0" applyNumberFormat="1" applyFont="1" applyBorder="1" applyAlignment="1">
      <alignment horizontal="center" vertical="top"/>
    </xf>
    <xf numFmtId="164" fontId="34" fillId="0" borderId="12" xfId="0" applyNumberFormat="1" applyFont="1" applyBorder="1" applyAlignment="1">
      <alignment horizontal="center" vertical="top" wrapText="1"/>
    </xf>
    <xf numFmtId="164" fontId="34" fillId="0" borderId="14" xfId="0" applyNumberFormat="1" applyFont="1" applyBorder="1" applyAlignment="1">
      <alignment horizontal="center" vertical="top" wrapText="1"/>
    </xf>
    <xf numFmtId="164" fontId="34" fillId="0" borderId="14" xfId="0" applyNumberFormat="1" applyFont="1" applyBorder="1" applyAlignment="1">
      <alignment horizontal="center" vertical="top"/>
    </xf>
    <xf numFmtId="164" fontId="34" fillId="0" borderId="23" xfId="0" applyNumberFormat="1" applyFont="1" applyBorder="1" applyAlignment="1">
      <alignment horizontal="center" vertical="top"/>
    </xf>
    <xf numFmtId="164" fontId="3" fillId="0" borderId="14" xfId="1" applyNumberFormat="1" applyFont="1" applyBorder="1" applyAlignment="1">
      <alignment horizontal="center" vertical="center"/>
    </xf>
    <xf numFmtId="164" fontId="4" fillId="0" borderId="0" xfId="1" applyNumberFormat="1" applyAlignment="1">
      <alignment horizontal="center" vertical="center"/>
    </xf>
    <xf numFmtId="164" fontId="3" fillId="0" borderId="1" xfId="1" applyNumberFormat="1" applyFont="1" applyBorder="1" applyAlignment="1">
      <alignment horizontal="center" vertical="center"/>
    </xf>
    <xf numFmtId="164" fontId="3" fillId="0" borderId="18" xfId="1" applyNumberFormat="1" applyFont="1" applyBorder="1" applyAlignment="1">
      <alignment horizontal="center" vertical="center" wrapText="1"/>
    </xf>
    <xf numFmtId="3" fontId="66" fillId="3" borderId="38" xfId="0" applyNumberFormat="1" applyFont="1" applyFill="1" applyBorder="1" applyAlignment="1">
      <alignment horizontal="center" vertical="top" wrapText="1"/>
    </xf>
    <xf numFmtId="0" fontId="0" fillId="3" borderId="38" xfId="0" applyFill="1" applyBorder="1" applyAlignment="1">
      <alignment horizontal="left" vertical="top"/>
    </xf>
    <xf numFmtId="0" fontId="0" fillId="3" borderId="38" xfId="0" applyFill="1" applyBorder="1" applyAlignment="1">
      <alignment vertical="top"/>
    </xf>
    <xf numFmtId="0" fontId="0" fillId="3" borderId="32" xfId="0" applyFill="1" applyBorder="1" applyAlignment="1">
      <alignment vertical="top"/>
    </xf>
    <xf numFmtId="164" fontId="1" fillId="3" borderId="27" xfId="0" applyNumberFormat="1" applyFont="1" applyFill="1" applyBorder="1" applyAlignment="1">
      <alignment vertical="top"/>
    </xf>
    <xf numFmtId="3" fontId="66" fillId="3" borderId="27" xfId="0" applyNumberFormat="1" applyFont="1" applyFill="1" applyBorder="1" applyAlignment="1">
      <alignment horizontal="center" vertical="top" wrapText="1"/>
    </xf>
    <xf numFmtId="0" fontId="0" fillId="3" borderId="27" xfId="0" applyFill="1" applyBorder="1" applyAlignment="1">
      <alignment vertical="top"/>
    </xf>
    <xf numFmtId="164" fontId="1" fillId="3" borderId="39" xfId="0" applyNumberFormat="1" applyFont="1" applyFill="1" applyBorder="1" applyAlignment="1">
      <alignment vertical="top"/>
    </xf>
    <xf numFmtId="164" fontId="3" fillId="4" borderId="14" xfId="1" applyNumberFormat="1" applyFont="1" applyFill="1" applyBorder="1" applyAlignment="1">
      <alignment horizontal="center" vertical="center" wrapText="1"/>
    </xf>
    <xf numFmtId="164" fontId="3" fillId="0" borderId="14" xfId="15" applyNumberFormat="1" applyFont="1" applyBorder="1" applyAlignment="1">
      <alignment horizontal="center" vertical="center"/>
    </xf>
    <xf numFmtId="164" fontId="3" fillId="0" borderId="14" xfId="1" applyNumberFormat="1" applyFont="1" applyBorder="1" applyAlignment="1">
      <alignment horizontal="center" vertical="center" wrapText="1"/>
    </xf>
    <xf numFmtId="164" fontId="44" fillId="0" borderId="14" xfId="1" applyNumberFormat="1" applyFont="1" applyBorder="1" applyAlignment="1">
      <alignment horizontal="center" vertical="center" wrapText="1"/>
    </xf>
    <xf numFmtId="164" fontId="8" fillId="3" borderId="31" xfId="1" applyNumberFormat="1" applyFont="1" applyFill="1" applyBorder="1" applyAlignment="1">
      <alignment horizontal="center" vertical="center"/>
    </xf>
    <xf numFmtId="164" fontId="3" fillId="0" borderId="1" xfId="1" applyNumberFormat="1" applyFont="1" applyBorder="1" applyAlignment="1">
      <alignment horizontal="center" vertical="center" wrapText="1"/>
    </xf>
    <xf numFmtId="164" fontId="3" fillId="4" borderId="7" xfId="1" applyNumberFormat="1" applyFont="1" applyFill="1" applyBorder="1" applyAlignment="1">
      <alignment horizontal="center" vertical="center" wrapText="1"/>
    </xf>
    <xf numFmtId="164" fontId="3" fillId="0" borderId="1" xfId="15" applyNumberFormat="1" applyFont="1" applyBorder="1" applyAlignment="1">
      <alignment horizontal="center" vertical="center"/>
    </xf>
    <xf numFmtId="164" fontId="15" fillId="2" borderId="1" xfId="0" applyNumberFormat="1" applyFont="1" applyFill="1" applyBorder="1" applyAlignment="1">
      <alignment horizontal="center" vertical="center" wrapText="1"/>
    </xf>
    <xf numFmtId="164" fontId="78" fillId="6" borderId="1" xfId="0" applyNumberFormat="1" applyFont="1" applyFill="1" applyBorder="1" applyAlignment="1">
      <alignment horizontal="center" vertical="center"/>
    </xf>
    <xf numFmtId="164" fontId="21" fillId="0" borderId="14" xfId="0" applyNumberFormat="1" applyFont="1" applyBorder="1" applyAlignment="1">
      <alignment horizontal="center" vertical="center"/>
    </xf>
    <xf numFmtId="164" fontId="21" fillId="0" borderId="1" xfId="0" applyNumberFormat="1" applyFont="1" applyBorder="1" applyAlignment="1">
      <alignment horizontal="center" vertical="center" wrapText="1"/>
    </xf>
    <xf numFmtId="164" fontId="80" fillId="0" borderId="1" xfId="1" applyNumberFormat="1" applyFont="1" applyBorder="1" applyAlignment="1">
      <alignment horizontal="center" vertical="center"/>
    </xf>
    <xf numFmtId="164" fontId="80" fillId="4" borderId="1" xfId="0" applyNumberFormat="1" applyFont="1" applyFill="1" applyBorder="1" applyAlignment="1">
      <alignment horizontal="center" vertical="center"/>
    </xf>
    <xf numFmtId="164" fontId="21" fillId="0" borderId="1" xfId="0" applyNumberFormat="1" applyFont="1" applyBorder="1" applyAlignment="1">
      <alignment horizontal="center" vertical="center"/>
    </xf>
    <xf numFmtId="164" fontId="4" fillId="0" borderId="1" xfId="0" applyNumberFormat="1" applyFont="1" applyBorder="1" applyAlignment="1">
      <alignment horizontal="center" vertical="center"/>
    </xf>
    <xf numFmtId="164" fontId="21" fillId="4" borderId="14" xfId="8" applyNumberFormat="1" applyFont="1" applyFill="1" applyBorder="1" applyAlignment="1">
      <alignment horizontal="center" vertical="center" wrapText="1"/>
    </xf>
    <xf numFmtId="164" fontId="21" fillId="0" borderId="14" xfId="10" applyNumberFormat="1" applyFont="1" applyFill="1" applyBorder="1" applyAlignment="1">
      <alignment horizontal="center" vertical="center" wrapText="1"/>
    </xf>
    <xf numFmtId="164" fontId="104" fillId="3" borderId="1" xfId="0" applyNumberFormat="1" applyFont="1" applyFill="1" applyBorder="1" applyAlignment="1">
      <alignment horizontal="center" vertical="center"/>
    </xf>
    <xf numFmtId="0" fontId="104" fillId="3" borderId="1" xfId="0" applyFont="1" applyFill="1" applyBorder="1" applyAlignment="1">
      <alignment horizontal="center" vertical="center" wrapText="1"/>
    </xf>
    <xf numFmtId="0" fontId="104" fillId="3" borderId="1" xfId="0" applyFont="1" applyFill="1" applyBorder="1" applyAlignment="1">
      <alignment horizontal="justify" vertical="center" wrapText="1"/>
    </xf>
    <xf numFmtId="164" fontId="79" fillId="16" borderId="1" xfId="0" applyNumberFormat="1" applyFont="1" applyFill="1" applyBorder="1" applyAlignment="1">
      <alignment horizontal="center" vertical="center"/>
    </xf>
    <xf numFmtId="0" fontId="79" fillId="16" borderId="1" xfId="0" applyFont="1" applyFill="1" applyBorder="1" applyAlignment="1">
      <alignment horizontal="center" vertical="center" wrapText="1"/>
    </xf>
    <xf numFmtId="0" fontId="79" fillId="16" borderId="1" xfId="0" applyFont="1" applyFill="1" applyBorder="1" applyAlignment="1">
      <alignment horizontal="justify" vertical="center" wrapText="1"/>
    </xf>
    <xf numFmtId="164" fontId="79" fillId="20" borderId="1" xfId="0" applyNumberFormat="1" applyFont="1" applyFill="1" applyBorder="1" applyAlignment="1">
      <alignment horizontal="center" vertical="center"/>
    </xf>
    <xf numFmtId="0" fontId="79" fillId="20" borderId="1" xfId="0" applyFont="1" applyFill="1" applyBorder="1" applyAlignment="1">
      <alignment horizontal="justify" vertical="center" wrapText="1"/>
    </xf>
    <xf numFmtId="164" fontId="6" fillId="0" borderId="0" xfId="0" applyNumberFormat="1" applyFont="1" applyAlignment="1">
      <alignment horizontal="center" vertical="top"/>
    </xf>
    <xf numFmtId="164" fontId="6" fillId="0" borderId="0" xfId="0" applyNumberFormat="1" applyFont="1" applyAlignment="1">
      <alignment horizontal="center" vertical="center"/>
    </xf>
    <xf numFmtId="164" fontId="0" fillId="0" borderId="14" xfId="0" applyNumberFormat="1" applyBorder="1" applyAlignment="1">
      <alignment horizontal="center" vertical="center"/>
    </xf>
    <xf numFmtId="164" fontId="4" fillId="0" borderId="14" xfId="0" applyNumberFormat="1" applyFont="1" applyBorder="1" applyAlignment="1">
      <alignment horizontal="center" vertical="center"/>
    </xf>
    <xf numFmtId="164" fontId="42" fillId="0" borderId="14" xfId="0" applyNumberFormat="1" applyFont="1" applyBorder="1" applyAlignment="1">
      <alignment horizontal="center"/>
    </xf>
    <xf numFmtId="164" fontId="4" fillId="0" borderId="14" xfId="0" applyNumberFormat="1" applyFont="1" applyBorder="1" applyAlignment="1">
      <alignment horizontal="center"/>
    </xf>
    <xf numFmtId="164" fontId="0" fillId="0" borderId="14" xfId="0" applyNumberFormat="1" applyBorder="1" applyAlignment="1">
      <alignment horizontal="center"/>
    </xf>
    <xf numFmtId="164" fontId="2" fillId="0" borderId="0" xfId="0" applyNumberFormat="1" applyFont="1" applyAlignment="1">
      <alignment horizontal="center" vertical="center"/>
    </xf>
    <xf numFmtId="0" fontId="65" fillId="3" borderId="39" xfId="1" applyFont="1" applyFill="1" applyBorder="1" applyAlignment="1">
      <alignment horizontal="center" vertical="center"/>
    </xf>
    <xf numFmtId="0" fontId="65" fillId="3" borderId="32" xfId="1" applyFont="1" applyFill="1" applyBorder="1" applyAlignment="1">
      <alignment horizontal="center" vertical="center"/>
    </xf>
    <xf numFmtId="168" fontId="65" fillId="3" borderId="34" xfId="20" applyNumberFormat="1" applyFont="1" applyFill="1" applyBorder="1" applyAlignment="1">
      <alignment horizontal="center" vertical="center"/>
    </xf>
    <xf numFmtId="3" fontId="65" fillId="3" borderId="32" xfId="1" applyNumberFormat="1" applyFont="1" applyFill="1" applyBorder="1" applyAlignment="1">
      <alignment horizontal="center" vertical="center"/>
    </xf>
    <xf numFmtId="168" fontId="65" fillId="3" borderId="34" xfId="1" applyNumberFormat="1" applyFont="1" applyFill="1" applyBorder="1" applyAlignment="1">
      <alignment horizontal="center" vertical="center"/>
    </xf>
    <xf numFmtId="164" fontId="0" fillId="0" borderId="14" xfId="0" applyNumberFormat="1" applyBorder="1" applyAlignment="1">
      <alignment horizontal="center" vertical="center" wrapText="1"/>
    </xf>
    <xf numFmtId="164" fontId="3" fillId="0" borderId="14" xfId="6" applyNumberFormat="1" applyFont="1" applyBorder="1" applyAlignment="1">
      <alignment horizontal="center" vertical="center" wrapText="1"/>
    </xf>
    <xf numFmtId="164" fontId="20" fillId="7" borderId="1" xfId="11" applyNumberFormat="1" applyFont="1" applyFill="1" applyBorder="1" applyAlignment="1">
      <alignment horizontal="center" vertical="center" wrapText="1"/>
    </xf>
    <xf numFmtId="164" fontId="0" fillId="0" borderId="14" xfId="8" applyNumberFormat="1" applyFont="1" applyBorder="1" applyAlignment="1">
      <alignment horizontal="center" vertical="center" wrapText="1"/>
    </xf>
    <xf numFmtId="0" fontId="20" fillId="7" borderId="1" xfId="11" applyFont="1" applyFill="1" applyBorder="1" applyAlignment="1">
      <alignment vertical="top" wrapText="1"/>
    </xf>
    <xf numFmtId="164" fontId="4" fillId="12" borderId="1" xfId="9" applyNumberFormat="1" applyFont="1" applyFill="1" applyBorder="1" applyAlignment="1">
      <alignment horizontal="center" vertical="center" wrapText="1"/>
    </xf>
    <xf numFmtId="164" fontId="4" fillId="0" borderId="14" xfId="0" applyNumberFormat="1" applyFont="1" applyBorder="1" applyAlignment="1">
      <alignment horizontal="right" vertical="center"/>
    </xf>
    <xf numFmtId="164" fontId="3" fillId="0" borderId="14" xfId="0" applyNumberFormat="1" applyFont="1" applyBorder="1" applyAlignment="1">
      <alignment horizontal="right" vertical="top" wrapText="1"/>
    </xf>
    <xf numFmtId="164" fontId="4" fillId="0" borderId="1" xfId="9" applyNumberFormat="1" applyFont="1" applyFill="1" applyBorder="1" applyAlignment="1">
      <alignment horizontal="center" vertical="center" wrapText="1"/>
    </xf>
    <xf numFmtId="164" fontId="3" fillId="0" borderId="1" xfId="10" applyNumberFormat="1" applyFont="1" applyFill="1" applyBorder="1" applyAlignment="1">
      <alignment horizontal="center" vertical="center" wrapText="1"/>
    </xf>
    <xf numFmtId="164" fontId="3" fillId="0" borderId="1" xfId="11" applyNumberFormat="1" applyFont="1" applyBorder="1" applyAlignment="1">
      <alignment horizontal="center" vertical="center" wrapText="1"/>
    </xf>
    <xf numFmtId="164" fontId="4" fillId="0" borderId="14" xfId="0" applyNumberFormat="1" applyFont="1" applyBorder="1" applyAlignment="1">
      <alignment horizontal="center" vertical="center" wrapText="1"/>
    </xf>
    <xf numFmtId="164" fontId="3" fillId="0" borderId="14" xfId="0" applyNumberFormat="1" applyFont="1" applyBorder="1" applyAlignment="1">
      <alignment horizontal="center" vertical="center" wrapText="1"/>
    </xf>
    <xf numFmtId="164" fontId="4" fillId="0" borderId="14" xfId="9" applyNumberFormat="1" applyFont="1" applyFill="1" applyBorder="1" applyAlignment="1">
      <alignment horizontal="center" vertical="center" wrapText="1"/>
    </xf>
    <xf numFmtId="164" fontId="3" fillId="0" borderId="14" xfId="10" applyNumberFormat="1" applyFont="1" applyFill="1" applyBorder="1" applyAlignment="1">
      <alignment horizontal="center" vertical="center" wrapText="1"/>
    </xf>
    <xf numFmtId="164" fontId="4" fillId="0" borderId="14" xfId="1" applyNumberFormat="1" applyBorder="1" applyAlignment="1">
      <alignment horizontal="center" vertical="center" wrapText="1"/>
    </xf>
    <xf numFmtId="164" fontId="3" fillId="0" borderId="1" xfId="0" applyNumberFormat="1" applyFont="1" applyBorder="1" applyAlignment="1" applyProtection="1">
      <alignment horizontal="center" vertical="center" wrapText="1"/>
      <protection locked="0"/>
    </xf>
    <xf numFmtId="164" fontId="15" fillId="7" borderId="1" xfId="0" applyNumberFormat="1" applyFont="1" applyFill="1" applyBorder="1" applyAlignment="1">
      <alignment horizontal="center" vertical="center" wrapText="1"/>
    </xf>
    <xf numFmtId="164" fontId="16" fillId="0" borderId="1" xfId="0" applyNumberFormat="1" applyFont="1" applyBorder="1" applyAlignment="1">
      <alignment horizontal="center" vertical="center" wrapText="1"/>
    </xf>
    <xf numFmtId="164" fontId="78" fillId="0" borderId="1" xfId="0" applyNumberFormat="1" applyFont="1" applyBorder="1" applyAlignment="1">
      <alignment horizontal="center" vertical="center" wrapText="1"/>
    </xf>
    <xf numFmtId="164" fontId="33" fillId="6" borderId="1" xfId="0" applyNumberFormat="1" applyFont="1" applyFill="1" applyBorder="1" applyAlignment="1">
      <alignment horizontal="center" vertical="center"/>
    </xf>
    <xf numFmtId="164" fontId="21" fillId="0" borderId="14" xfId="0" applyNumberFormat="1" applyFont="1" applyBorder="1" applyAlignment="1">
      <alignment horizontal="right" vertical="top" wrapText="1"/>
    </xf>
    <xf numFmtId="164" fontId="80" fillId="4" borderId="1" xfId="1" applyNumberFormat="1" applyFont="1" applyFill="1" applyBorder="1" applyAlignment="1">
      <alignment horizontal="center" vertical="center" wrapText="1"/>
    </xf>
    <xf numFmtId="164" fontId="78" fillId="0" borderId="1" xfId="11" applyNumberFormat="1" applyFont="1" applyBorder="1" applyAlignment="1">
      <alignment horizontal="center" vertical="center" wrapText="1"/>
    </xf>
    <xf numFmtId="164" fontId="78" fillId="0" borderId="1" xfId="9" applyNumberFormat="1" applyFont="1" applyFill="1" applyBorder="1" applyAlignment="1">
      <alignment horizontal="center" vertical="center" wrapText="1"/>
    </xf>
    <xf numFmtId="164" fontId="3" fillId="0" borderId="1" xfId="7" applyNumberFormat="1" applyFont="1" applyFill="1" applyBorder="1" applyAlignment="1">
      <alignment horizontal="center" vertical="center" wrapText="1"/>
    </xf>
    <xf numFmtId="164" fontId="21" fillId="0" borderId="14" xfId="0" applyNumberFormat="1" applyFont="1" applyBorder="1" applyAlignment="1">
      <alignment horizontal="center" vertical="center" wrapText="1"/>
    </xf>
    <xf numFmtId="164" fontId="16" fillId="0" borderId="14" xfId="0" applyNumberFormat="1" applyFont="1" applyBorder="1" applyAlignment="1">
      <alignment horizontal="center" vertical="center" wrapText="1"/>
    </xf>
    <xf numFmtId="164" fontId="3" fillId="0" borderId="14" xfId="1" applyNumberFormat="1" applyFont="1" applyBorder="1" applyAlignment="1">
      <alignment horizontal="right" vertical="center" wrapText="1"/>
    </xf>
    <xf numFmtId="164" fontId="21" fillId="0" borderId="14" xfId="0" applyNumberFormat="1" applyFont="1" applyBorder="1" applyAlignment="1">
      <alignment horizontal="left" vertical="center" wrapText="1"/>
    </xf>
    <xf numFmtId="0" fontId="24" fillId="0" borderId="1" xfId="0" applyFont="1" applyBorder="1" applyAlignment="1">
      <alignment horizontal="center" vertical="top"/>
    </xf>
    <xf numFmtId="164" fontId="13" fillId="7" borderId="1" xfId="1" applyNumberFormat="1" applyFont="1" applyFill="1" applyBorder="1" applyAlignment="1">
      <alignment horizontal="center" vertical="center" wrapText="1"/>
    </xf>
    <xf numFmtId="164" fontId="0" fillId="0" borderId="1" xfId="0" applyNumberFormat="1" applyBorder="1" applyAlignment="1">
      <alignment horizontal="center" vertical="center"/>
    </xf>
    <xf numFmtId="164" fontId="24" fillId="0" borderId="1" xfId="0" applyNumberFormat="1" applyFont="1" applyBorder="1" applyAlignment="1">
      <alignment horizontal="center" vertical="center"/>
    </xf>
    <xf numFmtId="164" fontId="14" fillId="0" borderId="1" xfId="0" applyNumberFormat="1" applyFont="1" applyBorder="1" applyAlignment="1">
      <alignment horizontal="center" vertical="center"/>
    </xf>
    <xf numFmtId="164" fontId="3" fillId="0" borderId="1" xfId="13" applyNumberFormat="1" applyFont="1" applyFill="1" applyBorder="1" applyAlignment="1">
      <alignment horizontal="center" vertical="center" wrapText="1"/>
    </xf>
    <xf numFmtId="164" fontId="45" fillId="0" borderId="1" xfId="0" applyNumberFormat="1" applyFont="1" applyBorder="1" applyAlignment="1">
      <alignment horizontal="center" vertical="center" wrapText="1"/>
    </xf>
    <xf numFmtId="164" fontId="0" fillId="0" borderId="1" xfId="9" applyNumberFormat="1" applyFont="1" applyBorder="1" applyAlignment="1">
      <alignment horizontal="center" vertical="center"/>
    </xf>
    <xf numFmtId="164" fontId="34" fillId="0" borderId="1" xfId="0" applyNumberFormat="1" applyFont="1" applyBorder="1" applyAlignment="1">
      <alignment horizontal="center" vertical="center"/>
    </xf>
    <xf numFmtId="164" fontId="87" fillId="0" borderId="1" xfId="0" applyNumberFormat="1" applyFont="1" applyBorder="1" applyAlignment="1">
      <alignment horizontal="center" vertical="center" wrapText="1"/>
    </xf>
    <xf numFmtId="164" fontId="10" fillId="0" borderId="0" xfId="0" applyNumberFormat="1" applyFont="1" applyAlignment="1">
      <alignment horizontal="center" vertical="center"/>
    </xf>
    <xf numFmtId="0" fontId="22" fillId="5" borderId="6" xfId="0" applyFont="1" applyFill="1" applyBorder="1" applyAlignment="1">
      <alignment vertical="center" wrapText="1"/>
    </xf>
    <xf numFmtId="0" fontId="22" fillId="9" borderId="6" xfId="0" applyFont="1" applyFill="1" applyBorder="1" applyAlignment="1">
      <alignment vertical="center" wrapText="1"/>
    </xf>
    <xf numFmtId="0" fontId="22" fillId="11" borderId="46" xfId="0" applyFont="1" applyFill="1" applyBorder="1" applyAlignment="1">
      <alignment vertical="center" wrapText="1"/>
    </xf>
    <xf numFmtId="0" fontId="22" fillId="10" borderId="6" xfId="0" applyFont="1" applyFill="1" applyBorder="1" applyAlignment="1">
      <alignment vertical="center" wrapText="1"/>
    </xf>
    <xf numFmtId="0" fontId="13" fillId="7" borderId="1" xfId="1" applyFont="1" applyFill="1" applyBorder="1" applyAlignment="1">
      <alignment horizontal="center" vertical="center" wrapText="1"/>
    </xf>
    <xf numFmtId="0" fontId="23" fillId="0" borderId="1" xfId="1" applyFont="1" applyBorder="1" applyAlignment="1">
      <alignment horizontal="left" vertical="top" wrapText="1"/>
    </xf>
    <xf numFmtId="164" fontId="23" fillId="0" borderId="1" xfId="1" applyNumberFormat="1" applyFont="1" applyBorder="1" applyAlignment="1">
      <alignment horizontal="center" vertical="center" wrapText="1"/>
    </xf>
    <xf numFmtId="0" fontId="15" fillId="7"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3" fillId="0" borderId="1" xfId="0" applyFont="1" applyBorder="1" applyAlignment="1">
      <alignment horizontal="center" vertical="center" wrapText="1"/>
    </xf>
    <xf numFmtId="0" fontId="20" fillId="7" borderId="1" xfId="11" applyFont="1" applyFill="1" applyBorder="1" applyAlignment="1">
      <alignment horizontal="center" vertical="top" wrapText="1"/>
    </xf>
    <xf numFmtId="0" fontId="104" fillId="2" borderId="1"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 xfId="0" applyFont="1" applyFill="1" applyBorder="1" applyAlignment="1">
      <alignment horizontal="left" vertical="top" wrapText="1"/>
    </xf>
    <xf numFmtId="0" fontId="111" fillId="2" borderId="1" xfId="1" applyFont="1" applyFill="1" applyBorder="1" applyAlignment="1">
      <alignment horizontal="left" vertical="top" wrapText="1"/>
    </xf>
    <xf numFmtId="0" fontId="79" fillId="20" borderId="1" xfId="0" applyFont="1" applyFill="1" applyBorder="1" applyAlignment="1">
      <alignment horizontal="center" vertical="center" wrapText="1"/>
    </xf>
    <xf numFmtId="164" fontId="16" fillId="0" borderId="1" xfId="10" applyNumberFormat="1" applyFont="1" applyFill="1" applyBorder="1" applyAlignment="1">
      <alignment horizontal="center" vertical="center" wrapText="1"/>
    </xf>
    <xf numFmtId="167" fontId="16" fillId="0" borderId="1" xfId="0" applyNumberFormat="1" applyFont="1" applyBorder="1" applyAlignment="1">
      <alignment horizontal="center" vertical="center" wrapText="1"/>
    </xf>
    <xf numFmtId="169" fontId="3" fillId="0" borderId="1" xfId="0" applyNumberFormat="1" applyFont="1" applyBorder="1" applyAlignment="1">
      <alignment horizontal="center" vertical="center" wrapText="1"/>
    </xf>
    <xf numFmtId="0" fontId="3" fillId="4" borderId="1" xfId="0" applyFont="1" applyFill="1" applyBorder="1" applyAlignment="1">
      <alignment horizontal="center" vertical="center" wrapText="1"/>
    </xf>
    <xf numFmtId="0" fontId="20" fillId="4" borderId="1" xfId="0" applyFont="1" applyFill="1" applyBorder="1" applyAlignment="1">
      <alignment horizontal="center" vertical="center" wrapText="1"/>
    </xf>
    <xf numFmtId="164" fontId="3" fillId="4" borderId="1" xfId="0" applyNumberFormat="1" applyFont="1" applyFill="1" applyBorder="1" applyAlignment="1">
      <alignment horizontal="center" vertical="center" wrapText="1"/>
    </xf>
    <xf numFmtId="164" fontId="3" fillId="0" borderId="1" xfId="9" applyNumberFormat="1" applyFont="1" applyFill="1" applyBorder="1" applyAlignment="1">
      <alignment horizontal="center" vertical="center" wrapText="1"/>
    </xf>
    <xf numFmtId="0" fontId="4" fillId="4" borderId="1" xfId="0" applyFont="1" applyFill="1" applyBorder="1" applyAlignment="1">
      <alignment horizontal="center" vertical="center" wrapText="1"/>
    </xf>
    <xf numFmtId="4" fontId="45" fillId="0" borderId="1" xfId="0" applyNumberFormat="1" applyFont="1" applyBorder="1" applyAlignment="1">
      <alignment horizontal="left" vertical="center" wrapText="1"/>
    </xf>
    <xf numFmtId="0" fontId="75" fillId="13" borderId="1" xfId="16" applyFont="1" applyFill="1" applyBorder="1" applyAlignment="1">
      <alignment horizontal="center" vertical="center" wrapText="1"/>
    </xf>
    <xf numFmtId="0" fontId="76" fillId="13" borderId="1" xfId="16" applyFont="1" applyFill="1" applyBorder="1" applyAlignment="1">
      <alignment horizontal="center" vertical="center" wrapText="1"/>
    </xf>
    <xf numFmtId="0" fontId="77" fillId="13" borderId="1" xfId="16" applyFont="1" applyFill="1" applyBorder="1" applyAlignment="1">
      <alignment horizontal="center" vertical="center" wrapText="1"/>
    </xf>
    <xf numFmtId="164" fontId="76" fillId="13" borderId="1" xfId="17" applyNumberFormat="1" applyFont="1" applyFill="1" applyBorder="1" applyAlignment="1" applyProtection="1">
      <alignment horizontal="center" vertical="center" wrapText="1"/>
    </xf>
    <xf numFmtId="0" fontId="8" fillId="0" borderId="1" xfId="0" applyFont="1" applyBorder="1" applyAlignment="1">
      <alignment horizontal="center" vertical="center" wrapText="1"/>
    </xf>
    <xf numFmtId="164" fontId="33" fillId="12" borderId="1" xfId="1" applyNumberFormat="1" applyFont="1" applyFill="1" applyBorder="1" applyAlignment="1">
      <alignment horizontal="center" vertical="center" wrapText="1"/>
    </xf>
    <xf numFmtId="164" fontId="33" fillId="12" borderId="1" xfId="9" applyNumberFormat="1" applyFont="1" applyFill="1" applyBorder="1" applyAlignment="1">
      <alignment horizontal="center" vertical="center" wrapText="1"/>
    </xf>
    <xf numFmtId="164" fontId="33" fillId="0" borderId="1" xfId="1" applyNumberFormat="1" applyFont="1" applyBorder="1" applyAlignment="1">
      <alignment horizontal="center" vertical="center" wrapText="1"/>
    </xf>
    <xf numFmtId="0" fontId="33" fillId="0" borderId="1" xfId="12" applyFont="1" applyBorder="1" applyAlignment="1">
      <alignment horizontal="center" vertical="center" wrapText="1"/>
    </xf>
    <xf numFmtId="0" fontId="33" fillId="0" borderId="1" xfId="12" applyFont="1" applyBorder="1" applyAlignment="1">
      <alignment horizontal="center" wrapText="1"/>
    </xf>
    <xf numFmtId="0" fontId="4" fillId="0" borderId="1" xfId="0" applyFont="1" applyBorder="1" applyAlignment="1">
      <alignment wrapText="1"/>
    </xf>
    <xf numFmtId="0" fontId="23" fillId="0" borderId="1" xfId="1" applyFont="1" applyBorder="1" applyAlignment="1">
      <alignment horizontal="center" vertical="center" wrapText="1"/>
    </xf>
    <xf numFmtId="0" fontId="23" fillId="0" borderId="1" xfId="1" applyFont="1" applyBorder="1" applyAlignment="1">
      <alignment vertical="center" wrapText="1"/>
    </xf>
    <xf numFmtId="0" fontId="3" fillId="0" borderId="1" xfId="0" applyFont="1" applyBorder="1" applyAlignment="1">
      <alignment horizontal="justify" vertical="center"/>
    </xf>
    <xf numFmtId="0" fontId="7" fillId="0" borderId="1" xfId="1" applyFont="1" applyBorder="1" applyAlignment="1">
      <alignment vertical="center" wrapText="1"/>
    </xf>
    <xf numFmtId="0" fontId="30" fillId="0" borderId="1" xfId="0" applyFont="1" applyBorder="1" applyAlignment="1">
      <alignment horizontal="center" vertical="center" wrapText="1"/>
    </xf>
    <xf numFmtId="0" fontId="3" fillId="0" borderId="1" xfId="0" applyFont="1" applyBorder="1" applyAlignment="1">
      <alignment vertical="top" wrapText="1"/>
    </xf>
    <xf numFmtId="0" fontId="23" fillId="0" borderId="1" xfId="0" applyFont="1" applyBorder="1" applyAlignment="1">
      <alignment vertical="top" wrapText="1"/>
    </xf>
    <xf numFmtId="0" fontId="23" fillId="0" borderId="1" xfId="0" applyFont="1" applyBorder="1" applyAlignment="1">
      <alignment horizontal="left" wrapText="1"/>
    </xf>
    <xf numFmtId="164" fontId="7" fillId="0" borderId="1" xfId="0" applyNumberFormat="1" applyFont="1" applyBorder="1" applyAlignment="1">
      <alignment horizontal="center" vertical="center"/>
    </xf>
    <xf numFmtId="1" fontId="4" fillId="0" borderId="1" xfId="0" applyNumberFormat="1" applyFont="1" applyBorder="1" applyAlignment="1">
      <alignment horizontal="center" vertical="center" wrapText="1"/>
    </xf>
    <xf numFmtId="0" fontId="7" fillId="6" borderId="1" xfId="1" applyFont="1" applyFill="1" applyBorder="1" applyAlignment="1">
      <alignment horizontal="center" vertical="center" wrapText="1"/>
    </xf>
    <xf numFmtId="1" fontId="7" fillId="0" borderId="1" xfId="0" applyNumberFormat="1" applyFont="1" applyBorder="1" applyAlignment="1">
      <alignment horizontal="center" vertical="center" wrapText="1"/>
    </xf>
    <xf numFmtId="2" fontId="17" fillId="0" borderId="1" xfId="0" applyNumberFormat="1" applyFont="1" applyBorder="1" applyAlignment="1">
      <alignment horizontal="center" vertical="center"/>
    </xf>
    <xf numFmtId="2" fontId="3" fillId="0" borderId="1" xfId="0" applyNumberFormat="1" applyFont="1" applyBorder="1" applyAlignment="1">
      <alignment horizontal="center" vertical="center" wrapText="1"/>
    </xf>
    <xf numFmtId="0" fontId="85" fillId="0" borderId="1" xfId="0" applyFont="1" applyBorder="1" applyAlignment="1">
      <alignment vertical="center" wrapText="1"/>
    </xf>
    <xf numFmtId="0" fontId="4" fillId="0" borderId="1" xfId="0" applyFont="1" applyBorder="1" applyAlignment="1">
      <alignment horizontal="justify" vertical="center" wrapText="1"/>
    </xf>
    <xf numFmtId="0" fontId="20"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14" fontId="3" fillId="6" borderId="1" xfId="0" applyNumberFormat="1" applyFont="1" applyFill="1" applyBorder="1" applyAlignment="1">
      <alignment horizontal="center" vertical="center" wrapText="1"/>
    </xf>
    <xf numFmtId="0" fontId="23" fillId="0" borderId="1" xfId="0" applyFont="1" applyBorder="1" applyAlignment="1">
      <alignment horizontal="left" vertical="center" wrapText="1"/>
    </xf>
    <xf numFmtId="14" fontId="3" fillId="0" borderId="1" xfId="0" applyNumberFormat="1" applyFont="1" applyBorder="1" applyAlignment="1">
      <alignment horizontal="center" vertical="center" wrapText="1"/>
    </xf>
    <xf numFmtId="0" fontId="9" fillId="0" borderId="1" xfId="0" applyFont="1" applyBorder="1" applyAlignment="1">
      <alignment horizontal="center" vertical="center" wrapText="1"/>
    </xf>
    <xf numFmtId="164" fontId="10" fillId="0" borderId="1" xfId="0" applyNumberFormat="1" applyFont="1" applyBorder="1" applyAlignment="1">
      <alignment horizontal="center" vertical="center"/>
    </xf>
    <xf numFmtId="0" fontId="13" fillId="3" borderId="6" xfId="1" applyFont="1" applyFill="1" applyBorder="1" applyAlignment="1">
      <alignment horizontal="center" vertical="top" wrapText="1"/>
    </xf>
    <xf numFmtId="0" fontId="13" fillId="2" borderId="9"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3" borderId="10" xfId="1" applyFont="1" applyFill="1" applyBorder="1" applyAlignment="1">
      <alignment horizontal="center" vertical="top" wrapText="1"/>
    </xf>
    <xf numFmtId="164" fontId="13" fillId="2" borderId="10" xfId="1" applyNumberFormat="1" applyFont="1" applyFill="1" applyBorder="1" applyAlignment="1">
      <alignment horizontal="center" vertical="center" wrapText="1"/>
    </xf>
    <xf numFmtId="164" fontId="13" fillId="2" borderId="12" xfId="1" applyNumberFormat="1" applyFont="1" applyFill="1" applyBorder="1" applyAlignment="1">
      <alignment horizontal="center" vertical="center" wrapText="1"/>
    </xf>
    <xf numFmtId="164" fontId="13" fillId="7" borderId="14" xfId="1" applyNumberFormat="1" applyFont="1" applyFill="1" applyBorder="1" applyAlignment="1">
      <alignment horizontal="center" vertical="center" wrapText="1"/>
    </xf>
    <xf numFmtId="0" fontId="16" fillId="0" borderId="13" xfId="0" applyFont="1" applyBorder="1" applyAlignment="1">
      <alignment vertical="top"/>
    </xf>
    <xf numFmtId="164" fontId="16" fillId="0" borderId="14" xfId="7" applyNumberFormat="1" applyFont="1" applyBorder="1" applyAlignment="1">
      <alignment horizontal="center" vertical="center"/>
    </xf>
    <xf numFmtId="0" fontId="16" fillId="4" borderId="13" xfId="0" applyFont="1" applyFill="1" applyBorder="1" applyAlignment="1">
      <alignment vertical="top"/>
    </xf>
    <xf numFmtId="0" fontId="20" fillId="4" borderId="13" xfId="0" applyFont="1" applyFill="1" applyBorder="1" applyAlignment="1">
      <alignment horizontal="center" vertical="center" wrapText="1"/>
    </xf>
    <xf numFmtId="164" fontId="3" fillId="4" borderId="14" xfId="0" applyNumberFormat="1" applyFont="1" applyFill="1" applyBorder="1" applyAlignment="1">
      <alignment horizontal="center" vertical="center" wrapText="1"/>
    </xf>
    <xf numFmtId="164" fontId="3" fillId="0" borderId="14" xfId="9" applyNumberFormat="1" applyFont="1" applyFill="1" applyBorder="1" applyAlignment="1">
      <alignment horizontal="center" vertical="center" wrapText="1"/>
    </xf>
    <xf numFmtId="0" fontId="4" fillId="4" borderId="13" xfId="0" applyFont="1" applyFill="1" applyBorder="1" applyAlignment="1">
      <alignment horizontal="center" vertical="center" wrapText="1"/>
    </xf>
    <xf numFmtId="0" fontId="0" fillId="0" borderId="13" xfId="0" applyBorder="1" applyAlignment="1">
      <alignment horizontal="center" vertical="distributed"/>
    </xf>
    <xf numFmtId="0" fontId="45" fillId="4" borderId="13" xfId="0" applyFont="1" applyFill="1" applyBorder="1" applyAlignment="1">
      <alignment horizontal="left" vertical="center" wrapText="1"/>
    </xf>
    <xf numFmtId="164" fontId="45" fillId="0" borderId="14" xfId="0" applyNumberFormat="1" applyFont="1" applyBorder="1" applyAlignment="1">
      <alignment horizontal="center" vertical="center" wrapText="1"/>
    </xf>
    <xf numFmtId="0" fontId="45" fillId="0" borderId="13" xfId="0" applyFont="1" applyBorder="1" applyAlignment="1">
      <alignment horizontal="left" vertical="center" wrapText="1"/>
    </xf>
    <xf numFmtId="0" fontId="80" fillId="0" borderId="13" xfId="0" applyFont="1" applyBorder="1" applyAlignment="1">
      <alignment horizontal="left" vertical="top" wrapText="1"/>
    </xf>
    <xf numFmtId="164" fontId="80" fillId="0" borderId="14" xfId="0" applyNumberFormat="1" applyFont="1" applyBorder="1" applyAlignment="1">
      <alignment horizontal="center" vertical="center" wrapText="1"/>
    </xf>
    <xf numFmtId="0" fontId="80" fillId="4" borderId="13" xfId="0" applyFont="1" applyFill="1" applyBorder="1" applyAlignment="1">
      <alignment horizontal="left" vertical="top" wrapText="1"/>
    </xf>
    <xf numFmtId="164" fontId="80" fillId="4" borderId="14" xfId="0" applyNumberFormat="1" applyFont="1" applyFill="1" applyBorder="1" applyAlignment="1">
      <alignment horizontal="center" vertical="center"/>
    </xf>
    <xf numFmtId="0" fontId="24" fillId="0" borderId="13" xfId="0" applyFont="1" applyBorder="1" applyAlignment="1">
      <alignment horizontal="center" vertical="top"/>
    </xf>
    <xf numFmtId="164" fontId="24" fillId="0" borderId="14" xfId="0" applyNumberFormat="1" applyFont="1" applyBorder="1" applyAlignment="1">
      <alignment horizontal="center" vertical="center"/>
    </xf>
    <xf numFmtId="164" fontId="81" fillId="0" borderId="14" xfId="2" applyNumberFormat="1" applyFont="1" applyBorder="1" applyAlignment="1">
      <alignment horizontal="center" vertical="center" wrapText="1"/>
    </xf>
    <xf numFmtId="0" fontId="4" fillId="0" borderId="13" xfId="11" applyBorder="1" applyAlignment="1">
      <alignment horizontal="center" vertical="center" wrapText="1"/>
    </xf>
    <xf numFmtId="164" fontId="3" fillId="0" borderId="14" xfId="3" applyNumberFormat="1" applyFont="1" applyFill="1" applyBorder="1" applyAlignment="1">
      <alignment horizontal="center" vertical="center" wrapText="1"/>
    </xf>
    <xf numFmtId="0" fontId="74" fillId="13" borderId="13" xfId="16" applyFill="1" applyBorder="1" applyAlignment="1">
      <alignment horizontal="center" vertical="center" wrapText="1"/>
    </xf>
    <xf numFmtId="164" fontId="76" fillId="13" borderId="14" xfId="17" applyNumberFormat="1" applyFont="1" applyFill="1" applyBorder="1" applyAlignment="1" applyProtection="1">
      <alignment horizontal="center" vertical="center" wrapText="1"/>
    </xf>
    <xf numFmtId="0" fontId="75" fillId="13" borderId="13" xfId="16" applyFont="1" applyFill="1" applyBorder="1" applyAlignment="1">
      <alignment horizontal="center" vertical="center" wrapText="1"/>
    </xf>
    <xf numFmtId="164" fontId="74" fillId="13" borderId="14" xfId="16" applyNumberFormat="1" applyFill="1" applyBorder="1" applyAlignment="1">
      <alignment horizontal="center" vertical="center" wrapText="1"/>
    </xf>
    <xf numFmtId="0" fontId="77" fillId="13" borderId="13" xfId="16" applyFont="1" applyFill="1" applyBorder="1" applyAlignment="1">
      <alignment horizontal="center" vertical="center" wrapText="1"/>
    </xf>
    <xf numFmtId="164" fontId="76" fillId="13" borderId="14" xfId="16" applyNumberFormat="1" applyFont="1" applyFill="1" applyBorder="1" applyAlignment="1">
      <alignment horizontal="center" vertical="center" wrapText="1"/>
    </xf>
    <xf numFmtId="0" fontId="34" fillId="0" borderId="13" xfId="0" applyFont="1" applyBorder="1" applyAlignment="1">
      <alignment vertical="center"/>
    </xf>
    <xf numFmtId="164" fontId="34" fillId="0" borderId="14" xfId="0" applyNumberFormat="1" applyFont="1" applyBorder="1" applyAlignment="1">
      <alignment horizontal="center" vertical="center" wrapText="1"/>
    </xf>
    <xf numFmtId="0" fontId="23" fillId="0" borderId="13" xfId="1" applyFont="1" applyBorder="1" applyAlignment="1">
      <alignment vertical="top" wrapText="1"/>
    </xf>
    <xf numFmtId="164" fontId="23" fillId="0" borderId="14" xfId="1" applyNumberFormat="1" applyFont="1" applyBorder="1" applyAlignment="1">
      <alignment horizontal="center" vertical="center" wrapText="1"/>
    </xf>
    <xf numFmtId="0" fontId="20" fillId="0" borderId="13" xfId="0" applyFont="1" applyBorder="1" applyAlignment="1">
      <alignment vertical="center" wrapText="1"/>
    </xf>
    <xf numFmtId="0" fontId="78" fillId="6" borderId="13" xfId="0" applyFont="1" applyFill="1" applyBorder="1" applyAlignment="1">
      <alignment horizontal="center" vertical="center" wrapText="1"/>
    </xf>
    <xf numFmtId="164" fontId="78" fillId="6" borderId="14" xfId="0" applyNumberFormat="1" applyFont="1" applyFill="1" applyBorder="1" applyAlignment="1">
      <alignment horizontal="center" vertical="center"/>
    </xf>
    <xf numFmtId="0" fontId="20" fillId="6" borderId="13" xfId="0" applyFont="1" applyFill="1" applyBorder="1" applyAlignment="1">
      <alignment horizontal="center" vertical="center" wrapText="1"/>
    </xf>
    <xf numFmtId="164" fontId="3" fillId="6" borderId="14" xfId="0" applyNumberFormat="1" applyFont="1" applyFill="1" applyBorder="1" applyAlignment="1">
      <alignment horizontal="center" vertical="center" wrapText="1"/>
    </xf>
    <xf numFmtId="164" fontId="58" fillId="0" borderId="14" xfId="0" applyNumberFormat="1" applyFont="1" applyBorder="1" applyAlignment="1">
      <alignment horizontal="center" vertical="center" wrapText="1"/>
    </xf>
    <xf numFmtId="0" fontId="8" fillId="0" borderId="13" xfId="0" applyFont="1" applyBorder="1" applyAlignment="1">
      <alignment horizontal="center" vertical="center" wrapText="1"/>
    </xf>
    <xf numFmtId="0" fontId="10" fillId="0" borderId="13" xfId="0" applyFont="1" applyBorder="1" applyAlignment="1">
      <alignment horizontal="center"/>
    </xf>
    <xf numFmtId="164" fontId="10" fillId="0" borderId="14" xfId="0" applyNumberFormat="1" applyFont="1" applyBorder="1" applyAlignment="1">
      <alignment horizontal="center" vertical="center"/>
    </xf>
    <xf numFmtId="164" fontId="13" fillId="7" borderId="22" xfId="1" applyNumberFormat="1" applyFont="1" applyFill="1" applyBorder="1" applyAlignment="1">
      <alignment horizontal="center" vertical="center" wrapText="1"/>
    </xf>
    <xf numFmtId="0" fontId="13" fillId="7" borderId="22" xfId="1" applyFont="1" applyFill="1" applyBorder="1" applyAlignment="1">
      <alignment horizontal="center" vertical="center" wrapText="1"/>
    </xf>
    <xf numFmtId="164" fontId="13" fillId="7" borderId="23" xfId="1" applyNumberFormat="1" applyFont="1" applyFill="1" applyBorder="1" applyAlignment="1">
      <alignment horizontal="center" vertical="center" wrapText="1"/>
    </xf>
    <xf numFmtId="0" fontId="11" fillId="2" borderId="1" xfId="1" applyFont="1" applyFill="1" applyBorder="1" applyAlignment="1">
      <alignment horizontal="center" vertical="center" wrapText="1"/>
    </xf>
    <xf numFmtId="0" fontId="20" fillId="2" borderId="1" xfId="1" applyFont="1" applyFill="1" applyBorder="1" applyAlignment="1">
      <alignment horizontal="center" vertical="center" wrapText="1"/>
    </xf>
    <xf numFmtId="164" fontId="20" fillId="2" borderId="1" xfId="1" applyNumberFormat="1" applyFont="1" applyFill="1" applyBorder="1" applyAlignment="1">
      <alignment horizontal="center" vertical="center" wrapText="1"/>
    </xf>
    <xf numFmtId="0" fontId="8" fillId="2" borderId="1" xfId="1" applyFont="1" applyFill="1" applyBorder="1" applyAlignment="1">
      <alignment horizontal="center" vertical="center" wrapText="1"/>
    </xf>
    <xf numFmtId="164" fontId="52" fillId="4" borderId="1" xfId="14" applyNumberFormat="1" applyFont="1" applyFill="1" applyBorder="1" applyAlignment="1">
      <alignment horizontal="center" vertical="center" wrapText="1"/>
    </xf>
    <xf numFmtId="0" fontId="3" fillId="4" borderId="1" xfId="1" applyFont="1" applyFill="1" applyBorder="1" applyAlignment="1">
      <alignment horizontal="justify" vertical="center" wrapText="1"/>
    </xf>
    <xf numFmtId="164" fontId="52" fillId="0" borderId="1" xfId="14" applyNumberFormat="1" applyFont="1" applyFill="1" applyBorder="1" applyAlignment="1">
      <alignment horizontal="center" vertical="center" wrapText="1"/>
    </xf>
    <xf numFmtId="0" fontId="56" fillId="4" borderId="1" xfId="1" applyFont="1" applyFill="1" applyBorder="1" applyAlignment="1">
      <alignment horizontal="justify" vertical="center" wrapText="1"/>
    </xf>
    <xf numFmtId="175" fontId="3" fillId="0" borderId="1" xfId="1" applyNumberFormat="1" applyFont="1" applyBorder="1" applyAlignment="1">
      <alignment horizontal="center" vertical="center" wrapText="1"/>
    </xf>
    <xf numFmtId="175" fontId="3" fillId="4" borderId="1" xfId="1" applyNumberFormat="1" applyFont="1" applyFill="1" applyBorder="1" applyAlignment="1">
      <alignment horizontal="center" vertical="center" wrapText="1"/>
    </xf>
    <xf numFmtId="164" fontId="52" fillId="0" borderId="1" xfId="14" applyNumberFormat="1" applyFont="1" applyBorder="1" applyAlignment="1">
      <alignment horizontal="center" vertical="center" wrapText="1"/>
    </xf>
    <xf numFmtId="49" fontId="3" fillId="4" borderId="1" xfId="1" applyNumberFormat="1" applyFont="1" applyFill="1" applyBorder="1" applyAlignment="1">
      <alignment horizontal="center" vertical="center" wrapText="1"/>
    </xf>
    <xf numFmtId="0" fontId="8" fillId="3" borderId="1" xfId="1" applyFont="1" applyFill="1" applyBorder="1" applyAlignment="1">
      <alignment horizontal="right" vertical="center" wrapText="1"/>
    </xf>
    <xf numFmtId="0" fontId="8" fillId="3" borderId="1" xfId="1" applyFont="1" applyFill="1" applyBorder="1" applyAlignment="1">
      <alignment horizontal="center" vertical="center" wrapText="1"/>
    </xf>
    <xf numFmtId="0" fontId="51" fillId="2" borderId="1" xfId="1" applyFont="1" applyFill="1" applyBorder="1" applyAlignment="1">
      <alignment horizontal="center" vertical="center" wrapText="1"/>
    </xf>
    <xf numFmtId="0" fontId="8" fillId="3" borderId="1" xfId="1" applyFont="1" applyFill="1" applyBorder="1" applyAlignment="1">
      <alignment horizontal="right"/>
    </xf>
    <xf numFmtId="0" fontId="3" fillId="3" borderId="1" xfId="1" applyFont="1" applyFill="1" applyBorder="1" applyAlignment="1">
      <alignment horizontal="center" vertical="center"/>
    </xf>
    <xf numFmtId="0" fontId="8" fillId="3" borderId="1" xfId="1" applyFont="1" applyFill="1" applyBorder="1" applyAlignment="1">
      <alignment horizontal="center" vertical="center"/>
    </xf>
    <xf numFmtId="0" fontId="8" fillId="3" borderId="1" xfId="1" applyFont="1" applyFill="1" applyBorder="1" applyAlignment="1">
      <alignment horizontal="justify"/>
    </xf>
    <xf numFmtId="0" fontId="49" fillId="2" borderId="1" xfId="1" applyFont="1" applyFill="1" applyBorder="1" applyAlignment="1">
      <alignment horizontal="center" vertical="center" wrapText="1"/>
    </xf>
    <xf numFmtId="164" fontId="49" fillId="2" borderId="1" xfId="1" applyNumberFormat="1" applyFont="1" applyFill="1" applyBorder="1" applyAlignment="1">
      <alignment horizontal="center" vertical="center" wrapText="1"/>
    </xf>
    <xf numFmtId="0" fontId="66" fillId="0" borderId="1" xfId="1" applyFont="1" applyBorder="1" applyAlignment="1">
      <alignment horizontal="justify" vertical="center" wrapText="1"/>
    </xf>
    <xf numFmtId="0" fontId="67" fillId="0" borderId="1" xfId="1" applyFont="1" applyBorder="1" applyAlignment="1">
      <alignment horizontal="center" vertical="center" wrapText="1"/>
    </xf>
    <xf numFmtId="0" fontId="4" fillId="0" borderId="1" xfId="1" applyBorder="1" applyAlignment="1">
      <alignment horizontal="justify" vertical="top" wrapText="1"/>
    </xf>
    <xf numFmtId="0" fontId="67" fillId="0" borderId="1" xfId="1" applyFont="1" applyBorder="1" applyAlignment="1">
      <alignment horizontal="justify" vertical="top" wrapText="1"/>
    </xf>
    <xf numFmtId="0" fontId="22" fillId="0" borderId="1" xfId="1" applyFont="1" applyBorder="1" applyAlignment="1">
      <alignment horizontal="justify" vertical="center" wrapText="1"/>
    </xf>
    <xf numFmtId="0" fontId="57" fillId="0" borderId="1" xfId="1" applyFont="1" applyBorder="1" applyAlignment="1">
      <alignment horizontal="center" vertical="center" wrapText="1"/>
    </xf>
    <xf numFmtId="174" fontId="34" fillId="0" borderId="1" xfId="1" applyNumberFormat="1" applyFont="1" applyBorder="1" applyAlignment="1">
      <alignment horizontal="center" vertical="center" wrapText="1"/>
    </xf>
    <xf numFmtId="0" fontId="37" fillId="0" borderId="1" xfId="1" applyFont="1" applyBorder="1" applyAlignment="1">
      <alignment horizontal="center" vertical="center" wrapText="1"/>
    </xf>
    <xf numFmtId="0" fontId="71" fillId="0" borderId="1" xfId="1" applyFont="1" applyBorder="1" applyAlignment="1">
      <alignment horizontal="center" vertical="center" wrapText="1"/>
    </xf>
    <xf numFmtId="0" fontId="43" fillId="0" borderId="1" xfId="1" applyFont="1" applyBorder="1" applyAlignment="1">
      <alignment horizontal="justify" vertical="center" wrapText="1"/>
    </xf>
    <xf numFmtId="0" fontId="6" fillId="0" borderId="1" xfId="1" applyFont="1" applyBorder="1" applyAlignment="1">
      <alignment horizontal="justify" vertical="center" wrapText="1"/>
    </xf>
    <xf numFmtId="0" fontId="68" fillId="0" borderId="1" xfId="1" applyFont="1" applyBorder="1" applyAlignment="1">
      <alignment horizontal="justify" vertical="center"/>
    </xf>
    <xf numFmtId="174" fontId="4" fillId="0" borderId="1" xfId="1" applyNumberFormat="1" applyBorder="1" applyAlignment="1">
      <alignment horizontal="center" vertical="center"/>
    </xf>
    <xf numFmtId="0" fontId="8" fillId="3" borderId="1" xfId="1" applyFont="1" applyFill="1" applyBorder="1" applyAlignment="1">
      <alignment horizontal="right" vertical="center"/>
    </xf>
    <xf numFmtId="164" fontId="3" fillId="4" borderId="1" xfId="1" applyNumberFormat="1" applyFont="1" applyFill="1" applyBorder="1" applyAlignment="1">
      <alignment horizontal="center" vertical="center"/>
    </xf>
    <xf numFmtId="164" fontId="8" fillId="3" borderId="1" xfId="1" applyNumberFormat="1" applyFont="1" applyFill="1" applyBorder="1" applyAlignment="1">
      <alignment horizontal="center" vertical="center"/>
    </xf>
    <xf numFmtId="0" fontId="11" fillId="2" borderId="13" xfId="1" applyFont="1" applyFill="1" applyBorder="1" applyAlignment="1">
      <alignment horizontal="center" vertical="center" wrapText="1"/>
    </xf>
    <xf numFmtId="164" fontId="20" fillId="2" borderId="14" xfId="1" applyNumberFormat="1" applyFont="1" applyFill="1" applyBorder="1" applyAlignment="1">
      <alignment horizontal="center" vertical="center" wrapText="1"/>
    </xf>
    <xf numFmtId="0" fontId="8" fillId="3" borderId="13" xfId="1" applyFont="1" applyFill="1" applyBorder="1" applyAlignment="1">
      <alignment horizontal="right" vertical="center" wrapText="1"/>
    </xf>
    <xf numFmtId="164" fontId="52" fillId="0" borderId="14" xfId="14" applyNumberFormat="1" applyFont="1" applyBorder="1" applyAlignment="1">
      <alignment horizontal="center" vertical="center" wrapText="1"/>
    </xf>
    <xf numFmtId="0" fontId="49" fillId="2" borderId="13" xfId="1" applyFont="1" applyFill="1" applyBorder="1" applyAlignment="1">
      <alignment horizontal="center" vertical="center" wrapText="1"/>
    </xf>
    <xf numFmtId="164" fontId="49" fillId="2" borderId="14" xfId="1" applyNumberFormat="1" applyFont="1" applyFill="1" applyBorder="1" applyAlignment="1">
      <alignment horizontal="center" vertical="center" wrapText="1"/>
    </xf>
    <xf numFmtId="0" fontId="8" fillId="0" borderId="13" xfId="1" applyFont="1" applyBorder="1" applyAlignment="1">
      <alignment horizontal="center"/>
    </xf>
    <xf numFmtId="0" fontId="66" fillId="0" borderId="13" xfId="1" applyFont="1" applyBorder="1" applyAlignment="1">
      <alignment vertical="center"/>
    </xf>
    <xf numFmtId="0" fontId="8" fillId="0" borderId="13" xfId="1" applyFont="1" applyBorder="1" applyAlignment="1">
      <alignment vertical="center"/>
    </xf>
    <xf numFmtId="164" fontId="8" fillId="3" borderId="14" xfId="1" applyNumberFormat="1" applyFont="1" applyFill="1" applyBorder="1" applyAlignment="1">
      <alignment horizontal="center" vertical="center"/>
    </xf>
    <xf numFmtId="0" fontId="8" fillId="3" borderId="21" xfId="1" applyFont="1" applyFill="1" applyBorder="1" applyAlignment="1">
      <alignment horizontal="right"/>
    </xf>
    <xf numFmtId="0" fontId="8" fillId="3" borderId="22" xfId="1" applyFont="1" applyFill="1" applyBorder="1" applyAlignment="1">
      <alignment horizontal="right"/>
    </xf>
    <xf numFmtId="164" fontId="8" fillId="3" borderId="22" xfId="1" applyNumberFormat="1" applyFont="1" applyFill="1" applyBorder="1" applyAlignment="1">
      <alignment horizontal="center" vertical="center"/>
    </xf>
    <xf numFmtId="164" fontId="8" fillId="3" borderId="23" xfId="1" applyNumberFormat="1" applyFont="1" applyFill="1" applyBorder="1" applyAlignment="1">
      <alignment horizontal="center" vertical="center"/>
    </xf>
    <xf numFmtId="16" fontId="3" fillId="0" borderId="7" xfId="1" applyNumberFormat="1" applyFont="1" applyBorder="1" applyAlignment="1">
      <alignment horizontal="justify" vertical="center" wrapText="1"/>
    </xf>
    <xf numFmtId="0" fontId="3" fillId="4" borderId="7" xfId="1" applyFont="1" applyFill="1" applyBorder="1" applyAlignment="1">
      <alignment horizontal="center" vertical="center" wrapText="1"/>
    </xf>
    <xf numFmtId="164" fontId="52" fillId="4" borderId="7" xfId="14" applyNumberFormat="1" applyFont="1" applyFill="1" applyBorder="1" applyAlignment="1">
      <alignment horizontal="center" vertical="center" wrapText="1"/>
    </xf>
    <xf numFmtId="0" fontId="48" fillId="3" borderId="1" xfId="1" applyFont="1" applyFill="1" applyBorder="1" applyAlignment="1">
      <alignment horizontal="center" vertical="center" wrapText="1"/>
    </xf>
    <xf numFmtId="0" fontId="48" fillId="3" borderId="1" xfId="1" applyFont="1" applyFill="1" applyBorder="1" applyAlignment="1">
      <alignment horizontal="center" vertical="center"/>
    </xf>
    <xf numFmtId="0" fontId="50" fillId="2" borderId="1" xfId="1" applyFont="1" applyFill="1" applyBorder="1" applyAlignment="1">
      <alignment horizontal="center" vertical="center" wrapText="1"/>
    </xf>
    <xf numFmtId="164" fontId="50" fillId="2" borderId="1" xfId="1" applyNumberFormat="1" applyFont="1" applyFill="1" applyBorder="1" applyAlignment="1">
      <alignment horizontal="center" vertical="center" wrapText="1"/>
    </xf>
    <xf numFmtId="0" fontId="50" fillId="2" borderId="1" xfId="1" applyFont="1" applyFill="1" applyBorder="1" applyAlignment="1">
      <alignment horizontal="center" vertical="center"/>
    </xf>
    <xf numFmtId="0" fontId="4" fillId="4" borderId="1" xfId="1" applyFill="1" applyBorder="1" applyAlignment="1">
      <alignment vertical="center"/>
    </xf>
    <xf numFmtId="0" fontId="52" fillId="4" borderId="1" xfId="1" applyFont="1" applyFill="1" applyBorder="1" applyAlignment="1">
      <alignment horizontal="center" vertical="center" wrapText="1"/>
    </xf>
    <xf numFmtId="1" fontId="3" fillId="4" borderId="1" xfId="1" applyNumberFormat="1" applyFont="1" applyFill="1" applyBorder="1" applyAlignment="1">
      <alignment horizontal="center" vertical="center" wrapText="1"/>
    </xf>
    <xf numFmtId="0" fontId="3" fillId="0" borderId="1" xfId="1" applyFont="1" applyBorder="1"/>
    <xf numFmtId="164" fontId="3" fillId="4" borderId="1" xfId="1" applyNumberFormat="1" applyFont="1" applyFill="1" applyBorder="1" applyAlignment="1">
      <alignment horizontal="center" vertical="center" wrapText="1"/>
    </xf>
    <xf numFmtId="0" fontId="53" fillId="4" borderId="1" xfId="2" applyFont="1" applyFill="1" applyBorder="1" applyAlignment="1">
      <alignment horizontal="justify" vertical="center"/>
    </xf>
    <xf numFmtId="0" fontId="38" fillId="0" borderId="1" xfId="1" applyFont="1" applyBorder="1" applyAlignment="1">
      <alignment horizontal="center" vertical="center" wrapText="1"/>
    </xf>
    <xf numFmtId="2" fontId="3" fillId="4" borderId="1" xfId="1" applyNumberFormat="1" applyFont="1" applyFill="1" applyBorder="1" applyAlignment="1">
      <alignment horizontal="center" vertical="center" wrapText="1"/>
    </xf>
    <xf numFmtId="0" fontId="38" fillId="4" borderId="1" xfId="1" applyFont="1" applyFill="1" applyBorder="1" applyAlignment="1">
      <alignment horizontal="justify" vertical="center"/>
    </xf>
    <xf numFmtId="2" fontId="55" fillId="0" borderId="1" xfId="1" applyNumberFormat="1" applyFont="1" applyBorder="1" applyAlignment="1">
      <alignment horizontal="center" vertical="center"/>
    </xf>
    <xf numFmtId="0" fontId="38" fillId="0" borderId="1" xfId="1" applyFont="1" applyBorder="1" applyAlignment="1">
      <alignment horizontal="justify" vertical="center"/>
    </xf>
    <xf numFmtId="0" fontId="38" fillId="0" borderId="1" xfId="1" applyFont="1" applyBorder="1" applyAlignment="1">
      <alignment vertical="center" wrapText="1"/>
    </xf>
    <xf numFmtId="0" fontId="3" fillId="4" borderId="1" xfId="1" applyFont="1" applyFill="1" applyBorder="1"/>
    <xf numFmtId="0" fontId="38" fillId="4" borderId="1" xfId="1" applyFont="1" applyFill="1" applyBorder="1" applyAlignment="1">
      <alignment horizontal="center" vertical="center" wrapText="1"/>
    </xf>
    <xf numFmtId="0" fontId="4" fillId="0" borderId="1" xfId="1" applyBorder="1" applyAlignment="1">
      <alignment vertical="center"/>
    </xf>
    <xf numFmtId="164" fontId="56" fillId="0" borderId="1" xfId="1" applyNumberFormat="1" applyFont="1" applyBorder="1" applyAlignment="1">
      <alignment horizontal="center" vertical="center"/>
    </xf>
    <xf numFmtId="1" fontId="3" fillId="4" borderId="1" xfId="1" applyNumberFormat="1" applyFont="1" applyFill="1" applyBorder="1" applyAlignment="1">
      <alignment horizontal="center" vertical="center"/>
    </xf>
    <xf numFmtId="2" fontId="3" fillId="4" borderId="1" xfId="1" applyNumberFormat="1" applyFont="1" applyFill="1" applyBorder="1" applyAlignment="1">
      <alignment horizontal="center" vertical="center"/>
    </xf>
    <xf numFmtId="16" fontId="4" fillId="0" borderId="1" xfId="1" applyNumberFormat="1" applyBorder="1" applyAlignment="1">
      <alignment vertical="center"/>
    </xf>
    <xf numFmtId="16" fontId="57" fillId="0" borderId="1" xfId="1" applyNumberFormat="1" applyFont="1" applyBorder="1" applyAlignment="1">
      <alignment vertical="center"/>
    </xf>
    <xf numFmtId="0" fontId="4" fillId="4" borderId="1" xfId="1" applyFill="1" applyBorder="1" applyAlignment="1">
      <alignment horizontal="left" vertical="center"/>
    </xf>
    <xf numFmtId="0" fontId="3" fillId="4" borderId="1" xfId="1" applyFont="1" applyFill="1" applyBorder="1" applyAlignment="1">
      <alignment horizontal="left" vertical="center" wrapText="1"/>
    </xf>
    <xf numFmtId="164" fontId="56" fillId="4" borderId="1" xfId="1" applyNumberFormat="1" applyFont="1" applyFill="1" applyBorder="1" applyAlignment="1">
      <alignment horizontal="center" vertical="center"/>
    </xf>
    <xf numFmtId="0" fontId="3" fillId="0" borderId="1" xfId="1" applyFont="1" applyBorder="1" applyAlignment="1">
      <alignment vertical="top"/>
    </xf>
    <xf numFmtId="0" fontId="4" fillId="0" borderId="1" xfId="1" applyBorder="1" applyAlignment="1">
      <alignment horizontal="left" vertical="center"/>
    </xf>
    <xf numFmtId="0" fontId="3" fillId="0" borderId="1" xfId="1" applyFont="1" applyBorder="1" applyAlignment="1">
      <alignment horizontal="left" vertical="center" wrapText="1"/>
    </xf>
    <xf numFmtId="0" fontId="3" fillId="0" borderId="1" xfId="1" applyFont="1" applyBorder="1" applyAlignment="1">
      <alignment horizontal="left" vertical="center"/>
    </xf>
    <xf numFmtId="0" fontId="59" fillId="0" borderId="1" xfId="1" applyFont="1" applyBorder="1" applyAlignment="1">
      <alignment vertical="top" wrapText="1"/>
    </xf>
    <xf numFmtId="0" fontId="3" fillId="3" borderId="1" xfId="1" applyFont="1" applyFill="1" applyBorder="1" applyAlignment="1">
      <alignment vertical="center"/>
    </xf>
    <xf numFmtId="164" fontId="44" fillId="0" borderId="1" xfId="1" applyNumberFormat="1" applyFont="1" applyBorder="1" applyAlignment="1">
      <alignment horizontal="center" vertical="center" wrapText="1"/>
    </xf>
    <xf numFmtId="0" fontId="44" fillId="4" borderId="1" xfId="1" applyFont="1" applyFill="1" applyBorder="1" applyAlignment="1">
      <alignment horizontal="center" vertical="center"/>
    </xf>
    <xf numFmtId="164" fontId="44" fillId="4" borderId="1" xfId="1" applyNumberFormat="1" applyFont="1" applyFill="1" applyBorder="1" applyAlignment="1">
      <alignment horizontal="center" vertical="center" wrapText="1"/>
    </xf>
    <xf numFmtId="167" fontId="8" fillId="3" borderId="1" xfId="1" applyNumberFormat="1" applyFont="1" applyFill="1" applyBorder="1" applyAlignment="1">
      <alignment horizontal="center" vertical="center"/>
    </xf>
    <xf numFmtId="0" fontId="63" fillId="0" borderId="1" xfId="6" applyFont="1" applyBorder="1" applyAlignment="1" applyProtection="1">
      <alignment horizontal="center" vertical="center" wrapText="1"/>
      <protection locked="0"/>
    </xf>
    <xf numFmtId="0" fontId="44" fillId="0" borderId="1" xfId="1" applyFont="1" applyBorder="1" applyAlignment="1">
      <alignment vertical="center"/>
    </xf>
    <xf numFmtId="0" fontId="44" fillId="0" borderId="1" xfId="1" applyFont="1" applyBorder="1" applyAlignment="1">
      <alignment vertical="center" wrapText="1"/>
    </xf>
    <xf numFmtId="0" fontId="52" fillId="0" borderId="1" xfId="1" applyFont="1" applyBorder="1" applyAlignment="1">
      <alignment vertical="center"/>
    </xf>
    <xf numFmtId="0" fontId="52" fillId="0" borderId="1" xfId="1" applyFont="1" applyBorder="1" applyAlignment="1">
      <alignment horizontal="left" vertical="center" wrapText="1"/>
    </xf>
    <xf numFmtId="0" fontId="56" fillId="0" borderId="1" xfId="6" applyFont="1" applyBorder="1" applyAlignment="1" applyProtection="1">
      <alignment horizontal="center" vertical="center" wrapText="1"/>
      <protection locked="0"/>
    </xf>
    <xf numFmtId="0" fontId="3" fillId="0" borderId="1" xfId="1" applyFont="1" applyBorder="1" applyAlignment="1" applyProtection="1">
      <alignment horizontal="center" vertical="center" wrapText="1"/>
      <protection locked="0"/>
    </xf>
    <xf numFmtId="168" fontId="3" fillId="0" borderId="1" xfId="1" applyNumberFormat="1" applyFont="1" applyBorder="1" applyAlignment="1">
      <alignment horizontal="center" vertical="center"/>
    </xf>
    <xf numFmtId="4" fontId="8" fillId="3" borderId="1" xfId="1" applyNumberFormat="1" applyFont="1" applyFill="1" applyBorder="1" applyAlignment="1">
      <alignment horizontal="right" vertical="center"/>
    </xf>
    <xf numFmtId="4" fontId="3" fillId="3" borderId="1" xfId="1" applyNumberFormat="1" applyFont="1" applyFill="1" applyBorder="1" applyAlignment="1">
      <alignment horizontal="right" vertical="center"/>
    </xf>
    <xf numFmtId="0" fontId="48" fillId="3" borderId="13" xfId="1" applyFont="1" applyFill="1" applyBorder="1" applyAlignment="1">
      <alignment horizontal="center" vertical="center" wrapText="1"/>
    </xf>
    <xf numFmtId="164" fontId="50" fillId="2" borderId="14" xfId="1" applyNumberFormat="1" applyFont="1" applyFill="1" applyBorder="1" applyAlignment="1">
      <alignment horizontal="center" vertical="center" wrapText="1"/>
    </xf>
    <xf numFmtId="0" fontId="20" fillId="4" borderId="13" xfId="1" applyFont="1" applyFill="1" applyBorder="1" applyAlignment="1">
      <alignment horizontal="center" vertical="center" wrapText="1"/>
    </xf>
    <xf numFmtId="164" fontId="38" fillId="0" borderId="14" xfId="1" applyNumberFormat="1" applyFont="1" applyBorder="1" applyAlignment="1">
      <alignment horizontal="center" vertical="center"/>
    </xf>
    <xf numFmtId="164" fontId="38" fillId="4" borderId="14" xfId="1" applyNumberFormat="1" applyFont="1" applyFill="1" applyBorder="1" applyAlignment="1">
      <alignment horizontal="center" vertical="center"/>
    </xf>
    <xf numFmtId="0" fontId="20" fillId="4" borderId="13" xfId="1" applyFont="1" applyFill="1" applyBorder="1" applyAlignment="1">
      <alignment horizontal="center" vertical="center"/>
    </xf>
    <xf numFmtId="0" fontId="20" fillId="0" borderId="13" xfId="1" applyFont="1" applyBorder="1" applyAlignment="1">
      <alignment horizontal="center" vertical="center"/>
    </xf>
    <xf numFmtId="164" fontId="44" fillId="0" borderId="14" xfId="15" applyNumberFormat="1" applyFont="1" applyBorder="1" applyAlignment="1">
      <alignment horizontal="center" vertical="center" wrapText="1"/>
    </xf>
    <xf numFmtId="0" fontId="8" fillId="3" borderId="13" xfId="1" applyFont="1" applyFill="1" applyBorder="1" applyAlignment="1">
      <alignment horizontal="right" vertical="center"/>
    </xf>
    <xf numFmtId="0" fontId="8" fillId="4" borderId="13" xfId="1" applyFont="1" applyFill="1" applyBorder="1" applyAlignment="1">
      <alignment vertical="center"/>
    </xf>
    <xf numFmtId="0" fontId="8" fillId="4" borderId="13" xfId="1" applyFont="1" applyFill="1" applyBorder="1" applyAlignment="1">
      <alignment horizontal="center" vertical="center"/>
    </xf>
    <xf numFmtId="0" fontId="3" fillId="3" borderId="13" xfId="1" applyFont="1" applyFill="1" applyBorder="1" applyAlignment="1">
      <alignment horizontal="center" vertical="center"/>
    </xf>
    <xf numFmtId="0" fontId="8" fillId="3" borderId="21" xfId="1" applyFont="1" applyFill="1" applyBorder="1" applyAlignment="1">
      <alignment horizontal="right" vertical="center" wrapText="1"/>
    </xf>
    <xf numFmtId="0" fontId="8" fillId="3" borderId="22" xfId="1" applyFont="1" applyFill="1" applyBorder="1" applyAlignment="1">
      <alignment horizontal="right" vertical="center" wrapText="1"/>
    </xf>
    <xf numFmtId="4" fontId="3" fillId="3" borderId="22" xfId="1" applyNumberFormat="1" applyFont="1" applyFill="1" applyBorder="1" applyAlignment="1">
      <alignment horizontal="right" vertical="center"/>
    </xf>
    <xf numFmtId="0" fontId="20" fillId="4" borderId="16" xfId="1" applyFont="1" applyFill="1" applyBorder="1" applyAlignment="1">
      <alignment horizontal="center" vertical="center" wrapText="1"/>
    </xf>
    <xf numFmtId="0" fontId="4" fillId="4" borderId="7" xfId="1" applyFill="1" applyBorder="1" applyAlignment="1">
      <alignment vertical="center"/>
    </xf>
    <xf numFmtId="0" fontId="3" fillId="4" borderId="7" xfId="1" applyFont="1" applyFill="1" applyBorder="1" applyAlignment="1">
      <alignment vertical="center" wrapText="1"/>
    </xf>
    <xf numFmtId="0" fontId="52" fillId="4" borderId="7" xfId="1" applyFont="1" applyFill="1" applyBorder="1" applyAlignment="1">
      <alignment horizontal="center" vertical="center" wrapText="1"/>
    </xf>
    <xf numFmtId="1" fontId="3" fillId="4" borderId="7" xfId="1" applyNumberFormat="1" applyFont="1" applyFill="1" applyBorder="1" applyAlignment="1">
      <alignment horizontal="center" vertical="center" wrapText="1"/>
    </xf>
    <xf numFmtId="0" fontId="3" fillId="0" borderId="7" xfId="1" applyFont="1" applyBorder="1" applyAlignment="1">
      <alignment vertical="center"/>
    </xf>
    <xf numFmtId="0" fontId="3" fillId="0" borderId="7" xfId="1" applyFont="1" applyBorder="1"/>
    <xf numFmtId="4" fontId="3" fillId="4" borderId="7" xfId="1" applyNumberFormat="1" applyFont="1" applyFill="1" applyBorder="1" applyAlignment="1">
      <alignment horizontal="center" vertical="center" wrapText="1"/>
    </xf>
    <xf numFmtId="0" fontId="53" fillId="4" borderId="7" xfId="2" applyFont="1" applyFill="1" applyBorder="1" applyAlignment="1">
      <alignment horizontal="justify" vertical="center"/>
    </xf>
    <xf numFmtId="0" fontId="38" fillId="0" borderId="7" xfId="1" applyFont="1" applyBorder="1" applyAlignment="1">
      <alignment horizontal="center" vertical="center" wrapText="1"/>
    </xf>
    <xf numFmtId="164" fontId="38" fillId="0" borderId="18" xfId="1" applyNumberFormat="1" applyFont="1" applyBorder="1" applyAlignment="1">
      <alignment horizontal="center" vertical="center"/>
    </xf>
    <xf numFmtId="0" fontId="96" fillId="18" borderId="1" xfId="1" applyFont="1" applyFill="1" applyBorder="1" applyAlignment="1">
      <alignment horizontal="center" vertical="top" wrapText="1" readingOrder="1"/>
    </xf>
    <xf numFmtId="0" fontId="96" fillId="18" borderId="1" xfId="1" applyFont="1" applyFill="1" applyBorder="1" applyAlignment="1">
      <alignment horizontal="center" vertical="center" wrapText="1" readingOrder="1"/>
    </xf>
    <xf numFmtId="0" fontId="96" fillId="18" borderId="1" xfId="1" applyFont="1" applyFill="1" applyBorder="1" applyAlignment="1">
      <alignment vertical="center" wrapText="1" readingOrder="1"/>
    </xf>
    <xf numFmtId="0" fontId="97" fillId="0" borderId="1" xfId="1" applyFont="1" applyBorder="1" applyAlignment="1">
      <alignment vertical="top" wrapText="1" readingOrder="1"/>
    </xf>
    <xf numFmtId="178" fontId="97" fillId="0" borderId="1" xfId="1" applyNumberFormat="1" applyFont="1" applyBorder="1" applyAlignment="1">
      <alignment vertical="top" wrapText="1" readingOrder="1"/>
    </xf>
    <xf numFmtId="0" fontId="98" fillId="0" borderId="1" xfId="1" applyFont="1" applyBorder="1" applyAlignment="1">
      <alignment vertical="top" wrapText="1" readingOrder="1"/>
    </xf>
    <xf numFmtId="0" fontId="96" fillId="18" borderId="10" xfId="1" applyFont="1" applyFill="1" applyBorder="1" applyAlignment="1">
      <alignment horizontal="center" vertical="top" wrapText="1" readingOrder="1"/>
    </xf>
    <xf numFmtId="0" fontId="96" fillId="18" borderId="13" xfId="1" applyFont="1" applyFill="1" applyBorder="1" applyAlignment="1">
      <alignment horizontal="center" vertical="center" wrapText="1" readingOrder="1"/>
    </xf>
    <xf numFmtId="0" fontId="96" fillId="18" borderId="14" xfId="1" applyFont="1" applyFill="1" applyBorder="1" applyAlignment="1">
      <alignment horizontal="center" vertical="top" wrapText="1" readingOrder="1"/>
    </xf>
    <xf numFmtId="0" fontId="97" fillId="0" borderId="13" xfId="1" applyFont="1" applyBorder="1" applyAlignment="1">
      <alignment vertical="top" wrapText="1" readingOrder="1"/>
    </xf>
    <xf numFmtId="0" fontId="98" fillId="0" borderId="14" xfId="1" applyFont="1" applyBorder="1" applyAlignment="1">
      <alignment vertical="top" wrapText="1" readingOrder="1"/>
    </xf>
    <xf numFmtId="0" fontId="97" fillId="0" borderId="21" xfId="1" applyFont="1" applyBorder="1" applyAlignment="1">
      <alignment vertical="top" wrapText="1" readingOrder="1"/>
    </xf>
    <xf numFmtId="0" fontId="97" fillId="0" borderId="22" xfId="1" applyFont="1" applyBorder="1" applyAlignment="1">
      <alignment vertical="top" wrapText="1" readingOrder="1"/>
    </xf>
    <xf numFmtId="178" fontId="97" fillId="0" borderId="22" xfId="1" applyNumberFormat="1" applyFont="1" applyBorder="1" applyAlignment="1">
      <alignment vertical="top" wrapText="1" readingOrder="1"/>
    </xf>
    <xf numFmtId="0" fontId="98" fillId="0" borderId="22" xfId="1" applyFont="1" applyBorder="1" applyAlignment="1">
      <alignment vertical="top" wrapText="1" readingOrder="1"/>
    </xf>
    <xf numFmtId="0" fontId="98" fillId="0" borderId="23" xfId="1" applyFont="1" applyBorder="1" applyAlignment="1">
      <alignment vertical="top" wrapText="1" readingOrder="1"/>
    </xf>
    <xf numFmtId="168" fontId="4" fillId="0" borderId="0" xfId="1" applyNumberFormat="1"/>
    <xf numFmtId="0" fontId="101" fillId="0" borderId="0" xfId="1" applyFont="1" applyAlignment="1">
      <alignment vertical="top" wrapText="1"/>
    </xf>
    <xf numFmtId="0" fontId="101" fillId="0" borderId="0" xfId="1" applyFont="1" applyAlignment="1">
      <alignment vertical="top"/>
    </xf>
    <xf numFmtId="0" fontId="14" fillId="7" borderId="1" xfId="0" applyFont="1" applyFill="1" applyBorder="1" applyAlignment="1">
      <alignment horizontal="center" vertical="top"/>
    </xf>
    <xf numFmtId="0" fontId="14" fillId="7" borderId="1" xfId="0" applyFont="1" applyFill="1" applyBorder="1" applyAlignment="1">
      <alignment horizontal="center" vertical="top" wrapText="1"/>
    </xf>
    <xf numFmtId="164" fontId="14" fillId="7" borderId="1" xfId="0" applyNumberFormat="1" applyFont="1" applyFill="1" applyBorder="1" applyAlignment="1">
      <alignment horizontal="center" vertical="top"/>
    </xf>
    <xf numFmtId="164" fontId="42" fillId="0" borderId="1" xfId="0" applyNumberFormat="1" applyFont="1" applyBorder="1" applyAlignment="1">
      <alignment horizontal="center" vertical="center"/>
    </xf>
    <xf numFmtId="164" fontId="4" fillId="0" borderId="1" xfId="7" applyNumberFormat="1" applyFont="1" applyBorder="1" applyAlignment="1">
      <alignment horizontal="center" vertical="center"/>
    </xf>
    <xf numFmtId="0" fontId="113" fillId="0" borderId="1" xfId="0" applyFont="1" applyBorder="1"/>
    <xf numFmtId="164" fontId="16" fillId="0" borderId="1" xfId="0" applyNumberFormat="1" applyFont="1" applyBorder="1" applyAlignment="1">
      <alignment horizontal="center" vertical="center"/>
    </xf>
    <xf numFmtId="0" fontId="16" fillId="0" borderId="1" xfId="0" applyFont="1" applyBorder="1" applyAlignment="1">
      <alignment vertical="center"/>
    </xf>
    <xf numFmtId="164" fontId="4" fillId="0" borderId="1" xfId="15" applyNumberFormat="1" applyFont="1" applyBorder="1" applyAlignment="1">
      <alignment horizontal="center" vertical="center"/>
    </xf>
    <xf numFmtId="0" fontId="6" fillId="0" borderId="1" xfId="0" applyFont="1" applyBorder="1" applyAlignment="1">
      <alignment horizontal="center" vertical="top"/>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center"/>
    </xf>
    <xf numFmtId="0" fontId="14" fillId="7" borderId="13" xfId="0" applyFont="1" applyFill="1" applyBorder="1" applyAlignment="1">
      <alignment horizontal="center" vertical="top"/>
    </xf>
    <xf numFmtId="164" fontId="14" fillId="7" borderId="14" xfId="0" applyNumberFormat="1" applyFont="1" applyFill="1" applyBorder="1" applyAlignment="1">
      <alignment horizontal="center" vertical="top"/>
    </xf>
    <xf numFmtId="0" fontId="4" fillId="0" borderId="13" xfId="0" applyFont="1" applyBorder="1" applyAlignment="1">
      <alignment horizontal="center" vertical="center"/>
    </xf>
    <xf numFmtId="164" fontId="4" fillId="0" borderId="14" xfId="7" applyNumberFormat="1" applyFont="1" applyBorder="1" applyAlignment="1">
      <alignment horizontal="center" vertical="center"/>
    </xf>
    <xf numFmtId="164" fontId="4" fillId="0" borderId="14" xfId="15" applyNumberFormat="1" applyFont="1" applyBorder="1" applyAlignment="1">
      <alignment horizontal="center" vertical="center"/>
    </xf>
    <xf numFmtId="0" fontId="6" fillId="0" borderId="13" xfId="0" applyFont="1" applyBorder="1" applyAlignment="1">
      <alignment horizontal="center" vertical="top"/>
    </xf>
    <xf numFmtId="164" fontId="6" fillId="0" borderId="14" xfId="0" applyNumberFormat="1" applyFont="1" applyBorder="1" applyAlignment="1">
      <alignment horizontal="center" vertical="top"/>
    </xf>
    <xf numFmtId="0" fontId="15" fillId="2" borderId="22" xfId="0" applyFont="1" applyFill="1" applyBorder="1" applyAlignment="1">
      <alignment horizontal="center" vertical="center" wrapText="1"/>
    </xf>
    <xf numFmtId="0" fontId="15" fillId="3" borderId="22" xfId="0" applyFont="1" applyFill="1" applyBorder="1" applyAlignment="1">
      <alignment horizontal="center" vertical="center" wrapText="1"/>
    </xf>
    <xf numFmtId="164" fontId="15" fillId="3" borderId="22" xfId="0" applyNumberFormat="1" applyFont="1" applyFill="1" applyBorder="1" applyAlignment="1">
      <alignment horizontal="center" vertical="center" wrapText="1"/>
    </xf>
    <xf numFmtId="164" fontId="15" fillId="3" borderId="23" xfId="0" applyNumberFormat="1" applyFont="1" applyFill="1" applyBorder="1" applyAlignment="1">
      <alignment horizontal="center" vertical="center" wrapText="1"/>
    </xf>
    <xf numFmtId="0" fontId="4" fillId="0" borderId="1" xfId="11" applyBorder="1" applyAlignment="1">
      <alignment horizontal="center" vertical="top" wrapText="1"/>
    </xf>
    <xf numFmtId="0" fontId="4" fillId="0" borderId="1" xfId="11" applyBorder="1" applyAlignment="1">
      <alignment horizontal="justify" vertical="top" wrapText="1"/>
    </xf>
    <xf numFmtId="164" fontId="4" fillId="0" borderId="1" xfId="11" applyNumberForma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top" wrapText="1"/>
    </xf>
    <xf numFmtId="49" fontId="3" fillId="0" borderId="1" xfId="0" applyNumberFormat="1" applyFont="1" applyBorder="1" applyAlignment="1">
      <alignment horizontal="center" vertical="center" wrapText="1"/>
    </xf>
    <xf numFmtId="164" fontId="0" fillId="0" borderId="1" xfId="0" applyNumberFormat="1" applyBorder="1" applyAlignment="1">
      <alignment horizontal="center" vertical="center" wrapText="1"/>
    </xf>
    <xf numFmtId="0" fontId="0" fillId="0" borderId="1" xfId="0" applyBorder="1" applyAlignment="1">
      <alignment horizontal="center" wrapText="1"/>
    </xf>
    <xf numFmtId="0" fontId="4" fillId="0" borderId="1" xfId="6" applyBorder="1" applyAlignment="1">
      <alignment horizontal="center" vertical="center" wrapText="1"/>
    </xf>
    <xf numFmtId="164" fontId="3" fillId="0" borderId="1" xfId="6" applyNumberFormat="1" applyFont="1" applyBorder="1" applyAlignment="1">
      <alignment horizontal="center" vertical="center" wrapText="1"/>
    </xf>
    <xf numFmtId="164" fontId="0" fillId="0" borderId="1" xfId="8" applyNumberFormat="1" applyFont="1" applyBorder="1" applyAlignment="1">
      <alignment horizontal="center" vertical="center" wrapText="1"/>
    </xf>
    <xf numFmtId="0" fontId="4" fillId="0" borderId="13" xfId="11" applyBorder="1" applyAlignment="1">
      <alignment horizontal="center" vertical="top" wrapText="1"/>
    </xf>
    <xf numFmtId="164" fontId="4" fillId="0" borderId="14" xfId="11" applyNumberFormat="1" applyBorder="1" applyAlignment="1">
      <alignment horizontal="center" vertical="center" wrapText="1"/>
    </xf>
    <xf numFmtId="164" fontId="20" fillId="7" borderId="14" xfId="11" applyNumberFormat="1" applyFont="1" applyFill="1" applyBorder="1" applyAlignment="1">
      <alignment horizontal="center" vertical="center" wrapText="1"/>
    </xf>
    <xf numFmtId="0" fontId="8" fillId="0" borderId="13" xfId="0" applyFont="1" applyBorder="1" applyAlignment="1">
      <alignment horizontal="center" vertical="top" wrapText="1"/>
    </xf>
    <xf numFmtId="0" fontId="0" fillId="0" borderId="13" xfId="0" applyBorder="1" applyAlignment="1">
      <alignment vertical="center" wrapText="1"/>
    </xf>
    <xf numFmtId="0" fontId="4" fillId="0" borderId="13" xfId="0" applyFont="1" applyBorder="1" applyAlignment="1">
      <alignment vertical="center" wrapText="1"/>
    </xf>
    <xf numFmtId="0" fontId="80" fillId="0" borderId="13" xfId="0" applyFont="1" applyBorder="1" applyAlignment="1">
      <alignment horizontal="center" vertical="center" wrapText="1"/>
    </xf>
    <xf numFmtId="164" fontId="25" fillId="3" borderId="22" xfId="0" applyNumberFormat="1" applyFont="1" applyFill="1" applyBorder="1" applyAlignment="1">
      <alignment vertical="top" wrapText="1"/>
    </xf>
    <xf numFmtId="164" fontId="25" fillId="3" borderId="22" xfId="0" applyNumberFormat="1" applyFont="1" applyFill="1" applyBorder="1" applyAlignment="1">
      <alignment horizontal="center" vertical="top" wrapText="1"/>
    </xf>
    <xf numFmtId="164" fontId="25" fillId="3" borderId="23" xfId="0" applyNumberFormat="1" applyFont="1" applyFill="1" applyBorder="1" applyAlignment="1">
      <alignment vertical="top" wrapText="1"/>
    </xf>
    <xf numFmtId="164" fontId="14" fillId="7" borderId="1" xfId="0" applyNumberFormat="1" applyFont="1" applyFill="1" applyBorder="1" applyAlignment="1">
      <alignment horizontal="center" vertical="top" wrapText="1"/>
    </xf>
    <xf numFmtId="0" fontId="2" fillId="0" borderId="1" xfId="0" applyFont="1" applyBorder="1"/>
    <xf numFmtId="164" fontId="2" fillId="0" borderId="1" xfId="0" applyNumberFormat="1" applyFont="1" applyBorder="1" applyAlignment="1">
      <alignment horizontal="center" vertical="center"/>
    </xf>
    <xf numFmtId="0" fontId="26" fillId="0" borderId="13" xfId="1" applyFont="1" applyBorder="1" applyAlignment="1">
      <alignment horizontal="center" vertical="center"/>
    </xf>
    <xf numFmtId="164" fontId="15" fillId="2" borderId="14" xfId="0" applyNumberFormat="1" applyFont="1" applyFill="1" applyBorder="1" applyAlignment="1">
      <alignment horizontal="center" vertical="top" wrapText="1"/>
    </xf>
    <xf numFmtId="0" fontId="14" fillId="7" borderId="13" xfId="0" applyFont="1" applyFill="1" applyBorder="1" applyAlignment="1">
      <alignment horizontal="center" vertical="top" wrapText="1"/>
    </xf>
    <xf numFmtId="0" fontId="26" fillId="0" borderId="13" xfId="1" applyFont="1" applyBorder="1" applyAlignment="1">
      <alignment horizontal="center" vertical="center" wrapText="1"/>
    </xf>
    <xf numFmtId="0" fontId="22" fillId="0" borderId="13" xfId="1" applyFont="1" applyBorder="1" applyAlignment="1">
      <alignment horizontal="center" vertical="center" wrapText="1"/>
    </xf>
    <xf numFmtId="0" fontId="2" fillId="0" borderId="13" xfId="0" applyFont="1" applyBorder="1"/>
    <xf numFmtId="164" fontId="2" fillId="0" borderId="14" xfId="0" applyNumberFormat="1" applyFont="1" applyBorder="1" applyAlignment="1">
      <alignment horizontal="center" vertical="center"/>
    </xf>
    <xf numFmtId="164" fontId="14" fillId="7" borderId="22" xfId="0" applyNumberFormat="1" applyFont="1" applyFill="1" applyBorder="1" applyAlignment="1">
      <alignment horizontal="center" vertical="top"/>
    </xf>
    <xf numFmtId="164" fontId="14" fillId="7" borderId="23" xfId="0" applyNumberFormat="1" applyFont="1" applyFill="1" applyBorder="1" applyAlignment="1">
      <alignment horizontal="center" vertical="top"/>
    </xf>
    <xf numFmtId="0" fontId="11" fillId="2" borderId="22" xfId="0" applyFont="1" applyFill="1" applyBorder="1" applyAlignment="1">
      <alignment horizontal="center" vertical="center" wrapText="1"/>
    </xf>
    <xf numFmtId="164" fontId="11" fillId="2" borderId="22" xfId="0" applyNumberFormat="1" applyFont="1" applyFill="1" applyBorder="1" applyAlignment="1">
      <alignment horizontal="center" vertical="center" wrapText="1"/>
    </xf>
    <xf numFmtId="164" fontId="11" fillId="2" borderId="23" xfId="0" applyNumberFormat="1" applyFont="1" applyFill="1" applyBorder="1" applyAlignment="1">
      <alignment horizontal="center" vertical="center" wrapText="1"/>
    </xf>
    <xf numFmtId="0" fontId="8" fillId="3" borderId="36" xfId="1" applyFont="1" applyFill="1" applyBorder="1" applyAlignment="1">
      <alignment horizontal="right" vertical="center" wrapText="1"/>
    </xf>
    <xf numFmtId="0" fontId="8" fillId="3" borderId="37" xfId="1" applyFont="1" applyFill="1" applyBorder="1" applyAlignment="1">
      <alignment horizontal="right" vertical="center" wrapText="1"/>
    </xf>
    <xf numFmtId="0" fontId="8" fillId="3" borderId="38" xfId="1" applyFont="1" applyFill="1" applyBorder="1" applyAlignment="1">
      <alignment horizontal="right" vertical="center" wrapText="1"/>
    </xf>
    <xf numFmtId="164" fontId="21" fillId="0" borderId="1" xfId="7" applyNumberFormat="1" applyFont="1" applyFill="1" applyBorder="1" applyAlignment="1">
      <alignment horizontal="center" vertical="center" wrapText="1"/>
    </xf>
    <xf numFmtId="0" fontId="35" fillId="7" borderId="1" xfId="0" applyFont="1" applyFill="1" applyBorder="1" applyAlignment="1">
      <alignment horizontal="left" vertical="center" wrapText="1"/>
    </xf>
    <xf numFmtId="0" fontId="35" fillId="7" borderId="1" xfId="0" applyFont="1" applyFill="1" applyBorder="1" applyAlignment="1">
      <alignment horizontal="center" vertical="center" wrapText="1"/>
    </xf>
    <xf numFmtId="0" fontId="35" fillId="7" borderId="1" xfId="0" applyFont="1" applyFill="1" applyBorder="1" applyAlignment="1">
      <alignment vertical="center" wrapText="1"/>
    </xf>
    <xf numFmtId="164" fontId="35" fillId="7" borderId="1" xfId="0" applyNumberFormat="1" applyFont="1" applyFill="1" applyBorder="1" applyAlignment="1">
      <alignment horizontal="center" vertical="center"/>
    </xf>
    <xf numFmtId="164" fontId="1" fillId="7" borderId="1" xfId="0" applyNumberFormat="1" applyFont="1" applyFill="1" applyBorder="1" applyAlignment="1">
      <alignment horizontal="center" vertical="center"/>
    </xf>
    <xf numFmtId="0" fontId="1" fillId="7" borderId="1" xfId="0" applyFont="1" applyFill="1" applyBorder="1"/>
    <xf numFmtId="164" fontId="21" fillId="0" borderId="1" xfId="10" applyNumberFormat="1" applyFont="1" applyFill="1" applyBorder="1" applyAlignment="1">
      <alignment horizontal="center" vertical="center" wrapText="1"/>
    </xf>
    <xf numFmtId="164" fontId="15" fillId="2" borderId="7" xfId="0" applyNumberFormat="1" applyFont="1" applyFill="1" applyBorder="1" applyAlignment="1">
      <alignment horizontal="center" vertical="center" wrapText="1"/>
    </xf>
    <xf numFmtId="164" fontId="15" fillId="2" borderId="22" xfId="0" applyNumberFormat="1" applyFont="1" applyFill="1" applyBorder="1" applyAlignment="1">
      <alignment horizontal="center" vertical="center" wrapText="1"/>
    </xf>
    <xf numFmtId="164" fontId="15" fillId="2" borderId="23" xfId="0" applyNumberFormat="1" applyFont="1" applyFill="1" applyBorder="1" applyAlignment="1">
      <alignment horizontal="center" vertical="center" wrapText="1"/>
    </xf>
    <xf numFmtId="0" fontId="15" fillId="2" borderId="16" xfId="0" applyFont="1" applyFill="1" applyBorder="1" applyAlignment="1">
      <alignment horizontal="center" vertical="center" wrapText="1"/>
    </xf>
    <xf numFmtId="164" fontId="15" fillId="2" borderId="18" xfId="0" applyNumberFormat="1" applyFont="1" applyFill="1" applyBorder="1" applyAlignment="1">
      <alignment horizontal="center" vertical="center" wrapText="1"/>
    </xf>
    <xf numFmtId="0" fontId="35" fillId="7" borderId="13" xfId="0" applyFont="1" applyFill="1" applyBorder="1" applyAlignment="1">
      <alignment horizontal="left" vertical="center" wrapText="1"/>
    </xf>
    <xf numFmtId="164" fontId="35" fillId="7" borderId="14" xfId="0" applyNumberFormat="1" applyFont="1" applyFill="1" applyBorder="1" applyAlignment="1">
      <alignment horizontal="center" vertical="center"/>
    </xf>
    <xf numFmtId="0" fontId="15" fillId="2" borderId="13" xfId="0" applyFont="1" applyFill="1" applyBorder="1" applyAlignment="1">
      <alignment horizontal="center" vertical="center" wrapText="1"/>
    </xf>
    <xf numFmtId="164" fontId="15" fillId="2" borderId="14" xfId="0" applyNumberFormat="1" applyFont="1" applyFill="1" applyBorder="1" applyAlignment="1">
      <alignment horizontal="center" vertical="center" wrapText="1"/>
    </xf>
    <xf numFmtId="0" fontId="21" fillId="4" borderId="13" xfId="0" applyFont="1" applyFill="1" applyBorder="1" applyAlignment="1">
      <alignment horizontal="center" vertical="center" wrapText="1"/>
    </xf>
    <xf numFmtId="0" fontId="80" fillId="0" borderId="13" xfId="1" applyFont="1" applyBorder="1" applyAlignment="1">
      <alignment horizontal="center" vertical="center" wrapText="1"/>
    </xf>
    <xf numFmtId="164" fontId="80" fillId="0" borderId="14" xfId="1" applyNumberFormat="1" applyFont="1" applyBorder="1" applyAlignment="1">
      <alignment horizontal="center" vertical="center"/>
    </xf>
    <xf numFmtId="0" fontId="80" fillId="4" borderId="13" xfId="0" applyFont="1" applyFill="1" applyBorder="1" applyAlignment="1">
      <alignment horizontal="center" vertical="center" wrapText="1"/>
    </xf>
    <xf numFmtId="164" fontId="104" fillId="3" borderId="14" xfId="0" applyNumberFormat="1" applyFont="1" applyFill="1" applyBorder="1" applyAlignment="1">
      <alignment horizontal="center" vertical="center"/>
    </xf>
    <xf numFmtId="164" fontId="1" fillId="7" borderId="14" xfId="0" applyNumberFormat="1" applyFont="1" applyFill="1" applyBorder="1" applyAlignment="1">
      <alignment horizontal="center" vertical="center"/>
    </xf>
    <xf numFmtId="0" fontId="35" fillId="0" borderId="13" xfId="0" applyFont="1" applyBorder="1" applyAlignment="1">
      <alignment vertical="center" wrapText="1"/>
    </xf>
    <xf numFmtId="164" fontId="79" fillId="16" borderId="14" xfId="0" applyNumberFormat="1" applyFont="1" applyFill="1" applyBorder="1" applyAlignment="1">
      <alignment horizontal="center" vertical="center"/>
    </xf>
    <xf numFmtId="164" fontId="79" fillId="20" borderId="14" xfId="0" applyNumberFormat="1" applyFont="1" applyFill="1" applyBorder="1" applyAlignment="1">
      <alignment horizontal="center" vertical="center"/>
    </xf>
    <xf numFmtId="0" fontId="8" fillId="0" borderId="13" xfId="0" applyFont="1" applyBorder="1" applyAlignment="1">
      <alignment vertical="center" wrapText="1"/>
    </xf>
    <xf numFmtId="0" fontId="0" fillId="0" borderId="1" xfId="0" applyBorder="1" applyAlignment="1">
      <alignment horizontal="center" vertical="top" wrapText="1"/>
    </xf>
    <xf numFmtId="164" fontId="104" fillId="2" borderId="14" xfId="0" applyNumberFormat="1" applyFont="1" applyFill="1" applyBorder="1" applyAlignment="1">
      <alignment horizontal="center" vertical="center" wrapText="1"/>
    </xf>
    <xf numFmtId="0" fontId="4" fillId="0" borderId="13" xfId="0" applyFont="1" applyBorder="1" applyAlignment="1">
      <alignment horizontal="left" vertical="top" wrapText="1"/>
    </xf>
    <xf numFmtId="164" fontId="104" fillId="2" borderId="14" xfId="0" applyNumberFormat="1" applyFont="1" applyFill="1" applyBorder="1" applyAlignment="1">
      <alignment horizontal="center" vertical="top" wrapText="1"/>
    </xf>
    <xf numFmtId="164" fontId="4" fillId="0" borderId="14" xfId="10" applyNumberFormat="1" applyFont="1" applyBorder="1" applyAlignment="1">
      <alignment horizontal="center" vertical="center" wrapText="1"/>
    </xf>
    <xf numFmtId="0" fontId="4" fillId="0" borderId="13" xfId="1" applyBorder="1" applyAlignment="1">
      <alignment horizontal="left" vertical="top" wrapText="1"/>
    </xf>
    <xf numFmtId="164" fontId="4" fillId="0" borderId="14" xfId="7" applyNumberFormat="1" applyFont="1" applyBorder="1" applyAlignment="1">
      <alignment horizontal="center" vertical="center" wrapText="1"/>
    </xf>
    <xf numFmtId="0" fontId="110" fillId="0" borderId="13" xfId="0" applyFont="1" applyBorder="1" applyAlignment="1">
      <alignment horizontal="left" vertical="top" wrapText="1"/>
    </xf>
    <xf numFmtId="0" fontId="34" fillId="0" borderId="13" xfId="0" applyFont="1" applyBorder="1" applyAlignment="1">
      <alignment horizontal="left" vertical="top" wrapText="1"/>
    </xf>
    <xf numFmtId="164" fontId="111" fillId="2" borderId="14" xfId="1" applyNumberFormat="1" applyFont="1" applyFill="1" applyBorder="1" applyAlignment="1">
      <alignment horizontal="center" vertical="top" wrapText="1"/>
    </xf>
    <xf numFmtId="164" fontId="111" fillId="2" borderId="14" xfId="1" applyNumberFormat="1" applyFont="1" applyFill="1" applyBorder="1" applyAlignment="1">
      <alignment horizontal="center" vertical="center" wrapText="1"/>
    </xf>
    <xf numFmtId="164" fontId="80" fillId="4" borderId="14" xfId="0" applyNumberFormat="1" applyFont="1" applyFill="1" applyBorder="1" applyAlignment="1">
      <alignment horizontal="center" vertical="center" wrapText="1"/>
    </xf>
    <xf numFmtId="164" fontId="104" fillId="3" borderId="14" xfId="0" applyNumberFormat="1" applyFont="1" applyFill="1" applyBorder="1" applyAlignment="1">
      <alignment horizontal="center" vertical="center" wrapText="1"/>
    </xf>
    <xf numFmtId="0" fontId="80" fillId="0" borderId="13" xfId="11" applyFont="1" applyBorder="1" applyAlignment="1">
      <alignment horizontal="left" vertical="top" wrapText="1"/>
    </xf>
    <xf numFmtId="164" fontId="80" fillId="0" borderId="14" xfId="11" applyNumberFormat="1" applyFont="1" applyBorder="1" applyAlignment="1">
      <alignment horizontal="center" vertical="center" wrapText="1"/>
    </xf>
    <xf numFmtId="0" fontId="80" fillId="0" borderId="13" xfId="1" applyFont="1" applyBorder="1" applyAlignment="1">
      <alignment horizontal="left" vertical="top" wrapText="1"/>
    </xf>
    <xf numFmtId="164" fontId="80" fillId="0" borderId="14" xfId="1" applyNumberFormat="1" applyFont="1" applyBorder="1" applyAlignment="1">
      <alignment horizontal="center" vertical="center" wrapText="1"/>
    </xf>
    <xf numFmtId="0" fontId="24" fillId="0" borderId="13" xfId="0" applyFont="1" applyBorder="1" applyAlignment="1">
      <alignment horizontal="left" vertical="top" wrapText="1"/>
    </xf>
    <xf numFmtId="164" fontId="24" fillId="0" borderId="14" xfId="0" applyNumberFormat="1" applyFont="1" applyBorder="1" applyAlignment="1">
      <alignment horizontal="center" vertical="center" wrapText="1"/>
    </xf>
    <xf numFmtId="0" fontId="4" fillId="4" borderId="13" xfId="0" applyFont="1" applyFill="1" applyBorder="1" applyAlignment="1">
      <alignment horizontal="left" vertical="top" wrapText="1"/>
    </xf>
    <xf numFmtId="164" fontId="20" fillId="3" borderId="14" xfId="0" applyNumberFormat="1" applyFont="1" applyFill="1" applyBorder="1" applyAlignment="1">
      <alignment horizontal="center" vertical="center" wrapText="1"/>
    </xf>
    <xf numFmtId="164" fontId="25" fillId="3" borderId="14" xfId="0" applyNumberFormat="1" applyFont="1" applyFill="1" applyBorder="1" applyAlignment="1">
      <alignment horizontal="center" vertical="center" wrapText="1"/>
    </xf>
    <xf numFmtId="0" fontId="42" fillId="6" borderId="13" xfId="0" applyFont="1" applyFill="1" applyBorder="1" applyAlignment="1">
      <alignment horizontal="left" vertical="top" wrapText="1"/>
    </xf>
    <xf numFmtId="164" fontId="42" fillId="6" borderId="14" xfId="0" applyNumberFormat="1" applyFont="1" applyFill="1" applyBorder="1" applyAlignment="1">
      <alignment horizontal="center" vertical="center" wrapText="1"/>
    </xf>
    <xf numFmtId="0" fontId="42" fillId="0" borderId="13" xfId="0" applyFont="1" applyBorder="1" applyAlignment="1">
      <alignment horizontal="left" vertical="top" wrapText="1"/>
    </xf>
    <xf numFmtId="164" fontId="42" fillId="0" borderId="14" xfId="0" applyNumberFormat="1" applyFont="1" applyBorder="1" applyAlignment="1">
      <alignment horizontal="center" vertical="center" wrapText="1"/>
    </xf>
    <xf numFmtId="164" fontId="4" fillId="0" borderId="14" xfId="0" applyNumberFormat="1" applyFont="1" applyBorder="1" applyAlignment="1">
      <alignment vertical="center" wrapText="1"/>
    </xf>
    <xf numFmtId="0" fontId="20" fillId="0" borderId="13" xfId="0" applyFont="1" applyBorder="1" applyAlignment="1">
      <alignment horizontal="left" vertical="top" wrapText="1"/>
    </xf>
    <xf numFmtId="164" fontId="25" fillId="3" borderId="14" xfId="0" applyNumberFormat="1" applyFont="1" applyFill="1" applyBorder="1" applyAlignment="1">
      <alignment horizontal="center" vertical="top" wrapText="1"/>
    </xf>
    <xf numFmtId="164" fontId="20" fillId="0" borderId="14" xfId="0" applyNumberFormat="1" applyFont="1" applyBorder="1" applyAlignment="1">
      <alignment horizontal="center" vertical="center" wrapText="1"/>
    </xf>
    <xf numFmtId="0" fontId="0" fillId="0" borderId="13" xfId="0" applyBorder="1" applyAlignment="1">
      <alignment horizontal="center" vertical="top"/>
    </xf>
    <xf numFmtId="164" fontId="25" fillId="3" borderId="23" xfId="0" applyNumberFormat="1" applyFont="1" applyFill="1" applyBorder="1" applyAlignment="1">
      <alignment horizontal="center" vertical="top" wrapText="1"/>
    </xf>
    <xf numFmtId="0" fontId="104" fillId="2" borderId="22" xfId="0" applyFont="1" applyFill="1" applyBorder="1" applyAlignment="1">
      <alignment horizontal="left" vertical="top" wrapText="1"/>
    </xf>
    <xf numFmtId="164" fontId="104" fillId="2" borderId="22" xfId="0" applyNumberFormat="1" applyFont="1" applyFill="1" applyBorder="1" applyAlignment="1">
      <alignment horizontal="center" vertical="top" wrapText="1"/>
    </xf>
    <xf numFmtId="0" fontId="104" fillId="2" borderId="22" xfId="0" applyFont="1" applyFill="1" applyBorder="1" applyAlignment="1">
      <alignment horizontal="center" vertical="top" wrapText="1"/>
    </xf>
    <xf numFmtId="164" fontId="104" fillId="2" borderId="23" xfId="0" applyNumberFormat="1" applyFont="1" applyFill="1" applyBorder="1" applyAlignment="1">
      <alignment horizontal="center" vertical="center" wrapText="1"/>
    </xf>
    <xf numFmtId="4" fontId="3" fillId="0" borderId="1" xfId="0" applyNumberFormat="1" applyFont="1" applyBorder="1" applyAlignment="1">
      <alignment vertical="top" wrapText="1"/>
    </xf>
    <xf numFmtId="4" fontId="4" fillId="0" borderId="1" xfId="0" applyNumberFormat="1" applyFont="1" applyBorder="1" applyAlignment="1">
      <alignment horizontal="left" vertical="top" wrapText="1"/>
    </xf>
    <xf numFmtId="167" fontId="3" fillId="17" borderId="1" xfId="0" applyNumberFormat="1" applyFont="1" applyFill="1" applyBorder="1" applyAlignment="1">
      <alignment horizontal="center" vertical="center" wrapText="1"/>
    </xf>
    <xf numFmtId="4" fontId="3" fillId="0" borderId="1" xfId="0" applyNumberFormat="1" applyFont="1" applyBorder="1" applyAlignment="1">
      <alignment horizontal="center" vertical="center" wrapText="1"/>
    </xf>
    <xf numFmtId="164" fontId="92" fillId="0" borderId="1" xfId="0" applyNumberFormat="1" applyFont="1" applyBorder="1" applyAlignment="1">
      <alignment horizontal="center" vertical="center" wrapText="1"/>
    </xf>
    <xf numFmtId="164" fontId="35" fillId="0" borderId="1" xfId="0" applyNumberFormat="1" applyFont="1" applyBorder="1" applyAlignment="1">
      <alignment horizontal="center" vertical="center" wrapText="1"/>
    </xf>
    <xf numFmtId="0" fontId="93" fillId="0" borderId="1" xfId="18" applyFont="1" applyFill="1" applyBorder="1" applyAlignment="1">
      <alignment horizontal="center" vertical="center"/>
    </xf>
    <xf numFmtId="0" fontId="93" fillId="0" borderId="1" xfId="18" applyFont="1" applyFill="1" applyBorder="1" applyAlignment="1">
      <alignment horizontal="left" vertical="center" wrapText="1"/>
    </xf>
    <xf numFmtId="42" fontId="8" fillId="0" borderId="1" xfId="0" applyNumberFormat="1" applyFont="1" applyBorder="1" applyAlignment="1">
      <alignment horizontal="center" vertical="center" wrapText="1"/>
    </xf>
    <xf numFmtId="0" fontId="4" fillId="12" borderId="13" xfId="1" applyFill="1" applyBorder="1" applyAlignment="1">
      <alignment horizontal="center" vertical="center" wrapText="1"/>
    </xf>
    <xf numFmtId="164" fontId="3" fillId="0" borderId="14" xfId="0" applyNumberFormat="1" applyFont="1" applyBorder="1" applyAlignment="1" applyProtection="1">
      <alignment horizontal="center" vertical="center" wrapText="1"/>
      <protection locked="0"/>
    </xf>
    <xf numFmtId="0" fontId="24" fillId="0" borderId="13" xfId="0" applyFont="1" applyBorder="1" applyAlignment="1">
      <alignment horizontal="left" vertical="top"/>
    </xf>
    <xf numFmtId="0" fontId="20" fillId="7" borderId="13"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 fillId="0" borderId="13" xfId="0" applyFont="1" applyBorder="1" applyAlignment="1">
      <alignment horizontal="center" vertical="top" wrapText="1"/>
    </xf>
    <xf numFmtId="0" fontId="10" fillId="0" borderId="13" xfId="0" applyFont="1" applyBorder="1" applyAlignment="1">
      <alignment horizontal="center" vertical="center"/>
    </xf>
    <xf numFmtId="164" fontId="35" fillId="0" borderId="14" xfId="0" applyNumberFormat="1" applyFont="1" applyBorder="1" applyAlignment="1">
      <alignment horizontal="center" vertical="center" wrapText="1"/>
    </xf>
    <xf numFmtId="0" fontId="3" fillId="0" borderId="13" xfId="0" applyFont="1" applyBorder="1" applyAlignment="1">
      <alignment vertical="center" wrapText="1"/>
    </xf>
    <xf numFmtId="0" fontId="16" fillId="0" borderId="13" xfId="0" applyFont="1" applyBorder="1" applyAlignment="1">
      <alignment vertical="center" wrapText="1"/>
    </xf>
    <xf numFmtId="164" fontId="20" fillId="7" borderId="22" xfId="11" applyNumberFormat="1" applyFont="1" applyFill="1" applyBorder="1" applyAlignment="1">
      <alignment vertical="top" wrapText="1"/>
    </xf>
    <xf numFmtId="0" fontId="20" fillId="7" borderId="22" xfId="11" applyFont="1" applyFill="1" applyBorder="1" applyAlignment="1">
      <alignment vertical="top" wrapText="1"/>
    </xf>
    <xf numFmtId="164" fontId="20" fillId="7" borderId="23" xfId="11" applyNumberFormat="1" applyFont="1" applyFill="1" applyBorder="1" applyAlignment="1">
      <alignment vertical="top" wrapText="1"/>
    </xf>
    <xf numFmtId="168" fontId="21" fillId="0" borderId="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1" xfId="0" applyFont="1" applyBorder="1" applyAlignment="1">
      <alignment horizontal="center" vertical="top" wrapText="1"/>
    </xf>
    <xf numFmtId="0" fontId="4" fillId="0" borderId="1" xfId="0" applyFont="1" applyBorder="1" applyAlignment="1">
      <alignment horizontal="center"/>
    </xf>
    <xf numFmtId="0" fontId="7" fillId="0" borderId="1" xfId="1" applyFont="1" applyBorder="1" applyAlignment="1">
      <alignment horizontal="center" vertical="top" wrapText="1"/>
    </xf>
    <xf numFmtId="0" fontId="7" fillId="0" borderId="1" xfId="0" applyFont="1" applyBorder="1"/>
    <xf numFmtId="0" fontId="4" fillId="0" borderId="1" xfId="11" applyBorder="1" applyAlignment="1">
      <alignment horizontal="left" vertical="top" wrapText="1"/>
    </xf>
    <xf numFmtId="0" fontId="35" fillId="6" borderId="1" xfId="0" applyFont="1" applyFill="1" applyBorder="1" applyAlignment="1">
      <alignment horizontal="center" vertical="top" wrapText="1"/>
    </xf>
    <xf numFmtId="164" fontId="21" fillId="6" borderId="1" xfId="0" applyNumberFormat="1" applyFont="1" applyFill="1" applyBorder="1" applyAlignment="1">
      <alignment horizontal="center" vertical="center" wrapText="1"/>
    </xf>
    <xf numFmtId="0" fontId="35" fillId="0" borderId="1" xfId="0" applyFont="1" applyBorder="1" applyAlignment="1">
      <alignment horizontal="center" vertical="center"/>
    </xf>
    <xf numFmtId="0" fontId="21" fillId="0" borderId="1" xfId="0" applyFont="1" applyBorder="1" applyAlignment="1">
      <alignment horizontal="left" vertical="top" wrapText="1"/>
    </xf>
    <xf numFmtId="0" fontId="21" fillId="0" borderId="1" xfId="19" applyFont="1" applyBorder="1" applyAlignment="1">
      <alignment horizontal="center" vertical="center" wrapText="1"/>
    </xf>
    <xf numFmtId="164" fontId="21" fillId="0" borderId="1" xfId="19" applyNumberFormat="1" applyFont="1" applyBorder="1" applyAlignment="1">
      <alignment horizontal="center" vertical="center" wrapText="1"/>
    </xf>
    <xf numFmtId="0" fontId="21" fillId="0" borderId="1" xfId="19" applyFont="1" applyBorder="1" applyAlignment="1">
      <alignment horizontal="center" vertical="top" wrapText="1"/>
    </xf>
    <xf numFmtId="164" fontId="15" fillId="7" borderId="14" xfId="0" applyNumberFormat="1" applyFont="1" applyFill="1" applyBorder="1" applyAlignment="1">
      <alignment horizontal="center" vertical="center" wrapText="1"/>
    </xf>
    <xf numFmtId="0" fontId="21" fillId="0" borderId="13" xfId="0" applyFont="1" applyBorder="1" applyAlignment="1">
      <alignment horizontal="center" vertical="center"/>
    </xf>
    <xf numFmtId="0" fontId="16" fillId="0" borderId="13" xfId="0" applyFont="1" applyBorder="1" applyAlignment="1">
      <alignment horizontal="center" vertical="center" wrapText="1"/>
    </xf>
    <xf numFmtId="164" fontId="3" fillId="0" borderId="14" xfId="0" applyNumberFormat="1" applyFont="1" applyBorder="1" applyAlignment="1" applyProtection="1">
      <alignment horizontal="right" vertical="center" wrapText="1"/>
      <protection locked="0"/>
    </xf>
    <xf numFmtId="0" fontId="20" fillId="0" borderId="13" xfId="0" applyFont="1" applyBorder="1" applyAlignment="1">
      <alignment horizontal="left" vertical="center" wrapText="1"/>
    </xf>
    <xf numFmtId="164" fontId="80" fillId="0" borderId="14" xfId="0" applyNumberFormat="1" applyFont="1" applyBorder="1" applyAlignment="1">
      <alignment horizontal="right" vertical="top" wrapText="1"/>
    </xf>
    <xf numFmtId="164" fontId="80" fillId="4" borderId="14" xfId="0" applyNumberFormat="1" applyFont="1" applyFill="1" applyBorder="1" applyAlignment="1">
      <alignment horizontal="right" vertical="top"/>
    </xf>
    <xf numFmtId="164" fontId="80" fillId="4" borderId="14" xfId="1" applyNumberFormat="1" applyFont="1" applyFill="1" applyBorder="1" applyAlignment="1">
      <alignment horizontal="right" vertical="top" wrapText="1"/>
    </xf>
    <xf numFmtId="0" fontId="4" fillId="0" borderId="13" xfId="0" applyFont="1" applyBorder="1" applyAlignment="1">
      <alignment horizontal="center"/>
    </xf>
    <xf numFmtId="0" fontId="78" fillId="0" borderId="13" xfId="11" applyFont="1" applyBorder="1" applyAlignment="1">
      <alignment horizontal="center" vertical="center" wrapText="1"/>
    </xf>
    <xf numFmtId="164" fontId="78" fillId="0" borderId="14" xfId="3" applyNumberFormat="1" applyFont="1" applyFill="1" applyBorder="1" applyAlignment="1">
      <alignment horizontal="center" vertical="center" wrapText="1"/>
    </xf>
    <xf numFmtId="0" fontId="79" fillId="0" borderId="13" xfId="0" applyFont="1" applyBorder="1" applyAlignment="1">
      <alignment horizontal="center" vertical="center" wrapText="1"/>
    </xf>
    <xf numFmtId="164" fontId="78" fillId="0" borderId="14" xfId="9" applyNumberFormat="1" applyFont="1" applyFill="1" applyBorder="1" applyAlignment="1">
      <alignment horizontal="center" vertical="center" wrapText="1"/>
    </xf>
    <xf numFmtId="0" fontId="78" fillId="0" borderId="13" xfId="1" applyFont="1" applyBorder="1" applyAlignment="1">
      <alignment horizontal="center" vertical="center"/>
    </xf>
    <xf numFmtId="164" fontId="78" fillId="0" borderId="14" xfId="0" applyNumberFormat="1" applyFont="1" applyBorder="1" applyAlignment="1">
      <alignment horizontal="center" vertical="center" wrapText="1"/>
    </xf>
    <xf numFmtId="0" fontId="7" fillId="0" borderId="13" xfId="0" applyFont="1" applyBorder="1" applyAlignment="1">
      <alignment vertical="top" wrapText="1"/>
    </xf>
    <xf numFmtId="164" fontId="4" fillId="0" borderId="14" xfId="9" applyNumberFormat="1" applyFont="1" applyFill="1" applyBorder="1" applyAlignment="1">
      <alignment horizontal="center" vertical="top" wrapText="1"/>
    </xf>
    <xf numFmtId="0" fontId="35" fillId="0" borderId="13" xfId="0" applyFont="1" applyBorder="1" applyAlignment="1">
      <alignment horizontal="left" vertical="center" wrapText="1"/>
    </xf>
    <xf numFmtId="0" fontId="33" fillId="6" borderId="13" xfId="0" applyFont="1" applyFill="1" applyBorder="1" applyAlignment="1">
      <alignment horizontal="center" vertical="center" wrapText="1"/>
    </xf>
    <xf numFmtId="164" fontId="33" fillId="6" borderId="14" xfId="0" applyNumberFormat="1" applyFont="1" applyFill="1" applyBorder="1" applyAlignment="1">
      <alignment horizontal="center" vertical="center"/>
    </xf>
    <xf numFmtId="164" fontId="21" fillId="0" borderId="14" xfId="0" applyNumberFormat="1" applyFont="1" applyBorder="1" applyAlignment="1">
      <alignment horizontal="right" vertical="center" wrapText="1"/>
    </xf>
    <xf numFmtId="164" fontId="35" fillId="0" borderId="14" xfId="0" applyNumberFormat="1" applyFont="1" applyBorder="1" applyAlignment="1">
      <alignment horizontal="right" vertical="center" wrapText="1"/>
    </xf>
    <xf numFmtId="0" fontId="91" fillId="0" borderId="13" xfId="0" applyFont="1" applyBorder="1" applyAlignment="1">
      <alignment horizontal="center" vertical="center" wrapText="1"/>
    </xf>
    <xf numFmtId="164" fontId="21" fillId="0" borderId="14" xfId="10" applyNumberFormat="1" applyFont="1" applyFill="1" applyBorder="1" applyAlignment="1">
      <alignment horizontal="right" vertical="top" wrapText="1"/>
    </xf>
    <xf numFmtId="0" fontId="35" fillId="0" borderId="13" xfId="19" applyFont="1" applyBorder="1" applyAlignment="1">
      <alignment horizontal="center" vertical="center" wrapText="1"/>
    </xf>
    <xf numFmtId="164" fontId="21" fillId="0" borderId="14" xfId="19" applyNumberFormat="1" applyFont="1" applyBorder="1" applyAlignment="1">
      <alignment horizontal="right" vertical="center" wrapText="1"/>
    </xf>
    <xf numFmtId="164" fontId="21" fillId="0" borderId="14" xfId="19" applyNumberFormat="1" applyFont="1" applyBorder="1" applyAlignment="1">
      <alignment horizontal="right" vertical="top" wrapText="1"/>
    </xf>
    <xf numFmtId="0" fontId="0" fillId="0" borderId="13" xfId="0" applyBorder="1" applyAlignment="1">
      <alignment horizontal="center"/>
    </xf>
    <xf numFmtId="164" fontId="0" fillId="0" borderId="14" xfId="0" applyNumberFormat="1" applyBorder="1"/>
    <xf numFmtId="164" fontId="15" fillId="7" borderId="22" xfId="0" applyNumberFormat="1" applyFont="1" applyFill="1" applyBorder="1" applyAlignment="1">
      <alignment horizontal="center" vertical="center" wrapText="1"/>
    </xf>
    <xf numFmtId="0" fontId="15" fillId="7" borderId="22" xfId="0" applyFont="1" applyFill="1" applyBorder="1" applyAlignment="1">
      <alignment horizontal="center" vertical="center" wrapText="1"/>
    </xf>
    <xf numFmtId="164" fontId="15" fillId="7" borderId="23" xfId="0" applyNumberFormat="1" applyFont="1" applyFill="1" applyBorder="1" applyAlignment="1">
      <alignment horizontal="center" vertical="center" wrapText="1"/>
    </xf>
    <xf numFmtId="0" fontId="88" fillId="3" borderId="4" xfId="0" applyFont="1" applyFill="1" applyBorder="1" applyAlignment="1">
      <alignment horizontal="center"/>
    </xf>
    <xf numFmtId="0" fontId="88" fillId="3" borderId="5" xfId="0" applyFont="1" applyFill="1" applyBorder="1" applyAlignment="1">
      <alignment horizontal="center"/>
    </xf>
    <xf numFmtId="0" fontId="13" fillId="0" borderId="0" xfId="0" applyFont="1" applyAlignment="1">
      <alignment horizontal="center" wrapText="1"/>
    </xf>
    <xf numFmtId="0" fontId="13" fillId="0" borderId="3" xfId="0" applyFont="1" applyBorder="1" applyAlignment="1">
      <alignment horizontal="center" wrapText="1"/>
    </xf>
    <xf numFmtId="0" fontId="13" fillId="7" borderId="13" xfId="1" applyFont="1" applyFill="1" applyBorder="1" applyAlignment="1">
      <alignment horizontal="center" vertical="center" wrapText="1"/>
    </xf>
    <xf numFmtId="0" fontId="13" fillId="7" borderId="1" xfId="1" applyFont="1" applyFill="1" applyBorder="1" applyAlignment="1">
      <alignment horizontal="center" vertical="center" wrapText="1"/>
    </xf>
    <xf numFmtId="0" fontId="13" fillId="7" borderId="14" xfId="1" applyFont="1" applyFill="1" applyBorder="1" applyAlignment="1">
      <alignment horizontal="center" vertical="center" wrapText="1"/>
    </xf>
    <xf numFmtId="0" fontId="20" fillId="0" borderId="13" xfId="0" applyFont="1" applyBorder="1" applyAlignment="1">
      <alignment horizontal="center" vertical="center" wrapText="1"/>
    </xf>
    <xf numFmtId="0" fontId="20"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3" fillId="0" borderId="1" xfId="1" applyFont="1" applyBorder="1" applyAlignment="1">
      <alignment horizontal="left" vertical="top" wrapText="1"/>
    </xf>
    <xf numFmtId="164" fontId="23" fillId="0" borderId="14" xfId="1" applyNumberFormat="1" applyFont="1" applyBorder="1" applyAlignment="1">
      <alignment horizontal="center" vertical="center" wrapText="1"/>
    </xf>
    <xf numFmtId="0" fontId="23" fillId="0" borderId="1" xfId="1" applyFont="1" applyBorder="1" applyAlignment="1">
      <alignment horizontal="center" vertical="center" wrapText="1"/>
    </xf>
    <xf numFmtId="164" fontId="23" fillId="0" borderId="1" xfId="1" applyNumberFormat="1" applyFont="1" applyBorder="1" applyAlignment="1">
      <alignment horizontal="center" vertical="center" wrapText="1"/>
    </xf>
    <xf numFmtId="0" fontId="13" fillId="2" borderId="9"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17" xfId="1" applyFont="1" applyFill="1" applyBorder="1" applyAlignment="1">
      <alignment horizontal="center" vertical="center" wrapText="1"/>
    </xf>
    <xf numFmtId="0" fontId="13" fillId="2" borderId="10" xfId="1" applyFont="1" applyFill="1" applyBorder="1" applyAlignment="1">
      <alignment horizontal="center" vertical="center" wrapText="1"/>
    </xf>
    <xf numFmtId="0" fontId="13" fillId="0" borderId="10" xfId="1" applyFont="1" applyBorder="1" applyAlignment="1">
      <alignment horizontal="center"/>
    </xf>
    <xf numFmtId="0" fontId="13" fillId="0" borderId="12" xfId="1" applyFont="1" applyBorder="1" applyAlignment="1">
      <alignment horizontal="center"/>
    </xf>
    <xf numFmtId="0" fontId="13" fillId="2" borderId="1" xfId="1" applyFont="1" applyFill="1" applyBorder="1" applyAlignment="1">
      <alignment horizontal="center" vertical="center" wrapText="1"/>
    </xf>
    <xf numFmtId="0" fontId="13" fillId="2" borderId="6" xfId="1" applyFont="1" applyFill="1" applyBorder="1" applyAlignment="1">
      <alignment horizontal="center" vertical="center" wrapText="1"/>
    </xf>
    <xf numFmtId="164" fontId="13" fillId="2" borderId="1" xfId="1" applyNumberFormat="1" applyFont="1" applyFill="1" applyBorder="1" applyAlignment="1">
      <alignment horizontal="center" vertical="center" wrapText="1"/>
    </xf>
    <xf numFmtId="164" fontId="13" fillId="2" borderId="6" xfId="1" applyNumberFormat="1" applyFont="1" applyFill="1" applyBorder="1" applyAlignment="1">
      <alignment horizontal="center" vertical="center" wrapText="1"/>
    </xf>
    <xf numFmtId="164" fontId="13" fillId="2" borderId="14" xfId="1" applyNumberFormat="1" applyFont="1" applyFill="1" applyBorder="1" applyAlignment="1">
      <alignment horizontal="center" vertical="center" wrapText="1"/>
    </xf>
    <xf numFmtId="164" fontId="13" fillId="2" borderId="19" xfId="1" applyNumberFormat="1" applyFont="1" applyFill="1" applyBorder="1" applyAlignment="1">
      <alignment horizontal="center" vertical="center" wrapText="1"/>
    </xf>
    <xf numFmtId="0" fontId="80" fillId="0" borderId="1" xfId="0" applyFont="1" applyBorder="1" applyAlignment="1">
      <alignment horizontal="left" vertical="top" wrapText="1"/>
    </xf>
    <xf numFmtId="0" fontId="13" fillId="7" borderId="21" xfId="1" applyFont="1" applyFill="1" applyBorder="1" applyAlignment="1">
      <alignment horizontal="center" vertical="center" wrapText="1"/>
    </xf>
    <xf numFmtId="0" fontId="13" fillId="7" borderId="22" xfId="1" applyFont="1" applyFill="1" applyBorder="1" applyAlignment="1">
      <alignment horizontal="center" vertical="center" wrapText="1"/>
    </xf>
    <xf numFmtId="0" fontId="15" fillId="7" borderId="13" xfId="0" applyFont="1" applyFill="1" applyBorder="1" applyAlignment="1">
      <alignment horizontal="center" vertical="center" wrapText="1"/>
    </xf>
    <xf numFmtId="0" fontId="15" fillId="7" borderId="1"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18" xfId="0" applyFont="1" applyFill="1" applyBorder="1" applyAlignment="1">
      <alignment horizontal="center" vertical="center" wrapText="1"/>
    </xf>
    <xf numFmtId="0" fontId="14" fillId="0" borderId="2" xfId="0" applyFont="1" applyBorder="1" applyAlignment="1">
      <alignment horizontal="center" wrapText="1"/>
    </xf>
    <xf numFmtId="0" fontId="14" fillId="0" borderId="0" xfId="0" applyFont="1" applyAlignment="1">
      <alignment horizontal="center" wrapText="1"/>
    </xf>
    <xf numFmtId="0" fontId="15" fillId="2" borderId="9"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12" xfId="0" applyFont="1" applyFill="1" applyBorder="1" applyAlignment="1">
      <alignment horizontal="center" vertical="center" wrapText="1"/>
    </xf>
    <xf numFmtId="0" fontId="15" fillId="7" borderId="21" xfId="0" applyFont="1" applyFill="1" applyBorder="1" applyAlignment="1">
      <alignment horizontal="center" vertical="center" wrapText="1"/>
    </xf>
    <xf numFmtId="0" fontId="15" fillId="7" borderId="22" xfId="0" applyFont="1" applyFill="1" applyBorder="1" applyAlignment="1">
      <alignment horizontal="center" vertical="center" wrapText="1"/>
    </xf>
    <xf numFmtId="0" fontId="20" fillId="7" borderId="13" xfId="11" applyFont="1" applyFill="1" applyBorder="1" applyAlignment="1">
      <alignment horizontal="center" vertical="top" wrapText="1"/>
    </xf>
    <xf numFmtId="0" fontId="20" fillId="7" borderId="1" xfId="11" applyFont="1" applyFill="1" applyBorder="1" applyAlignment="1">
      <alignment horizontal="center" vertical="top" wrapText="1"/>
    </xf>
    <xf numFmtId="0" fontId="20" fillId="7" borderId="14" xfId="11" applyFont="1" applyFill="1" applyBorder="1" applyAlignment="1">
      <alignment horizontal="center" vertical="top" wrapText="1"/>
    </xf>
    <xf numFmtId="0" fontId="78" fillId="6" borderId="13" xfId="0" applyFont="1" applyFill="1" applyBorder="1" applyAlignment="1">
      <alignment horizontal="left" vertical="top" wrapText="1"/>
    </xf>
    <xf numFmtId="0" fontId="78" fillId="6" borderId="1" xfId="0" applyFont="1" applyFill="1" applyBorder="1" applyAlignment="1">
      <alignment horizontal="left" vertical="top" wrapText="1"/>
    </xf>
    <xf numFmtId="0" fontId="15" fillId="2" borderId="16"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8" xfId="0" applyFont="1" applyFill="1" applyBorder="1" applyAlignment="1">
      <alignment horizontal="center" vertical="center" wrapText="1"/>
    </xf>
    <xf numFmtId="0" fontId="7" fillId="0" borderId="13" xfId="0" applyFont="1" applyBorder="1" applyAlignment="1">
      <alignment horizontal="center" vertical="top" wrapText="1"/>
    </xf>
    <xf numFmtId="0" fontId="8" fillId="0" borderId="1" xfId="0" applyFont="1" applyBorder="1" applyAlignment="1">
      <alignment horizontal="center" vertical="center" wrapText="1"/>
    </xf>
    <xf numFmtId="0" fontId="20" fillId="7" borderId="21" xfId="11" applyFont="1" applyFill="1" applyBorder="1" applyAlignment="1">
      <alignment horizontal="center" vertical="top" wrapText="1"/>
    </xf>
    <xf numFmtId="0" fontId="20" fillId="7" borderId="22" xfId="11" applyFont="1" applyFill="1" applyBorder="1" applyAlignment="1">
      <alignment horizontal="center" vertical="top" wrapText="1"/>
    </xf>
    <xf numFmtId="0" fontId="25" fillId="3" borderId="21" xfId="0" applyFont="1" applyFill="1" applyBorder="1" applyAlignment="1">
      <alignment horizontal="left" vertical="top" wrapText="1"/>
    </xf>
    <xf numFmtId="0" fontId="25" fillId="3" borderId="22" xfId="0" applyFont="1" applyFill="1" applyBorder="1" applyAlignment="1">
      <alignment horizontal="left" vertical="top" wrapText="1"/>
    </xf>
    <xf numFmtId="0" fontId="104" fillId="2" borderId="9" xfId="0" applyFont="1" applyFill="1" applyBorder="1" applyAlignment="1">
      <alignment horizontal="left" vertical="top" wrapText="1"/>
    </xf>
    <xf numFmtId="0" fontId="104" fillId="2" borderId="21" xfId="0" applyFont="1" applyFill="1" applyBorder="1" applyAlignment="1">
      <alignment horizontal="left" vertical="top" wrapText="1"/>
    </xf>
    <xf numFmtId="0" fontId="104" fillId="2" borderId="10" xfId="0" applyFont="1" applyFill="1" applyBorder="1" applyAlignment="1">
      <alignment horizontal="left" vertical="top" wrapText="1"/>
    </xf>
    <xf numFmtId="0" fontId="104" fillId="2" borderId="22" xfId="0" applyFont="1" applyFill="1" applyBorder="1" applyAlignment="1">
      <alignment horizontal="left" vertical="top" wrapText="1"/>
    </xf>
    <xf numFmtId="0" fontId="104" fillId="2" borderId="12" xfId="0" applyFont="1" applyFill="1" applyBorder="1" applyAlignment="1">
      <alignment horizontal="left" vertical="top" wrapText="1"/>
    </xf>
    <xf numFmtId="0" fontId="104" fillId="2" borderId="13" xfId="0" applyFont="1" applyFill="1" applyBorder="1" applyAlignment="1">
      <alignment horizontal="left" vertical="top" wrapText="1"/>
    </xf>
    <xf numFmtId="0" fontId="104" fillId="2" borderId="1" xfId="0" applyFont="1" applyFill="1" applyBorder="1" applyAlignment="1">
      <alignment horizontal="left" vertical="top" wrapText="1"/>
    </xf>
    <xf numFmtId="0" fontId="104" fillId="2" borderId="16" xfId="0" applyFont="1" applyFill="1" applyBorder="1" applyAlignment="1">
      <alignment horizontal="left" vertical="top" wrapText="1"/>
    </xf>
    <xf numFmtId="0" fontId="104" fillId="2" borderId="7" xfId="0" applyFont="1" applyFill="1" applyBorder="1" applyAlignment="1">
      <alignment horizontal="left" vertical="top" wrapText="1"/>
    </xf>
    <xf numFmtId="0" fontId="104" fillId="2" borderId="18" xfId="0" applyFont="1" applyFill="1" applyBorder="1" applyAlignment="1">
      <alignment horizontal="left" vertical="top" wrapText="1"/>
    </xf>
    <xf numFmtId="0" fontId="104" fillId="2" borderId="14" xfId="0" applyFont="1" applyFill="1" applyBorder="1" applyAlignment="1">
      <alignment horizontal="left" vertical="top" wrapText="1"/>
    </xf>
    <xf numFmtId="0" fontId="111" fillId="2" borderId="13" xfId="1" applyFont="1" applyFill="1" applyBorder="1" applyAlignment="1">
      <alignment horizontal="left" vertical="top" wrapText="1"/>
    </xf>
    <xf numFmtId="0" fontId="111" fillId="2" borderId="1" xfId="1" applyFont="1" applyFill="1" applyBorder="1" applyAlignment="1">
      <alignment horizontal="left" vertical="top" wrapText="1"/>
    </xf>
    <xf numFmtId="0" fontId="111" fillId="2" borderId="14" xfId="1" applyFont="1" applyFill="1" applyBorder="1" applyAlignment="1">
      <alignment horizontal="left" vertical="top" wrapText="1"/>
    </xf>
    <xf numFmtId="0" fontId="25" fillId="2" borderId="13" xfId="1" applyFont="1" applyFill="1" applyBorder="1" applyAlignment="1">
      <alignment horizontal="left" vertical="top" wrapText="1"/>
    </xf>
    <xf numFmtId="0" fontId="25" fillId="2" borderId="1" xfId="1" applyFont="1" applyFill="1" applyBorder="1" applyAlignment="1">
      <alignment horizontal="left" vertical="top" wrapText="1"/>
    </xf>
    <xf numFmtId="0" fontId="25" fillId="2" borderId="14" xfId="1" applyFont="1" applyFill="1" applyBorder="1" applyAlignment="1">
      <alignment horizontal="left" vertical="top" wrapText="1"/>
    </xf>
    <xf numFmtId="0" fontId="25" fillId="3" borderId="13" xfId="0" applyFont="1" applyFill="1" applyBorder="1" applyAlignment="1">
      <alignment horizontal="left" vertical="top" wrapText="1"/>
    </xf>
    <xf numFmtId="0" fontId="25" fillId="3" borderId="1" xfId="0" applyFont="1" applyFill="1" applyBorder="1" applyAlignment="1">
      <alignment horizontal="left" vertical="top" wrapText="1"/>
    </xf>
    <xf numFmtId="0" fontId="20" fillId="3" borderId="13" xfId="0" applyFont="1" applyFill="1" applyBorder="1" applyAlignment="1">
      <alignment horizontal="left" vertical="top" wrapText="1"/>
    </xf>
    <xf numFmtId="0" fontId="20" fillId="3" borderId="1" xfId="0" applyFont="1" applyFill="1" applyBorder="1" applyAlignment="1">
      <alignment horizontal="left" vertical="top" wrapText="1"/>
    </xf>
    <xf numFmtId="0" fontId="20" fillId="3" borderId="14" xfId="0" applyFont="1" applyFill="1" applyBorder="1" applyAlignment="1">
      <alignment horizontal="left" vertical="top" wrapText="1"/>
    </xf>
    <xf numFmtId="0" fontId="114" fillId="20" borderId="13" xfId="0" applyFont="1" applyFill="1" applyBorder="1" applyAlignment="1">
      <alignment horizontal="center"/>
    </xf>
    <xf numFmtId="0" fontId="114" fillId="20" borderId="1" xfId="0" applyFont="1" applyFill="1" applyBorder="1" applyAlignment="1">
      <alignment horizontal="center"/>
    </xf>
    <xf numFmtId="0" fontId="114" fillId="20" borderId="14" xfId="0" applyFont="1" applyFill="1" applyBorder="1" applyAlignment="1">
      <alignment horizontal="center"/>
    </xf>
    <xf numFmtId="0" fontId="79" fillId="20" borderId="13" xfId="0" applyFont="1" applyFill="1" applyBorder="1" applyAlignment="1">
      <alignment horizontal="center" vertical="center" wrapText="1"/>
    </xf>
    <xf numFmtId="0" fontId="79" fillId="20" borderId="1" xfId="0" applyFont="1" applyFill="1" applyBorder="1" applyAlignment="1">
      <alignment horizontal="center" vertical="center" wrapText="1"/>
    </xf>
    <xf numFmtId="0" fontId="79" fillId="16" borderId="13" xfId="0" applyFont="1" applyFill="1" applyBorder="1" applyAlignment="1">
      <alignment horizontal="center" vertical="center" wrapText="1"/>
    </xf>
    <xf numFmtId="0" fontId="79" fillId="16" borderId="1" xfId="0" applyFont="1" applyFill="1" applyBorder="1" applyAlignment="1">
      <alignment horizontal="center" vertical="center" wrapText="1"/>
    </xf>
    <xf numFmtId="0" fontId="84" fillId="20" borderId="13" xfId="0" applyFont="1" applyFill="1" applyBorder="1" applyAlignment="1">
      <alignment horizontal="center"/>
    </xf>
    <xf numFmtId="0" fontId="84" fillId="20" borderId="1" xfId="0" applyFont="1" applyFill="1" applyBorder="1" applyAlignment="1">
      <alignment horizontal="center"/>
    </xf>
    <xf numFmtId="0" fontId="84" fillId="20" borderId="14" xfId="0" applyFont="1" applyFill="1" applyBorder="1" applyAlignment="1">
      <alignment horizontal="center"/>
    </xf>
    <xf numFmtId="0" fontId="1" fillId="4" borderId="0" xfId="0" applyFont="1" applyFill="1" applyAlignment="1">
      <alignment horizontal="center" wrapText="1"/>
    </xf>
    <xf numFmtId="0" fontId="35" fillId="7" borderId="13" xfId="0" applyFont="1" applyFill="1" applyBorder="1" applyAlignment="1">
      <alignment horizontal="center" vertical="center" wrapText="1"/>
    </xf>
    <xf numFmtId="0" fontId="35" fillId="7" borderId="1" xfId="0" applyFont="1" applyFill="1" applyBorder="1" applyAlignment="1">
      <alignment horizontal="center" vertical="center" wrapText="1"/>
    </xf>
    <xf numFmtId="0" fontId="35" fillId="7" borderId="14"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4" xfId="0" applyFont="1" applyFill="1" applyBorder="1" applyAlignment="1">
      <alignment horizontal="center" vertical="center" wrapText="1"/>
    </xf>
    <xf numFmtId="0" fontId="24" fillId="3" borderId="13" xfId="0" applyFont="1" applyFill="1" applyBorder="1" applyAlignment="1">
      <alignment horizontal="center"/>
    </xf>
    <xf numFmtId="0" fontId="24" fillId="3" borderId="1" xfId="0" applyFont="1" applyFill="1" applyBorder="1" applyAlignment="1">
      <alignment horizontal="center"/>
    </xf>
    <xf numFmtId="0" fontId="24" fillId="3" borderId="14" xfId="0" applyFont="1" applyFill="1" applyBorder="1" applyAlignment="1">
      <alignment horizontal="center"/>
    </xf>
    <xf numFmtId="0" fontId="104" fillId="3" borderId="13" xfId="0" applyFont="1" applyFill="1" applyBorder="1" applyAlignment="1">
      <alignment horizontal="center" vertical="center" wrapText="1"/>
    </xf>
    <xf numFmtId="0" fontId="104" fillId="3" borderId="1" xfId="0" applyFont="1" applyFill="1" applyBorder="1" applyAlignment="1">
      <alignment horizontal="center" vertical="center" wrapText="1"/>
    </xf>
    <xf numFmtId="0" fontId="8" fillId="3" borderId="21" xfId="1" applyFont="1" applyFill="1" applyBorder="1" applyAlignment="1">
      <alignment horizontal="center" vertical="center" wrapText="1"/>
    </xf>
    <xf numFmtId="0" fontId="8" fillId="3" borderId="22" xfId="1" applyFont="1" applyFill="1" applyBorder="1" applyAlignment="1">
      <alignment horizontal="center" vertical="center" wrapText="1"/>
    </xf>
    <xf numFmtId="0" fontId="22" fillId="3" borderId="16" xfId="1" applyFont="1" applyFill="1" applyBorder="1" applyAlignment="1">
      <alignment horizontal="center"/>
    </xf>
    <xf numFmtId="0" fontId="22" fillId="3" borderId="7" xfId="1" applyFont="1" applyFill="1" applyBorder="1" applyAlignment="1">
      <alignment horizontal="center"/>
    </xf>
    <xf numFmtId="0" fontId="22" fillId="3" borderId="18" xfId="1" applyFont="1" applyFill="1" applyBorder="1" applyAlignment="1">
      <alignment horizontal="center"/>
    </xf>
    <xf numFmtId="0" fontId="15" fillId="2" borderId="13" xfId="0" applyFont="1" applyFill="1" applyBorder="1" applyAlignment="1">
      <alignment horizontal="center" vertical="top" wrapText="1"/>
    </xf>
    <xf numFmtId="0" fontId="15" fillId="2" borderId="1" xfId="0" applyFont="1" applyFill="1" applyBorder="1" applyAlignment="1">
      <alignment horizontal="center" vertical="top" wrapText="1"/>
    </xf>
    <xf numFmtId="0" fontId="11" fillId="2" borderId="10" xfId="0" applyFont="1" applyFill="1" applyBorder="1" applyAlignment="1">
      <alignment horizontal="center" vertical="top" wrapText="1"/>
    </xf>
    <xf numFmtId="0" fontId="11" fillId="2" borderId="12" xfId="0" applyFont="1" applyFill="1" applyBorder="1" applyAlignment="1">
      <alignment horizontal="center" vertical="top" wrapText="1"/>
    </xf>
    <xf numFmtId="0" fontId="11" fillId="2" borderId="9"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25" fillId="3" borderId="21" xfId="0" applyFont="1" applyFill="1" applyBorder="1" applyAlignment="1">
      <alignment horizontal="center" vertical="top" wrapText="1"/>
    </xf>
    <xf numFmtId="0" fontId="25" fillId="3" borderId="22" xfId="0" applyFont="1" applyFill="1" applyBorder="1" applyAlignment="1">
      <alignment horizontal="center" vertical="top" wrapText="1"/>
    </xf>
    <xf numFmtId="0" fontId="15" fillId="3" borderId="9" xfId="0" applyFont="1" applyFill="1" applyBorder="1" applyAlignment="1">
      <alignment horizontal="center" vertical="center" wrapText="1"/>
    </xf>
    <xf numFmtId="0" fontId="15" fillId="3" borderId="21"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3" borderId="2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5" fillId="2" borderId="14" xfId="0" applyFont="1" applyFill="1" applyBorder="1" applyAlignment="1">
      <alignment horizontal="center" vertical="top" wrapText="1"/>
    </xf>
    <xf numFmtId="0" fontId="15" fillId="2" borderId="9" xfId="0" applyFont="1" applyFill="1" applyBorder="1" applyAlignment="1">
      <alignment horizontal="center" vertical="top" wrapText="1"/>
    </xf>
    <xf numFmtId="0" fontId="15" fillId="2" borderId="21" xfId="0" applyFont="1" applyFill="1" applyBorder="1" applyAlignment="1">
      <alignment horizontal="center" vertical="top" wrapText="1"/>
    </xf>
    <xf numFmtId="0" fontId="15" fillId="2" borderId="10" xfId="0" applyFont="1" applyFill="1" applyBorder="1" applyAlignment="1">
      <alignment horizontal="center" vertical="top" wrapText="1"/>
    </xf>
    <xf numFmtId="0" fontId="15" fillId="3" borderId="10" xfId="0" applyFont="1" applyFill="1" applyBorder="1" applyAlignment="1">
      <alignment horizontal="center" vertical="top" wrapText="1"/>
    </xf>
    <xf numFmtId="0" fontId="15" fillId="3" borderId="10" xfId="0" applyFont="1" applyFill="1" applyBorder="1" applyAlignment="1">
      <alignment horizontal="center" vertical="top"/>
    </xf>
    <xf numFmtId="0" fontId="15" fillId="3" borderId="12" xfId="0" applyFont="1" applyFill="1" applyBorder="1" applyAlignment="1">
      <alignment horizontal="center" vertical="top"/>
    </xf>
    <xf numFmtId="0" fontId="15" fillId="2" borderId="16" xfId="0" applyFont="1" applyFill="1" applyBorder="1" applyAlignment="1">
      <alignment horizontal="center" vertical="top" wrapText="1"/>
    </xf>
    <xf numFmtId="0" fontId="15" fillId="2" borderId="7" xfId="0" applyFont="1" applyFill="1" applyBorder="1" applyAlignment="1">
      <alignment horizontal="center" vertical="top" wrapText="1"/>
    </xf>
    <xf numFmtId="0" fontId="15" fillId="2" borderId="18" xfId="0" applyFont="1" applyFill="1" applyBorder="1" applyAlignment="1">
      <alignment horizontal="center" vertical="top" wrapText="1"/>
    </xf>
    <xf numFmtId="0" fontId="101" fillId="0" borderId="42" xfId="1" applyFont="1" applyBorder="1"/>
    <xf numFmtId="0" fontId="4" fillId="0" borderId="42" xfId="1" applyBorder="1"/>
    <xf numFmtId="0" fontId="101" fillId="0" borderId="0" xfId="1" applyFont="1" applyAlignment="1">
      <alignment horizontal="right"/>
    </xf>
    <xf numFmtId="0" fontId="4" fillId="0" borderId="0" xfId="1"/>
    <xf numFmtId="0" fontId="45" fillId="0" borderId="0" xfId="1" applyFont="1"/>
    <xf numFmtId="0" fontId="45" fillId="0" borderId="3" xfId="1" applyFont="1" applyBorder="1"/>
    <xf numFmtId="0" fontId="101" fillId="3" borderId="1" xfId="1" applyFont="1" applyFill="1" applyBorder="1" applyAlignment="1">
      <alignment horizontal="left" vertical="top"/>
    </xf>
    <xf numFmtId="0" fontId="4" fillId="0" borderId="1" xfId="1" applyBorder="1"/>
    <xf numFmtId="0" fontId="4" fillId="0" borderId="1" xfId="1" applyBorder="1" applyAlignment="1">
      <alignment horizontal="left" vertical="top"/>
    </xf>
    <xf numFmtId="0" fontId="101" fillId="3" borderId="1" xfId="1" applyFont="1" applyFill="1" applyBorder="1" applyAlignment="1">
      <alignment horizontal="center" vertical="top"/>
    </xf>
    <xf numFmtId="0" fontId="103" fillId="0" borderId="42" xfId="21" applyFont="1" applyBorder="1" applyAlignment="1">
      <alignment horizontal="center"/>
    </xf>
    <xf numFmtId="168" fontId="100" fillId="0" borderId="5" xfId="20" applyNumberFormat="1" applyFont="1" applyFill="1" applyBorder="1" applyAlignment="1">
      <alignment horizontal="center"/>
    </xf>
    <xf numFmtId="168" fontId="100" fillId="0" borderId="1" xfId="20" applyNumberFormat="1" applyFont="1" applyFill="1" applyBorder="1" applyAlignment="1">
      <alignment horizontal="center"/>
    </xf>
    <xf numFmtId="168" fontId="100" fillId="0" borderId="14" xfId="20" applyNumberFormat="1" applyFont="1" applyFill="1" applyBorder="1" applyAlignment="1">
      <alignment horizontal="center"/>
    </xf>
    <xf numFmtId="168" fontId="65" fillId="3" borderId="28" xfId="1" applyNumberFormat="1" applyFont="1" applyFill="1" applyBorder="1" applyAlignment="1">
      <alignment horizontal="center" vertical="center"/>
    </xf>
    <xf numFmtId="0" fontId="65" fillId="3" borderId="42" xfId="1" applyFont="1" applyFill="1" applyBorder="1" applyAlignment="1">
      <alignment horizontal="center" vertical="center"/>
    </xf>
    <xf numFmtId="0" fontId="65" fillId="3" borderId="41" xfId="1" applyFont="1" applyFill="1" applyBorder="1" applyAlignment="1">
      <alignment horizontal="center" vertical="center"/>
    </xf>
    <xf numFmtId="0" fontId="101" fillId="0" borderId="0" xfId="1" applyFont="1"/>
    <xf numFmtId="0" fontId="101" fillId="0" borderId="37" xfId="1" applyFont="1" applyBorder="1"/>
    <xf numFmtId="0" fontId="4" fillId="0" borderId="37" xfId="1" applyBorder="1"/>
    <xf numFmtId="0" fontId="101" fillId="0" borderId="1" xfId="1" applyFont="1" applyBorder="1" applyAlignment="1">
      <alignment horizontal="left" vertical="top" wrapText="1"/>
    </xf>
    <xf numFmtId="0" fontId="45" fillId="0" borderId="37" xfId="1" applyFont="1" applyBorder="1" applyAlignment="1">
      <alignment horizontal="center" wrapText="1"/>
    </xf>
    <xf numFmtId="0" fontId="96" fillId="18" borderId="1" xfId="1" applyFont="1" applyFill="1" applyBorder="1" applyAlignment="1">
      <alignment horizontal="center" vertical="top" wrapText="1" readingOrder="1"/>
    </xf>
    <xf numFmtId="0" fontId="33" fillId="19" borderId="1" xfId="1" applyFont="1" applyFill="1" applyBorder="1" applyAlignment="1">
      <alignment vertical="top" wrapText="1"/>
    </xf>
    <xf numFmtId="0" fontId="11" fillId="2" borderId="28" xfId="1" applyFont="1" applyFill="1" applyBorder="1" applyAlignment="1">
      <alignment horizontal="center" vertical="center" wrapText="1"/>
    </xf>
    <xf numFmtId="0" fontId="11" fillId="2" borderId="41" xfId="1" applyFont="1" applyFill="1" applyBorder="1" applyAlignment="1">
      <alignment horizontal="center" vertical="center" wrapText="1"/>
    </xf>
    <xf numFmtId="0" fontId="11" fillId="3" borderId="28" xfId="1" applyFont="1" applyFill="1" applyBorder="1" applyAlignment="1">
      <alignment horizontal="center" vertical="center"/>
    </xf>
    <xf numFmtId="0" fontId="11" fillId="3" borderId="41" xfId="1" applyFont="1" applyFill="1" applyBorder="1" applyAlignment="1">
      <alignment horizontal="center" vertical="center"/>
    </xf>
    <xf numFmtId="0" fontId="99" fillId="2" borderId="26" xfId="1" applyFont="1" applyFill="1" applyBorder="1" applyAlignment="1">
      <alignment horizontal="center" vertical="center"/>
    </xf>
    <xf numFmtId="0" fontId="99" fillId="2" borderId="40" xfId="1" applyFont="1" applyFill="1" applyBorder="1" applyAlignment="1">
      <alignment horizontal="center" vertical="center"/>
    </xf>
    <xf numFmtId="0" fontId="99" fillId="2" borderId="50" xfId="1" applyFont="1" applyFill="1" applyBorder="1" applyAlignment="1">
      <alignment horizontal="center" vertical="center"/>
    </xf>
    <xf numFmtId="0" fontId="99" fillId="2" borderId="35" xfId="1" applyFont="1" applyFill="1" applyBorder="1" applyAlignment="1">
      <alignment horizontal="center" vertical="center"/>
    </xf>
    <xf numFmtId="0" fontId="99" fillId="2" borderId="0" xfId="1" applyFont="1" applyFill="1" applyAlignment="1">
      <alignment horizontal="center" vertical="center"/>
    </xf>
    <xf numFmtId="0" fontId="99" fillId="2" borderId="43" xfId="1" applyFont="1" applyFill="1" applyBorder="1" applyAlignment="1">
      <alignment horizontal="center" vertical="center"/>
    </xf>
    <xf numFmtId="168" fontId="100" fillId="0" borderId="25" xfId="20" applyNumberFormat="1" applyFont="1" applyFill="1" applyBorder="1" applyAlignment="1">
      <alignment horizontal="center"/>
    </xf>
    <xf numFmtId="168" fontId="100" fillId="0" borderId="10" xfId="20" applyNumberFormat="1" applyFont="1" applyFill="1" applyBorder="1" applyAlignment="1">
      <alignment horizontal="center"/>
    </xf>
    <xf numFmtId="168" fontId="100" fillId="0" borderId="12" xfId="20" applyNumberFormat="1" applyFont="1" applyFill="1" applyBorder="1" applyAlignment="1">
      <alignment horizontal="center"/>
    </xf>
    <xf numFmtId="0" fontId="96" fillId="18" borderId="9" xfId="1" applyFont="1" applyFill="1" applyBorder="1" applyAlignment="1">
      <alignment horizontal="center" vertical="top" wrapText="1" readingOrder="1"/>
    </xf>
    <xf numFmtId="0" fontId="96" fillId="18" borderId="10" xfId="1" applyFont="1" applyFill="1" applyBorder="1" applyAlignment="1">
      <alignment horizontal="center" vertical="top" wrapText="1" readingOrder="1"/>
    </xf>
    <xf numFmtId="0" fontId="33" fillId="19" borderId="10" xfId="1" applyFont="1" applyFill="1" applyBorder="1" applyAlignment="1">
      <alignment vertical="top" wrapText="1"/>
    </xf>
    <xf numFmtId="0" fontId="33" fillId="19" borderId="12" xfId="1" applyFont="1" applyFill="1" applyBorder="1" applyAlignment="1">
      <alignment vertical="top" wrapText="1"/>
    </xf>
    <xf numFmtId="0" fontId="46" fillId="0" borderId="0" xfId="1" applyFont="1" applyAlignment="1">
      <alignment horizontal="center" vertical="center"/>
    </xf>
    <xf numFmtId="0" fontId="46" fillId="0" borderId="37" xfId="1" applyFont="1" applyBorder="1" applyAlignment="1">
      <alignment horizontal="center" vertical="center"/>
    </xf>
    <xf numFmtId="0" fontId="46" fillId="0" borderId="28" xfId="1" applyFont="1" applyBorder="1" applyAlignment="1">
      <alignment vertical="top"/>
    </xf>
    <xf numFmtId="0" fontId="46" fillId="0" borderId="42" xfId="1" applyFont="1" applyBorder="1" applyAlignment="1">
      <alignment vertical="top"/>
    </xf>
    <xf numFmtId="0" fontId="47" fillId="0" borderId="42" xfId="1" applyFont="1" applyBorder="1" applyAlignment="1">
      <alignment vertical="top"/>
    </xf>
    <xf numFmtId="0" fontId="47" fillId="0" borderId="41" xfId="1" applyFont="1" applyBorder="1" applyAlignment="1">
      <alignment vertical="top"/>
    </xf>
    <xf numFmtId="0" fontId="46" fillId="0" borderId="28" xfId="1" applyFont="1" applyBorder="1" applyAlignment="1">
      <alignment horizontal="center" vertical="top"/>
    </xf>
    <xf numFmtId="0" fontId="46" fillId="0" borderId="42" xfId="1" applyFont="1" applyBorder="1" applyAlignment="1">
      <alignment horizontal="center" vertical="top"/>
    </xf>
    <xf numFmtId="0" fontId="46" fillId="0" borderId="41" xfId="1" applyFont="1" applyBorder="1" applyAlignment="1">
      <alignment horizontal="center" vertical="top"/>
    </xf>
    <xf numFmtId="0" fontId="48" fillId="2" borderId="9" xfId="1" applyFont="1" applyFill="1" applyBorder="1" applyAlignment="1">
      <alignment horizontal="center" vertical="center" wrapText="1"/>
    </xf>
    <xf numFmtId="0" fontId="48" fillId="2" borderId="10" xfId="1" applyFont="1" applyFill="1" applyBorder="1" applyAlignment="1">
      <alignment horizontal="center" vertical="center" wrapText="1"/>
    </xf>
    <xf numFmtId="0" fontId="49" fillId="2" borderId="10" xfId="1" applyFont="1" applyFill="1" applyBorder="1" applyAlignment="1">
      <alignment horizontal="center" vertical="center" wrapText="1"/>
    </xf>
    <xf numFmtId="0" fontId="49" fillId="2" borderId="12" xfId="1" applyFont="1" applyFill="1" applyBorder="1" applyAlignment="1">
      <alignment horizontal="center" vertical="center" wrapText="1"/>
    </xf>
    <xf numFmtId="0" fontId="46" fillId="0" borderId="0" xfId="1" applyFont="1" applyAlignment="1">
      <alignment horizontal="center" vertical="center" wrapText="1"/>
    </xf>
    <xf numFmtId="0" fontId="65" fillId="2" borderId="10" xfId="1" applyFont="1" applyFill="1" applyBorder="1" applyAlignment="1">
      <alignment horizontal="center" vertical="center" wrapText="1"/>
    </xf>
    <xf numFmtId="0" fontId="65" fillId="2" borderId="12" xfId="1" applyFont="1" applyFill="1" applyBorder="1" applyAlignment="1">
      <alignment horizontal="center" vertical="center" wrapText="1"/>
    </xf>
    <xf numFmtId="0" fontId="65" fillId="3" borderId="9" xfId="1" applyFont="1" applyFill="1" applyBorder="1" applyAlignment="1">
      <alignment horizontal="center"/>
    </xf>
    <xf numFmtId="0" fontId="65" fillId="3" borderId="10" xfId="1" applyFont="1" applyFill="1" applyBorder="1" applyAlignment="1">
      <alignment horizontal="center"/>
    </xf>
    <xf numFmtId="3" fontId="66" fillId="3" borderId="36" xfId="0" applyNumberFormat="1" applyFont="1" applyFill="1" applyBorder="1" applyAlignment="1">
      <alignment horizontal="center" vertical="top" wrapText="1"/>
    </xf>
    <xf numFmtId="3" fontId="66" fillId="3" borderId="37" xfId="0" applyNumberFormat="1" applyFont="1" applyFill="1" applyBorder="1" applyAlignment="1">
      <alignment horizontal="center" vertical="top" wrapText="1"/>
    </xf>
    <xf numFmtId="3" fontId="66" fillId="3" borderId="49" xfId="0" applyNumberFormat="1" applyFont="1" applyFill="1" applyBorder="1" applyAlignment="1">
      <alignment horizontal="center" vertical="top" wrapText="1"/>
    </xf>
    <xf numFmtId="0" fontId="109" fillId="0" borderId="24" xfId="0" applyFont="1" applyBorder="1" applyAlignment="1">
      <alignment vertical="top" wrapText="1"/>
    </xf>
    <xf numFmtId="0" fontId="45" fillId="0" borderId="33" xfId="0" applyFont="1" applyBorder="1" applyAlignment="1">
      <alignment vertical="top" wrapText="1"/>
    </xf>
    <xf numFmtId="0" fontId="45" fillId="0" borderId="52" xfId="0" applyFont="1" applyBorder="1" applyAlignment="1">
      <alignment vertical="top" wrapText="1"/>
    </xf>
    <xf numFmtId="0" fontId="105" fillId="0" borderId="0" xfId="0" applyFont="1" applyAlignment="1">
      <alignment horizontal="center" vertical="center" wrapText="1"/>
    </xf>
    <xf numFmtId="0" fontId="105" fillId="0" borderId="0" xfId="0" applyFont="1" applyAlignment="1">
      <alignment horizontal="center" vertical="center"/>
    </xf>
    <xf numFmtId="0" fontId="107" fillId="0" borderId="0" xfId="0" applyFont="1" applyAlignment="1">
      <alignment horizontal="center" vertical="center"/>
    </xf>
    <xf numFmtId="0" fontId="105" fillId="0" borderId="0" xfId="0" applyFont="1" applyAlignment="1">
      <alignment horizontal="left" wrapText="1"/>
    </xf>
    <xf numFmtId="0" fontId="105" fillId="0" borderId="0" xfId="0" applyFont="1" applyAlignment="1">
      <alignment horizontal="center" wrapText="1"/>
    </xf>
    <xf numFmtId="0" fontId="105" fillId="0" borderId="44" xfId="0" applyFont="1" applyBorder="1" applyAlignment="1">
      <alignment horizontal="center" vertical="top" wrapText="1"/>
    </xf>
    <xf numFmtId="0" fontId="105" fillId="0" borderId="47" xfId="0" applyFont="1" applyBorder="1" applyAlignment="1">
      <alignment horizontal="center" vertical="top" wrapText="1"/>
    </xf>
    <xf numFmtId="0" fontId="105" fillId="0" borderId="45" xfId="0" applyFont="1" applyBorder="1" applyAlignment="1">
      <alignment horizontal="center" vertical="top" wrapText="1"/>
    </xf>
    <xf numFmtId="0" fontId="105" fillId="0" borderId="28" xfId="0" applyFont="1" applyBorder="1" applyAlignment="1">
      <alignment horizontal="center" vertical="top"/>
    </xf>
    <xf numFmtId="0" fontId="105" fillId="0" borderId="42" xfId="0" applyFont="1" applyBorder="1" applyAlignment="1">
      <alignment horizontal="center" vertical="top"/>
    </xf>
    <xf numFmtId="0" fontId="105" fillId="0" borderId="41" xfId="0" applyFont="1" applyBorder="1" applyAlignment="1">
      <alignment horizontal="center" vertical="top"/>
    </xf>
    <xf numFmtId="164" fontId="12" fillId="0" borderId="1" xfId="0" applyNumberFormat="1" applyFont="1" applyFill="1" applyBorder="1"/>
    <xf numFmtId="164" fontId="33" fillId="21" borderId="0" xfId="0" applyNumberFormat="1" applyFont="1" applyFill="1" applyBorder="1" applyAlignment="1">
      <alignment horizontal="center" vertical="center"/>
    </xf>
    <xf numFmtId="164" fontId="88" fillId="3" borderId="6" xfId="0" applyNumberFormat="1" applyFont="1" applyFill="1" applyBorder="1"/>
  </cellXfs>
  <cellStyles count="22">
    <cellStyle name="Excel Built-in Normal" xfId="2" xr:uid="{00000000-0005-0000-0000-000000000000}"/>
    <cellStyle name="Hipervínculo" xfId="21" builtinId="8"/>
    <cellStyle name="Millares" xfId="8" builtinId="3"/>
    <cellStyle name="Millares [0]" xfId="7" builtinId="6"/>
    <cellStyle name="Millares [0] 2" xfId="15" xr:uid="{00000000-0005-0000-0000-000004000000}"/>
    <cellStyle name="Millares 2" xfId="5" xr:uid="{00000000-0005-0000-0000-000005000000}"/>
    <cellStyle name="Millares 3" xfId="14" xr:uid="{00000000-0005-0000-0000-000006000000}"/>
    <cellStyle name="Moneda" xfId="9" builtinId="4"/>
    <cellStyle name="Moneda [0]" xfId="10" builtinId="7"/>
    <cellStyle name="Moneda 2" xfId="3" xr:uid="{00000000-0005-0000-0000-000009000000}"/>
    <cellStyle name="Moneda 3" xfId="17" xr:uid="{00000000-0005-0000-0000-00000A000000}"/>
    <cellStyle name="Moneda 4" xfId="20" xr:uid="{00000000-0005-0000-0000-00000B000000}"/>
    <cellStyle name="Normal" xfId="0" builtinId="0"/>
    <cellStyle name="Normal 2" xfId="1" xr:uid="{00000000-0005-0000-0000-00000D000000}"/>
    <cellStyle name="Normal 2 2" xfId="6" xr:uid="{00000000-0005-0000-0000-00000E000000}"/>
    <cellStyle name="Normal 2 2 2" xfId="16" xr:uid="{00000000-0005-0000-0000-00000F000000}"/>
    <cellStyle name="Normal 3" xfId="11" xr:uid="{00000000-0005-0000-0000-000010000000}"/>
    <cellStyle name="Normal 4" xfId="4" xr:uid="{00000000-0005-0000-0000-000011000000}"/>
    <cellStyle name="Normal 5" xfId="19" xr:uid="{00000000-0005-0000-0000-000012000000}"/>
    <cellStyle name="Normal_Hoja1" xfId="12" xr:uid="{00000000-0005-0000-0000-000013000000}"/>
    <cellStyle name="Porcentaje" xfId="13" builtinId="5"/>
    <cellStyle name="Salida" xfId="18" builtinId="21"/>
  </cellStyles>
  <dxfs count="0"/>
  <tableStyles count="0" defaultTableStyle="TableStyleMedium2" defaultPivotStyle="PivotStyleLight16"/>
  <colors>
    <mruColors>
      <color rgb="FFDDDDDD"/>
      <color rgb="FFC0C0C0"/>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lfredo.serrano\Desktop\Emergencia%202017\a%20%20%20%20%20CNE%20Reporte%20da&#241;os%20final%20y%20fichas%20compromiso\Base%20datos%20da&#241;os%20final%2030-11-17\a%20HOJA%20PARA%20REGISTRO%20DE%20DA&#209;OS%20Emergencia%20lluvias%20setiembre%202017%20Todas%20las%20Zon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necr.sharepoint.com/Users/CME/AppData/Local/Microsoft/Windows/Temporary%20Internet%20Files/Content.Outlook/D6VETQER/Solicitud%20de%20ADI%20CHIRRIPO%20para%20C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5.182\PyE\Users\cvindas\Desktop\Plan%20de%20Inversi&#243;n%20y%20Extrema%20Urgencia\Estimaciones%20para%20Plan%20de%20Inversi&#243;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reteras"/>
      <sheetName val="Puentes"/>
      <sheetName val="Alcantarillas"/>
      <sheetName val="Daños x zona"/>
      <sheetName val="Hoja2"/>
      <sheetName val="Rutas completas"/>
      <sheetName val="Hoja1"/>
      <sheetName val="Apuntes"/>
      <sheetName val="Control Recepción"/>
      <sheetName val="Zonas"/>
      <sheetName val="Estados"/>
      <sheetName val="CANTONES"/>
      <sheetName val="Provincias"/>
      <sheetName val="Rutas"/>
      <sheetName val="Secciones"/>
      <sheetName val="Daños"/>
      <sheetName val="Rep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Hundimiento</v>
          </cell>
        </row>
        <row r="4">
          <cell r="A4" t="str">
            <v>Derrumbe</v>
          </cell>
        </row>
        <row r="5">
          <cell r="A5" t="str">
            <v>Deslizamiento</v>
          </cell>
        </row>
        <row r="6">
          <cell r="A6" t="str">
            <v>Alcantarilla Dañada</v>
          </cell>
        </row>
        <row r="7">
          <cell r="A7" t="str">
            <v>Alcantarilla Obstruida</v>
          </cell>
        </row>
        <row r="8">
          <cell r="A8" t="str">
            <v>Lavado de superficie Ruedo</v>
          </cell>
        </row>
        <row r="9">
          <cell r="A9" t="str">
            <v>Daño Carpeta Asfaltica</v>
          </cell>
        </row>
        <row r="10">
          <cell r="A10" t="str">
            <v>Socavación</v>
          </cell>
        </row>
        <row r="11">
          <cell r="A11" t="str">
            <v>Puente Socavado</v>
          </cell>
        </row>
        <row r="12">
          <cell r="A12" t="str">
            <v>Puente Colapsado</v>
          </cell>
        </row>
        <row r="13">
          <cell r="A13" t="str">
            <v>Otro</v>
          </cell>
        </row>
      </sheetData>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minos"/>
      <sheetName val="puentes vehiculares"/>
      <sheetName val="Puentes peatonales"/>
      <sheetName val="andariveles"/>
    </sheetNames>
    <sheetDataSet>
      <sheetData sheetId="0">
        <row r="7">
          <cell r="B7" t="str">
            <v>Paso Marcos</v>
          </cell>
        </row>
      </sheetData>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s>
    <sheetDataSet>
      <sheetData sheetId="0" refreshError="1">
        <row r="17">
          <cell r="E17">
            <v>265651568.868</v>
          </cell>
        </row>
        <row r="32">
          <cell r="E32">
            <v>115687820.55599999</v>
          </cell>
        </row>
        <row r="50">
          <cell r="E50">
            <v>375245908.67400002</v>
          </cell>
        </row>
        <row r="65">
          <cell r="E65">
            <v>455526887.13</v>
          </cell>
        </row>
        <row r="79">
          <cell r="E79">
            <v>77113762.865999997</v>
          </cell>
        </row>
        <row r="93">
          <cell r="E93">
            <v>550184318.88</v>
          </cell>
        </row>
        <row r="105">
          <cell r="E105">
            <v>83907297.599999994</v>
          </cell>
        </row>
        <row r="121">
          <cell r="E121">
            <v>98726697.152999997</v>
          </cell>
        </row>
        <row r="133">
          <cell r="E133">
            <v>37579053.119999997</v>
          </cell>
        </row>
        <row r="147">
          <cell r="E147">
            <v>137613591.36000001</v>
          </cell>
        </row>
        <row r="159">
          <cell r="E159">
            <v>273913448.75999999</v>
          </cell>
        </row>
        <row r="175">
          <cell r="E175">
            <v>41751394.839000002</v>
          </cell>
        </row>
        <row r="191">
          <cell r="E191">
            <v>127993995.31799999</v>
          </cell>
        </row>
        <row r="206">
          <cell r="E206">
            <v>141213693.558</v>
          </cell>
        </row>
        <row r="218">
          <cell r="E218">
            <v>82610877.299999997</v>
          </cell>
        </row>
        <row r="230">
          <cell r="E230">
            <v>56536235.279999994</v>
          </cell>
        </row>
        <row r="242">
          <cell r="E242">
            <v>8603735.2799999993</v>
          </cell>
        </row>
        <row r="254">
          <cell r="E254">
            <v>10751576.640000001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fdaniel@mivah.go.cr"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2:N84"/>
  <sheetViews>
    <sheetView tabSelected="1" view="pageBreakPreview" zoomScale="96" zoomScaleNormal="100" zoomScaleSheetLayoutView="96" workbookViewId="0">
      <pane xSplit="2" ySplit="5" topLeftCell="K74" activePane="bottomRight" state="frozen"/>
      <selection pane="topRight" activeCell="C1" sqref="C1"/>
      <selection pane="bottomLeft" activeCell="A2" sqref="A2"/>
      <selection pane="bottomRight" activeCell="M76" sqref="M76"/>
    </sheetView>
  </sheetViews>
  <sheetFormatPr baseColWidth="10" defaultColWidth="11.42578125" defaultRowHeight="15"/>
  <cols>
    <col min="1" max="1" width="24.7109375" style="9" customWidth="1"/>
    <col min="2" max="2" width="41.7109375" style="9" customWidth="1"/>
    <col min="3" max="3" width="39.42578125" style="9" bestFit="1" customWidth="1"/>
    <col min="4" max="4" width="31.140625" style="9" customWidth="1"/>
    <col min="5" max="13" width="29.5703125" style="9" customWidth="1"/>
    <col min="14" max="14" width="33.42578125" style="9" customWidth="1"/>
    <col min="15" max="16384" width="11.42578125" style="9"/>
  </cols>
  <sheetData>
    <row r="2" spans="1:14" ht="15.75" customHeight="1">
      <c r="A2" s="1011" t="s">
        <v>0</v>
      </c>
      <c r="B2" s="1011"/>
      <c r="C2" s="1011"/>
      <c r="D2" s="1011"/>
      <c r="E2" s="1011"/>
      <c r="F2" s="1011"/>
      <c r="G2" s="1011"/>
      <c r="H2" s="1011"/>
      <c r="I2" s="1011"/>
      <c r="J2" s="1011"/>
      <c r="K2" s="1011"/>
      <c r="L2" s="1011"/>
      <c r="M2" s="1011"/>
      <c r="N2" s="1011"/>
    </row>
    <row r="3" spans="1:14" ht="15.75" customHeight="1">
      <c r="A3" s="1011" t="s">
        <v>116</v>
      </c>
      <c r="B3" s="1011"/>
      <c r="C3" s="1011"/>
      <c r="D3" s="1011"/>
      <c r="E3" s="1011"/>
      <c r="F3" s="1011"/>
      <c r="G3" s="1011"/>
      <c r="H3" s="1011"/>
      <c r="I3" s="1011"/>
      <c r="J3" s="1011"/>
      <c r="K3" s="1011"/>
      <c r="L3" s="1011"/>
      <c r="M3" s="1011"/>
      <c r="N3" s="1011"/>
    </row>
    <row r="4" spans="1:14" ht="15.75" customHeight="1">
      <c r="A4" s="1012" t="s">
        <v>25354</v>
      </c>
      <c r="B4" s="1012"/>
      <c r="C4" s="1012"/>
      <c r="D4" s="1012"/>
      <c r="E4" s="1012"/>
      <c r="F4" s="1012"/>
      <c r="G4" s="1012"/>
      <c r="H4" s="1012"/>
      <c r="I4" s="1012"/>
      <c r="J4" s="1012"/>
      <c r="K4" s="1012"/>
      <c r="L4" s="1012"/>
      <c r="M4" s="1012"/>
      <c r="N4" s="1012"/>
    </row>
    <row r="5" spans="1:14" ht="15.75" customHeight="1">
      <c r="A5" s="235" t="s">
        <v>112</v>
      </c>
      <c r="B5" s="235" t="s">
        <v>92</v>
      </c>
      <c r="C5" s="12" t="s">
        <v>113</v>
      </c>
      <c r="D5" s="12" t="s">
        <v>114</v>
      </c>
      <c r="E5" s="12" t="s">
        <v>115</v>
      </c>
      <c r="F5" s="12" t="s">
        <v>93</v>
      </c>
      <c r="G5" s="12" t="s">
        <v>25355</v>
      </c>
      <c r="H5" s="12" t="s">
        <v>94</v>
      </c>
      <c r="I5" s="12" t="s">
        <v>95</v>
      </c>
      <c r="J5" s="12" t="s">
        <v>96</v>
      </c>
      <c r="K5" s="12" t="s">
        <v>50</v>
      </c>
      <c r="L5" s="12" t="s">
        <v>111</v>
      </c>
      <c r="M5" s="12" t="s">
        <v>25092</v>
      </c>
      <c r="N5" s="12" t="s">
        <v>97</v>
      </c>
    </row>
    <row r="6" spans="1:14" ht="15.75" customHeight="1">
      <c r="A6" s="560" t="s">
        <v>644</v>
      </c>
      <c r="B6" s="29" t="s">
        <v>6473</v>
      </c>
      <c r="C6" s="34">
        <f>'3.CARRETERAS'!J9</f>
        <v>150766800</v>
      </c>
      <c r="D6" s="34">
        <v>0</v>
      </c>
      <c r="E6" s="34">
        <v>0</v>
      </c>
      <c r="F6" s="34">
        <v>0</v>
      </c>
      <c r="G6" s="34">
        <v>0</v>
      </c>
      <c r="H6" s="34">
        <v>0</v>
      </c>
      <c r="I6" s="34">
        <f>'9.SISTEMAS DE AGUA'!I8</f>
        <v>58916000</v>
      </c>
      <c r="J6" s="34">
        <f>'10.EDIFICIOS PÚBLICOS'!N9</f>
        <v>57500000</v>
      </c>
      <c r="K6" s="34">
        <v>0</v>
      </c>
      <c r="L6" s="34">
        <v>0</v>
      </c>
      <c r="M6" s="34">
        <v>0</v>
      </c>
      <c r="N6" s="34">
        <f>SUM(C6:M6)</f>
        <v>267182800</v>
      </c>
    </row>
    <row r="7" spans="1:14" ht="15.75" customHeight="1">
      <c r="A7" s="560" t="s">
        <v>644</v>
      </c>
      <c r="B7" s="29" t="s">
        <v>24975</v>
      </c>
      <c r="C7" s="34">
        <v>0</v>
      </c>
      <c r="D7" s="34">
        <v>0</v>
      </c>
      <c r="E7" s="34">
        <v>0</v>
      </c>
      <c r="F7" s="34">
        <v>0</v>
      </c>
      <c r="G7" s="34">
        <v>0</v>
      </c>
      <c r="H7" s="34">
        <v>0</v>
      </c>
      <c r="I7" s="34">
        <f>'9.SISTEMAS DE AGUA'!I236</f>
        <v>300300000</v>
      </c>
      <c r="J7" s="34">
        <v>0</v>
      </c>
      <c r="K7" s="34">
        <v>0</v>
      </c>
      <c r="L7" s="34">
        <v>1044750</v>
      </c>
      <c r="M7" s="34">
        <v>0</v>
      </c>
      <c r="N7" s="34">
        <f t="shared" ref="N7:N70" si="0">SUM(C7:M7)</f>
        <v>301344750</v>
      </c>
    </row>
    <row r="8" spans="1:14" ht="15.75">
      <c r="A8" s="560" t="s">
        <v>644</v>
      </c>
      <c r="B8" s="29" t="s">
        <v>645</v>
      </c>
      <c r="C8" s="34">
        <f>'3.CARRETERAS'!J73</f>
        <v>17890988031.617973</v>
      </c>
      <c r="D8" s="34">
        <f>'4.PUENTES'!J18</f>
        <v>1370000000</v>
      </c>
      <c r="E8" s="34">
        <f>'5.ALCANTARILLAS Y VADOS'!K12</f>
        <v>2084000000</v>
      </c>
      <c r="F8" s="34">
        <f>'6.RIOS Y QUEBRADAS'!J46</f>
        <v>2986000000</v>
      </c>
      <c r="G8" s="34">
        <f>'7.OBRAS CORRECTIVAS'!J63</f>
        <v>3138125000</v>
      </c>
      <c r="H8" s="34">
        <f>'8.EDUCACION'!O8</f>
        <v>75000000</v>
      </c>
      <c r="I8" s="34">
        <f>'9.SISTEMAS DE AGUA'!I22</f>
        <v>598099650.97740209</v>
      </c>
      <c r="J8" s="34">
        <f>'10.EDIFICIOS PÚBLICOS'!N16</f>
        <v>304000000</v>
      </c>
      <c r="K8" s="34">
        <v>24000000</v>
      </c>
      <c r="L8" s="34">
        <v>18540195.309945248</v>
      </c>
      <c r="M8" s="34">
        <v>0</v>
      </c>
      <c r="N8" s="34">
        <f t="shared" si="0"/>
        <v>28488752877.905319</v>
      </c>
    </row>
    <row r="9" spans="1:14" ht="15.75">
      <c r="A9" s="560" t="s">
        <v>644</v>
      </c>
      <c r="B9" s="29" t="s">
        <v>646</v>
      </c>
      <c r="C9" s="34">
        <f>'3.CARRETERAS'!J95</f>
        <v>3786750000</v>
      </c>
      <c r="D9" s="34">
        <f>'4.PUENTES'!J24</f>
        <v>225000000</v>
      </c>
      <c r="E9" s="34">
        <v>0</v>
      </c>
      <c r="F9" s="34">
        <v>0</v>
      </c>
      <c r="G9" s="34">
        <v>0</v>
      </c>
      <c r="H9" s="34">
        <f>'8.EDUCACION'!O37</f>
        <v>131000000</v>
      </c>
      <c r="I9" s="34">
        <f>'9.SISTEMAS DE AGUA'!I257</f>
        <v>532068857.54821861</v>
      </c>
      <c r="J9" s="34">
        <v>0</v>
      </c>
      <c r="K9" s="34">
        <v>198000000</v>
      </c>
      <c r="L9" s="34">
        <v>160082332.97385621</v>
      </c>
      <c r="M9" s="34">
        <v>0</v>
      </c>
      <c r="N9" s="34">
        <f t="shared" si="0"/>
        <v>5032901190.5220747</v>
      </c>
    </row>
    <row r="10" spans="1:14" ht="15.75">
      <c r="A10" s="560" t="s">
        <v>644</v>
      </c>
      <c r="B10" s="29" t="s">
        <v>647</v>
      </c>
      <c r="C10" s="34">
        <f>'3.CARRETERAS'!J162</f>
        <v>1871540337.5</v>
      </c>
      <c r="D10" s="34">
        <f>'4.PUENTES'!J30</f>
        <v>378776917.87772924</v>
      </c>
      <c r="E10" s="34">
        <f>'5.ALCANTARILLAS Y VADOS'!K25</f>
        <v>446398754.31570756</v>
      </c>
      <c r="F10" s="34">
        <f>'6.RIOS Y QUEBRADAS'!J49</f>
        <v>20000000</v>
      </c>
      <c r="G10" s="34">
        <v>0</v>
      </c>
      <c r="H10" s="34">
        <f>'8.EDUCACION'!O11</f>
        <v>390000000</v>
      </c>
      <c r="I10" s="34">
        <f>'9.SISTEMAS DE AGUA'!I81</f>
        <v>32475837.088105302</v>
      </c>
      <c r="J10" s="34">
        <v>0</v>
      </c>
      <c r="K10" s="34">
        <v>347000000</v>
      </c>
      <c r="L10" s="34">
        <v>160304092.88804248</v>
      </c>
      <c r="M10" s="34">
        <v>0</v>
      </c>
      <c r="N10" s="34">
        <f t="shared" si="0"/>
        <v>3646495939.6695848</v>
      </c>
    </row>
    <row r="11" spans="1:14" ht="15.75">
      <c r="A11" s="560" t="s">
        <v>644</v>
      </c>
      <c r="B11" s="29" t="s">
        <v>648</v>
      </c>
      <c r="C11" s="34">
        <f>'3.CARRETERAS'!J200</f>
        <v>1408997250</v>
      </c>
      <c r="D11" s="34">
        <f>'4.PUENTES'!J49</f>
        <v>2595000000</v>
      </c>
      <c r="E11" s="34">
        <f>'5.ALCANTARILLAS Y VADOS'!K51</f>
        <v>1063500000</v>
      </c>
      <c r="F11" s="34">
        <f>'6.RIOS Y QUEBRADAS'!J61</f>
        <v>1533000000</v>
      </c>
      <c r="G11" s="34">
        <v>0</v>
      </c>
      <c r="H11" s="34">
        <f>'8.EDUCACION'!O34</f>
        <v>475573034</v>
      </c>
      <c r="I11" s="34">
        <f>'9.SISTEMAS DE AGUA'!I42</f>
        <v>1196179196.9527845</v>
      </c>
      <c r="J11" s="34">
        <f>'10.EDIFICIOS PÚBLICOS'!N22</f>
        <v>90000000</v>
      </c>
      <c r="K11" s="34">
        <v>1324000000</v>
      </c>
      <c r="L11" s="34">
        <v>469521630</v>
      </c>
      <c r="M11" s="34">
        <v>0</v>
      </c>
      <c r="N11" s="34">
        <f t="shared" si="0"/>
        <v>10155771110.952785</v>
      </c>
    </row>
    <row r="12" spans="1:14" ht="15.75">
      <c r="A12" s="560" t="s">
        <v>644</v>
      </c>
      <c r="B12" s="29" t="s">
        <v>649</v>
      </c>
      <c r="C12" s="34">
        <f>'3.CARRETERAS'!J222</f>
        <v>2954163000</v>
      </c>
      <c r="D12" s="34">
        <f>'4.PUENTES'!J52</f>
        <v>250000000</v>
      </c>
      <c r="E12" s="34">
        <v>0</v>
      </c>
      <c r="F12" s="34">
        <f>'6.RIOS Y QUEBRADAS'!J64</f>
        <v>120000000</v>
      </c>
      <c r="G12" s="34">
        <v>0</v>
      </c>
      <c r="H12" s="34">
        <f>'8.EDUCACION'!O14</f>
        <v>4300000</v>
      </c>
      <c r="I12" s="34">
        <f>'9.SISTEMAS DE AGUA'!I243</f>
        <v>97240000</v>
      </c>
      <c r="J12" s="34">
        <f>'10.EDIFICIOS PÚBLICOS'!N25</f>
        <v>2000000</v>
      </c>
      <c r="K12" s="34">
        <v>144000000</v>
      </c>
      <c r="L12" s="34">
        <v>22613870</v>
      </c>
      <c r="M12" s="34">
        <v>0</v>
      </c>
      <c r="N12" s="34">
        <f t="shared" si="0"/>
        <v>3594316870</v>
      </c>
    </row>
    <row r="13" spans="1:14" ht="15.75">
      <c r="A13" s="560" t="s">
        <v>644</v>
      </c>
      <c r="B13" s="29" t="s">
        <v>24976</v>
      </c>
      <c r="C13" s="34">
        <f>'3.CARRETERAS'!J225</f>
        <v>2595213</v>
      </c>
      <c r="D13" s="34">
        <v>0</v>
      </c>
      <c r="E13" s="34">
        <v>0</v>
      </c>
      <c r="F13" s="34">
        <v>0</v>
      </c>
      <c r="G13" s="34">
        <v>0</v>
      </c>
      <c r="H13" s="34">
        <v>0</v>
      </c>
      <c r="I13" s="34">
        <v>0</v>
      </c>
      <c r="J13" s="34">
        <v>0</v>
      </c>
      <c r="K13" s="34">
        <v>0</v>
      </c>
      <c r="L13" s="34">
        <v>295000</v>
      </c>
      <c r="M13" s="34">
        <v>0</v>
      </c>
      <c r="N13" s="34">
        <f t="shared" si="0"/>
        <v>2890213</v>
      </c>
    </row>
    <row r="14" spans="1:14" ht="15.75">
      <c r="A14" s="560" t="s">
        <v>644</v>
      </c>
      <c r="B14" s="29" t="s">
        <v>650</v>
      </c>
      <c r="C14" s="34">
        <f>'3.CARRETERAS'!J229</f>
        <v>120500000</v>
      </c>
      <c r="D14" s="34">
        <f>'4.PUENTES'!J56</f>
        <v>180000000</v>
      </c>
      <c r="E14" s="34">
        <f>'5.ALCANTARILLAS Y VADOS'!K56</f>
        <v>198500000</v>
      </c>
      <c r="F14" s="34">
        <v>0</v>
      </c>
      <c r="G14" s="34">
        <v>0</v>
      </c>
      <c r="H14" s="34">
        <v>0</v>
      </c>
      <c r="I14" s="34">
        <f>'9.SISTEMAS DE AGUA'!I249</f>
        <v>28600000</v>
      </c>
      <c r="J14" s="34">
        <v>0</v>
      </c>
      <c r="K14" s="34">
        <v>157000000</v>
      </c>
      <c r="L14" s="34">
        <v>3134250</v>
      </c>
      <c r="M14" s="34">
        <v>0</v>
      </c>
      <c r="N14" s="34">
        <f t="shared" si="0"/>
        <v>687734250</v>
      </c>
    </row>
    <row r="15" spans="1:14" ht="15.75">
      <c r="A15" s="560" t="s">
        <v>644</v>
      </c>
      <c r="B15" s="29" t="s">
        <v>24977</v>
      </c>
      <c r="C15" s="34">
        <f>'3.CARRETERAS'!J233</f>
        <v>212407358.86000001</v>
      </c>
      <c r="D15" s="34">
        <v>0</v>
      </c>
      <c r="E15" s="34">
        <v>0</v>
      </c>
      <c r="F15" s="34">
        <v>0</v>
      </c>
      <c r="G15" s="34">
        <v>0</v>
      </c>
      <c r="H15" s="34">
        <v>0</v>
      </c>
      <c r="I15" s="34">
        <f>'9.SISTEMAS DE AGUA'!I246</f>
        <v>197340000</v>
      </c>
      <c r="J15" s="34">
        <v>0</v>
      </c>
      <c r="K15" s="34">
        <v>0</v>
      </c>
      <c r="L15" s="34">
        <v>1741250</v>
      </c>
      <c r="M15" s="34">
        <v>0</v>
      </c>
      <c r="N15" s="34">
        <f t="shared" si="0"/>
        <v>411488608.86000001</v>
      </c>
    </row>
    <row r="16" spans="1:14" ht="15.75">
      <c r="A16" s="560" t="s">
        <v>644</v>
      </c>
      <c r="B16" s="29" t="s">
        <v>651</v>
      </c>
      <c r="C16" s="34">
        <f>'3.CARRETERAS'!J252</f>
        <v>3364312613.9099998</v>
      </c>
      <c r="D16" s="34">
        <f>'4.PUENTES'!J67</f>
        <v>1489000000</v>
      </c>
      <c r="E16" s="34">
        <v>0</v>
      </c>
      <c r="F16" s="34">
        <v>0</v>
      </c>
      <c r="G16" s="34">
        <v>0</v>
      </c>
      <c r="H16" s="34">
        <v>0</v>
      </c>
      <c r="I16" s="34">
        <f>'9.SISTEMAS DE AGUA'!I240</f>
        <v>143000000</v>
      </c>
      <c r="J16" s="34">
        <v>0</v>
      </c>
      <c r="K16" s="34">
        <v>0</v>
      </c>
      <c r="L16" s="34">
        <v>1153000</v>
      </c>
      <c r="M16" s="34">
        <v>0</v>
      </c>
      <c r="N16" s="34">
        <f t="shared" si="0"/>
        <v>4997465613.9099998</v>
      </c>
    </row>
    <row r="17" spans="1:14" ht="15.75">
      <c r="A17" s="560" t="s">
        <v>644</v>
      </c>
      <c r="B17" s="29" t="s">
        <v>652</v>
      </c>
      <c r="C17" s="34">
        <f>'3.CARRETERAS'!J513</f>
        <v>4367254600</v>
      </c>
      <c r="D17" s="34">
        <f>'4.PUENTES'!J91</f>
        <v>1980000000</v>
      </c>
      <c r="E17" s="34">
        <f>'5.ALCANTARILLAS Y VADOS'!K63</f>
        <v>140000000</v>
      </c>
      <c r="F17" s="34">
        <f>'6.RIOS Y QUEBRADAS'!J84</f>
        <v>545500000</v>
      </c>
      <c r="G17" s="34">
        <f>'7.OBRAS CORRECTIVAS'!J35</f>
        <v>980000000</v>
      </c>
      <c r="H17" s="34">
        <f>'8.EDUCACION'!O30</f>
        <v>142000000</v>
      </c>
      <c r="I17" s="34">
        <f>'9.SISTEMAS DE AGUA'!I192</f>
        <v>1010745295.9772549</v>
      </c>
      <c r="J17" s="34">
        <f>'10.EDIFICIOS PÚBLICOS'!N28</f>
        <v>110000000</v>
      </c>
      <c r="K17" s="34">
        <v>559000000</v>
      </c>
      <c r="L17" s="34">
        <v>303217034.1111111</v>
      </c>
      <c r="M17" s="34">
        <v>0</v>
      </c>
      <c r="N17" s="34">
        <f t="shared" si="0"/>
        <v>10137716930.088366</v>
      </c>
    </row>
    <row r="18" spans="1:14" ht="15.75">
      <c r="A18" s="560" t="s">
        <v>644</v>
      </c>
      <c r="B18" s="29" t="s">
        <v>653</v>
      </c>
      <c r="C18" s="34">
        <v>0</v>
      </c>
      <c r="D18" s="34">
        <f>'4.PUENTES'!J94</f>
        <v>400000000</v>
      </c>
      <c r="E18" s="34">
        <v>0</v>
      </c>
      <c r="F18" s="34">
        <v>0</v>
      </c>
      <c r="G18" s="34">
        <f>'7.OBRAS CORRECTIVAS'!J38</f>
        <v>100000000</v>
      </c>
      <c r="H18" s="34">
        <v>0</v>
      </c>
      <c r="I18" s="34">
        <v>0</v>
      </c>
      <c r="J18" s="34">
        <v>0</v>
      </c>
      <c r="K18" s="34">
        <v>0</v>
      </c>
      <c r="L18" s="34">
        <v>0</v>
      </c>
      <c r="M18" s="34">
        <v>0</v>
      </c>
      <c r="N18" s="34">
        <f t="shared" si="0"/>
        <v>500000000</v>
      </c>
    </row>
    <row r="19" spans="1:14" ht="15.75">
      <c r="A19" s="560" t="s">
        <v>644</v>
      </c>
      <c r="B19" s="29" t="s">
        <v>25353</v>
      </c>
      <c r="C19" s="34">
        <f>'3.CARRETERAS'!J517</f>
        <v>83025149.739999995</v>
      </c>
      <c r="D19" s="34">
        <f>'4.PUENTES'!J98</f>
        <v>76335642</v>
      </c>
      <c r="E19" s="34">
        <f>'5.ALCANTARILLAS Y VADOS'!K66</f>
        <v>93524738.950000003</v>
      </c>
      <c r="F19" s="34">
        <v>0</v>
      </c>
      <c r="G19" s="34">
        <v>0</v>
      </c>
      <c r="H19" s="34">
        <v>0</v>
      </c>
      <c r="I19" s="34">
        <v>0</v>
      </c>
      <c r="J19" s="34">
        <v>0</v>
      </c>
      <c r="K19" s="34">
        <v>528000000</v>
      </c>
      <c r="L19" s="34">
        <v>0</v>
      </c>
      <c r="M19" s="34">
        <v>0</v>
      </c>
      <c r="N19" s="34">
        <f t="shared" si="0"/>
        <v>780885530.69000006</v>
      </c>
    </row>
    <row r="20" spans="1:14" ht="15.75">
      <c r="A20" s="560" t="s">
        <v>644</v>
      </c>
      <c r="B20" s="29" t="s">
        <v>654</v>
      </c>
      <c r="C20" s="34">
        <f>'3.CARRETERAS'!J650</f>
        <v>1190586632</v>
      </c>
      <c r="D20" s="34">
        <f>'4.PUENTES'!J105</f>
        <v>203322659</v>
      </c>
      <c r="E20" s="34">
        <f>'5.ALCANTARILLAS Y VADOS'!K85</f>
        <v>367500000</v>
      </c>
      <c r="F20" s="34">
        <f>'6.RIOS Y QUEBRADAS'!J92</f>
        <v>100515000</v>
      </c>
      <c r="G20" s="34">
        <v>0</v>
      </c>
      <c r="H20" s="34">
        <v>0</v>
      </c>
      <c r="I20" s="34">
        <f>'9.SISTEMAS DE AGUA'!I260</f>
        <v>57534101.53699553</v>
      </c>
      <c r="J20" s="34">
        <v>0</v>
      </c>
      <c r="K20" s="34">
        <v>0</v>
      </c>
      <c r="L20" s="34">
        <v>64071867.600000001</v>
      </c>
      <c r="M20" s="34">
        <v>0</v>
      </c>
      <c r="N20" s="34">
        <f t="shared" si="0"/>
        <v>1983530260.1369953</v>
      </c>
    </row>
    <row r="21" spans="1:14" ht="15.75">
      <c r="A21" s="560" t="s">
        <v>644</v>
      </c>
      <c r="B21" s="29" t="s">
        <v>655</v>
      </c>
      <c r="C21" s="34">
        <f>'3.CARRETERAS'!J686</f>
        <v>1170266250</v>
      </c>
      <c r="D21" s="34">
        <f>'4.PUENTES'!J111</f>
        <v>620000000</v>
      </c>
      <c r="E21" s="34">
        <f>'5.ALCANTARILLAS Y VADOS'!K89</f>
        <v>182500000</v>
      </c>
      <c r="F21" s="34">
        <f>'6.RIOS Y QUEBRADAS'!J96</f>
        <v>450000000</v>
      </c>
      <c r="G21" s="34">
        <v>0</v>
      </c>
      <c r="H21" s="34">
        <v>0</v>
      </c>
      <c r="I21" s="34">
        <f>'9.SISTEMAS DE AGUA'!I51</f>
        <v>18000000</v>
      </c>
      <c r="J21" s="34">
        <v>0</v>
      </c>
      <c r="K21" s="34">
        <v>190000000</v>
      </c>
      <c r="L21" s="1220">
        <v>74414000</v>
      </c>
      <c r="M21" s="34">
        <v>389120000</v>
      </c>
      <c r="N21" s="34">
        <f t="shared" si="0"/>
        <v>3094300250</v>
      </c>
    </row>
    <row r="22" spans="1:14" ht="15.75">
      <c r="A22" s="560" t="s">
        <v>644</v>
      </c>
      <c r="B22" s="29" t="s">
        <v>656</v>
      </c>
      <c r="C22" s="34">
        <v>0</v>
      </c>
      <c r="D22" s="34">
        <v>0</v>
      </c>
      <c r="E22" s="34">
        <v>0</v>
      </c>
      <c r="F22" s="34">
        <v>0</v>
      </c>
      <c r="G22" s="34">
        <f>'7.OBRAS CORRECTIVAS'!J113</f>
        <v>365992200</v>
      </c>
      <c r="H22" s="34">
        <v>0</v>
      </c>
      <c r="I22" s="34">
        <v>0</v>
      </c>
      <c r="J22" s="34">
        <f>'10.EDIFICIOS PÚBLICOS'!N19</f>
        <v>22000000</v>
      </c>
      <c r="K22" s="34">
        <v>0</v>
      </c>
      <c r="L22" s="34">
        <v>0</v>
      </c>
      <c r="M22" s="34">
        <v>0</v>
      </c>
      <c r="N22" s="34">
        <f t="shared" si="0"/>
        <v>387992200</v>
      </c>
    </row>
    <row r="23" spans="1:14" ht="15.75">
      <c r="A23" s="560" t="s">
        <v>644</v>
      </c>
      <c r="B23" s="29" t="s">
        <v>657</v>
      </c>
      <c r="C23" s="34">
        <f>'3.CARRETERAS'!J902</f>
        <v>5629555074</v>
      </c>
      <c r="D23" s="34">
        <f>'4.PUENTES'!J137</f>
        <v>3492208580.2399998</v>
      </c>
      <c r="E23" s="34">
        <f>'5.ALCANTARILLAS Y VADOS'!K112</f>
        <v>743500000</v>
      </c>
      <c r="F23" s="34">
        <f>'6.RIOS Y QUEBRADAS'!J151</f>
        <v>3395300000</v>
      </c>
      <c r="G23" s="34">
        <v>0</v>
      </c>
      <c r="H23" s="34">
        <f>'8.EDUCACION'!O26</f>
        <v>40200000</v>
      </c>
      <c r="I23" s="34">
        <f>'9.SISTEMAS DE AGUA'!I148</f>
        <v>767063319.58694756</v>
      </c>
      <c r="J23" s="34">
        <f>'10.EDIFICIOS PÚBLICOS'!N43</f>
        <v>39500000</v>
      </c>
      <c r="K23" s="34">
        <v>970500000</v>
      </c>
      <c r="L23" s="1220">
        <v>55482546</v>
      </c>
      <c r="M23" s="34">
        <v>14000000</v>
      </c>
      <c r="N23" s="34">
        <f t="shared" si="0"/>
        <v>15147309519.826948</v>
      </c>
    </row>
    <row r="24" spans="1:14" ht="15.75">
      <c r="A24" s="560" t="s">
        <v>644</v>
      </c>
      <c r="B24" s="29" t="s">
        <v>658</v>
      </c>
      <c r="C24" s="34">
        <f>'3.CARRETERAS'!J944</f>
        <v>1373387500</v>
      </c>
      <c r="D24" s="34">
        <f>'4.PUENTES'!J151</f>
        <v>392000000</v>
      </c>
      <c r="E24" s="34">
        <f>'5.ALCANTARILLAS Y VADOS'!K122</f>
        <v>71000000</v>
      </c>
      <c r="F24" s="34">
        <v>0</v>
      </c>
      <c r="G24" s="34">
        <v>0</v>
      </c>
      <c r="H24" s="34">
        <f>'8.EDUCACION'!O18</f>
        <v>82300000</v>
      </c>
      <c r="I24" s="34">
        <f>'9.SISTEMAS DE AGUA'!I182</f>
        <v>302683630.39353758</v>
      </c>
      <c r="J24" s="34">
        <v>0</v>
      </c>
      <c r="K24" s="34">
        <v>455000000</v>
      </c>
      <c r="L24" s="34">
        <v>521652158.54000002</v>
      </c>
      <c r="M24" s="34">
        <v>0</v>
      </c>
      <c r="N24" s="34">
        <f t="shared" si="0"/>
        <v>3198023288.9335375</v>
      </c>
    </row>
    <row r="25" spans="1:14" ht="15.75">
      <c r="A25" s="560" t="s">
        <v>644</v>
      </c>
      <c r="B25" s="29" t="s">
        <v>189</v>
      </c>
      <c r="C25" s="290">
        <f>SUM(C6:C24)</f>
        <v>45577095810.627968</v>
      </c>
      <c r="D25" s="290">
        <f t="shared" ref="D25:M25" si="1">SUM(D6:D24)</f>
        <v>13651643799.117729</v>
      </c>
      <c r="E25" s="290">
        <f t="shared" si="1"/>
        <v>5390423493.265707</v>
      </c>
      <c r="F25" s="290">
        <f t="shared" si="1"/>
        <v>9150315000</v>
      </c>
      <c r="G25" s="290">
        <f t="shared" si="1"/>
        <v>4584117200</v>
      </c>
      <c r="H25" s="290">
        <f t="shared" si="1"/>
        <v>1340373034</v>
      </c>
      <c r="I25" s="290">
        <f t="shared" si="1"/>
        <v>5340245890.0612459</v>
      </c>
      <c r="J25" s="290">
        <f t="shared" si="1"/>
        <v>625000000</v>
      </c>
      <c r="K25" s="290">
        <f t="shared" si="1"/>
        <v>4896500000</v>
      </c>
      <c r="L25" s="290">
        <f t="shared" si="1"/>
        <v>1857267977.422955</v>
      </c>
      <c r="M25" s="290">
        <f t="shared" si="1"/>
        <v>403120000</v>
      </c>
      <c r="N25" s="290">
        <f>SUM(N6:N24)</f>
        <v>92816102204.495605</v>
      </c>
    </row>
    <row r="26" spans="1:14" ht="15.75">
      <c r="A26" s="295" t="s">
        <v>7269</v>
      </c>
      <c r="B26" s="291" t="s">
        <v>24978</v>
      </c>
      <c r="C26" s="289">
        <f>'3.CARRETERAS'!J963</f>
        <v>555825000</v>
      </c>
      <c r="D26" s="289">
        <f>'4.PUENTES'!J163</f>
        <v>1300000000</v>
      </c>
      <c r="E26" s="289">
        <v>0</v>
      </c>
      <c r="F26" s="289">
        <f>'6.RIOS Y QUEBRADAS'!J155</f>
        <v>450000000</v>
      </c>
      <c r="G26" s="289">
        <v>0</v>
      </c>
      <c r="H26" s="289">
        <v>0</v>
      </c>
      <c r="I26" s="289">
        <f>'9.SISTEMAS DE AGUA'!I54</f>
        <v>150000000</v>
      </c>
      <c r="J26" s="34">
        <v>0</v>
      </c>
      <c r="K26" s="289">
        <v>0</v>
      </c>
      <c r="L26" s="34">
        <v>9726000</v>
      </c>
      <c r="M26" s="34">
        <v>0</v>
      </c>
      <c r="N26" s="34">
        <f t="shared" si="0"/>
        <v>2465551000</v>
      </c>
    </row>
    <row r="27" spans="1:14" ht="15.75">
      <c r="A27" s="295" t="s">
        <v>7269</v>
      </c>
      <c r="B27" s="291" t="s">
        <v>24979</v>
      </c>
      <c r="C27" s="34">
        <f>'3.CARRETERAS'!J1014</f>
        <v>4254085016.638401</v>
      </c>
      <c r="D27" s="34">
        <f>'4.PUENTES'!J166</f>
        <v>0</v>
      </c>
      <c r="E27" s="34">
        <f>'5.ALCANTARILLAS Y VADOS'!K125</f>
        <v>2000000</v>
      </c>
      <c r="F27" s="34">
        <v>0</v>
      </c>
      <c r="G27" s="34">
        <v>0</v>
      </c>
      <c r="H27" s="34">
        <v>0</v>
      </c>
      <c r="I27" s="34">
        <f>'9.SISTEMAS DE AGUA'!I267</f>
        <v>75790000</v>
      </c>
      <c r="J27" s="34">
        <v>0</v>
      </c>
      <c r="K27" s="289">
        <v>0</v>
      </c>
      <c r="L27" s="34">
        <v>47118000</v>
      </c>
      <c r="M27" s="34">
        <v>0</v>
      </c>
      <c r="N27" s="34">
        <f t="shared" si="0"/>
        <v>4378993016.638401</v>
      </c>
    </row>
    <row r="28" spans="1:14" ht="15.75">
      <c r="A28" s="295" t="s">
        <v>7269</v>
      </c>
      <c r="B28" s="291" t="s">
        <v>659</v>
      </c>
      <c r="C28" s="34">
        <f>'3.CARRETERAS'!J1021</f>
        <v>165972110.40000001</v>
      </c>
      <c r="D28" s="34">
        <f>'4.PUENTES'!J174</f>
        <v>1342966012.49</v>
      </c>
      <c r="E28" s="34">
        <v>0</v>
      </c>
      <c r="F28" s="34">
        <v>0</v>
      </c>
      <c r="G28" s="34">
        <v>0</v>
      </c>
      <c r="H28" s="34">
        <v>0</v>
      </c>
      <c r="I28" s="34">
        <v>0</v>
      </c>
      <c r="J28" s="34">
        <v>0</v>
      </c>
      <c r="K28" s="34">
        <v>11500000</v>
      </c>
      <c r="L28" s="34">
        <v>34260000</v>
      </c>
      <c r="M28" s="34">
        <v>0</v>
      </c>
      <c r="N28" s="34">
        <f t="shared" si="0"/>
        <v>1554698122.8900001</v>
      </c>
    </row>
    <row r="29" spans="1:14" ht="15.75">
      <c r="A29" s="295" t="s">
        <v>7269</v>
      </c>
      <c r="B29" s="291" t="s">
        <v>24980</v>
      </c>
      <c r="C29" s="34">
        <f>'3.CARRETERAS'!J1029</f>
        <v>68708000</v>
      </c>
      <c r="D29" s="34">
        <v>0</v>
      </c>
      <c r="E29" s="34">
        <v>0</v>
      </c>
      <c r="F29" s="34">
        <v>0</v>
      </c>
      <c r="G29" s="34">
        <v>0</v>
      </c>
      <c r="H29" s="34">
        <v>0</v>
      </c>
      <c r="I29" s="34">
        <f>'9.SISTEMAS DE AGUA'!I273</f>
        <v>5148000</v>
      </c>
      <c r="J29" s="34">
        <v>0</v>
      </c>
      <c r="K29" s="289">
        <v>0</v>
      </c>
      <c r="L29" s="34">
        <v>12213529.722222222</v>
      </c>
      <c r="M29" s="34">
        <v>0</v>
      </c>
      <c r="N29" s="34">
        <f t="shared" si="0"/>
        <v>86069529.722222224</v>
      </c>
    </row>
    <row r="30" spans="1:14" ht="15.75">
      <c r="A30" s="295" t="s">
        <v>7269</v>
      </c>
      <c r="B30" s="291" t="s">
        <v>24981</v>
      </c>
      <c r="C30" s="34">
        <f>'3.CARRETERAS'!J1042</f>
        <v>2995000</v>
      </c>
      <c r="D30" s="34">
        <v>0</v>
      </c>
      <c r="E30" s="34">
        <v>0</v>
      </c>
      <c r="F30" s="34">
        <v>0</v>
      </c>
      <c r="G30" s="34">
        <v>0</v>
      </c>
      <c r="H30" s="34">
        <v>0</v>
      </c>
      <c r="I30" s="34">
        <f>'9.SISTEMAS DE AGUA'!I196</f>
        <v>43668570.948163532</v>
      </c>
      <c r="J30" s="34">
        <v>0</v>
      </c>
      <c r="K30" s="289">
        <v>0</v>
      </c>
      <c r="L30" s="34">
        <v>37321910</v>
      </c>
      <c r="M30" s="34">
        <v>0</v>
      </c>
      <c r="N30" s="34">
        <f t="shared" si="0"/>
        <v>83985480.948163539</v>
      </c>
    </row>
    <row r="31" spans="1:14" ht="15.75">
      <c r="A31" s="295" t="s">
        <v>7269</v>
      </c>
      <c r="B31" s="291" t="s">
        <v>660</v>
      </c>
      <c r="C31" s="34">
        <f>'3.CARRETERAS'!J1082</f>
        <v>541332111.75</v>
      </c>
      <c r="D31" s="34">
        <f>'4.PUENTES'!J181</f>
        <v>1600000000</v>
      </c>
      <c r="E31" s="34">
        <f>'5.ALCANTARILLAS Y VADOS'!K134</f>
        <v>145000000</v>
      </c>
      <c r="F31" s="34">
        <f>'6.RIOS Y QUEBRADAS'!J158</f>
        <v>2000000</v>
      </c>
      <c r="G31" s="34">
        <f>'7.OBRAS CORRECTIVAS'!J124</f>
        <v>290000000</v>
      </c>
      <c r="H31" s="34">
        <v>0</v>
      </c>
      <c r="I31" s="34">
        <v>0</v>
      </c>
      <c r="J31" s="34">
        <v>0</v>
      </c>
      <c r="K31" s="34">
        <v>0</v>
      </c>
      <c r="L31" s="34">
        <v>0</v>
      </c>
      <c r="M31" s="34">
        <v>0</v>
      </c>
      <c r="N31" s="34">
        <f t="shared" si="0"/>
        <v>2578332111.75</v>
      </c>
    </row>
    <row r="32" spans="1:14" ht="15.75">
      <c r="A32" s="295" t="s">
        <v>7269</v>
      </c>
      <c r="B32" s="291" t="s">
        <v>661</v>
      </c>
      <c r="C32" s="34">
        <f>'3.CARRETERAS'!J1139</f>
        <v>705098911.08000004</v>
      </c>
      <c r="D32" s="34">
        <f>'4.PUENTES'!J187</f>
        <v>320000000</v>
      </c>
      <c r="E32" s="34">
        <v>0</v>
      </c>
      <c r="F32" s="34">
        <v>0</v>
      </c>
      <c r="G32" s="34">
        <v>0</v>
      </c>
      <c r="H32" s="34">
        <v>0</v>
      </c>
      <c r="I32" s="34">
        <f>'9.SISTEMAS DE AGUA'!I270</f>
        <v>25864696</v>
      </c>
      <c r="J32" s="34">
        <v>0</v>
      </c>
      <c r="K32" s="34">
        <v>0</v>
      </c>
      <c r="L32" s="34">
        <v>0</v>
      </c>
      <c r="M32" s="34">
        <v>0</v>
      </c>
      <c r="N32" s="34">
        <f t="shared" si="0"/>
        <v>1050963607.08</v>
      </c>
    </row>
    <row r="33" spans="1:14" ht="15.75">
      <c r="A33" s="295" t="s">
        <v>7269</v>
      </c>
      <c r="B33" s="291" t="s">
        <v>662</v>
      </c>
      <c r="C33" s="34">
        <f>'3.CARRETERAS'!J1144</f>
        <v>1450000</v>
      </c>
      <c r="D33" s="34">
        <f>'4.PUENTES'!J191</f>
        <v>110000000</v>
      </c>
      <c r="E33" s="34">
        <v>0</v>
      </c>
      <c r="F33" s="34">
        <v>0</v>
      </c>
      <c r="G33" s="34">
        <v>0</v>
      </c>
      <c r="H33" s="34">
        <v>0</v>
      </c>
      <c r="I33" s="34">
        <f>'9.SISTEMAS DE AGUA'!I199</f>
        <v>11265883.904944127</v>
      </c>
      <c r="J33" s="34">
        <v>0</v>
      </c>
      <c r="K33" s="34">
        <v>0</v>
      </c>
      <c r="L33" s="34">
        <v>0</v>
      </c>
      <c r="M33" s="34">
        <v>0</v>
      </c>
      <c r="N33" s="34">
        <f t="shared" si="0"/>
        <v>122715883.90494412</v>
      </c>
    </row>
    <row r="34" spans="1:14" ht="15.75">
      <c r="A34" s="295" t="s">
        <v>7269</v>
      </c>
      <c r="B34" s="291" t="s">
        <v>663</v>
      </c>
      <c r="C34" s="34">
        <f>'3.CARRETERAS'!J1149</f>
        <v>138500000</v>
      </c>
      <c r="D34" s="34">
        <f>'4.PUENTES'!J198</f>
        <v>380000000</v>
      </c>
      <c r="E34" s="34">
        <f>'5.ALCANTARILLAS Y VADOS'!K141</f>
        <v>188500000</v>
      </c>
      <c r="F34" s="34">
        <v>0</v>
      </c>
      <c r="G34" s="34">
        <v>0</v>
      </c>
      <c r="H34" s="34">
        <v>0</v>
      </c>
      <c r="I34" s="34">
        <f>'9.SISTEMAS DE AGUA'!I57</f>
        <v>45000000</v>
      </c>
      <c r="J34" s="34">
        <v>0</v>
      </c>
      <c r="K34" s="34">
        <v>0</v>
      </c>
      <c r="L34" s="34">
        <v>8425687.5</v>
      </c>
      <c r="M34" s="34">
        <v>0</v>
      </c>
      <c r="N34" s="34">
        <f t="shared" si="0"/>
        <v>760425687.5</v>
      </c>
    </row>
    <row r="35" spans="1:14" ht="15.75">
      <c r="A35" s="295" t="s">
        <v>7269</v>
      </c>
      <c r="B35" s="291" t="s">
        <v>664</v>
      </c>
      <c r="C35" s="34">
        <f>'3.CARRETERAS'!J1624</f>
        <v>2933728425</v>
      </c>
      <c r="D35" s="34">
        <f>'4.PUENTES'!J202</f>
        <v>70575000</v>
      </c>
      <c r="E35" s="34">
        <f>'5.ALCANTARILLAS Y VADOS'!K146</f>
        <v>3750000</v>
      </c>
      <c r="F35" s="34">
        <v>0</v>
      </c>
      <c r="G35" s="34">
        <v>0</v>
      </c>
      <c r="H35" s="34">
        <v>0</v>
      </c>
      <c r="I35" s="34">
        <v>0</v>
      </c>
      <c r="J35" s="34">
        <v>0</v>
      </c>
      <c r="K35" s="34">
        <v>0</v>
      </c>
      <c r="L35" s="34">
        <v>0</v>
      </c>
      <c r="M35" s="34">
        <v>0</v>
      </c>
      <c r="N35" s="34">
        <f t="shared" si="0"/>
        <v>3008053425</v>
      </c>
    </row>
    <row r="36" spans="1:14" ht="15.75">
      <c r="A36" s="295" t="s">
        <v>7269</v>
      </c>
      <c r="B36" s="291" t="s">
        <v>665</v>
      </c>
      <c r="C36" s="34">
        <f>'3.CARRETERAS'!J1637</f>
        <v>92962449.693600014</v>
      </c>
      <c r="D36" s="34">
        <f>'4.PUENTES'!J206</f>
        <v>325000000</v>
      </c>
      <c r="E36" s="34">
        <f>'5.ALCANTARILLAS Y VADOS'!K150</f>
        <v>4000000</v>
      </c>
      <c r="F36" s="34">
        <v>0</v>
      </c>
      <c r="G36" s="34">
        <v>0</v>
      </c>
      <c r="H36" s="34">
        <v>0</v>
      </c>
      <c r="I36" s="34">
        <v>0</v>
      </c>
      <c r="J36" s="34">
        <v>0</v>
      </c>
      <c r="K36" s="34">
        <v>0</v>
      </c>
      <c r="L36" s="34">
        <v>57958040</v>
      </c>
      <c r="M36" s="34">
        <v>0</v>
      </c>
      <c r="N36" s="34">
        <f t="shared" si="0"/>
        <v>479920489.6936</v>
      </c>
    </row>
    <row r="37" spans="1:14" ht="15.75">
      <c r="A37" s="295" t="s">
        <v>7269</v>
      </c>
      <c r="B37" s="291" t="s">
        <v>666</v>
      </c>
      <c r="C37" s="34">
        <f>'3.CARRETERAS'!J1645</f>
        <v>502861913</v>
      </c>
      <c r="D37" s="34">
        <v>0</v>
      </c>
      <c r="E37" s="34">
        <v>0</v>
      </c>
      <c r="F37" s="34">
        <v>0</v>
      </c>
      <c r="G37" s="34">
        <v>0</v>
      </c>
      <c r="H37" s="34">
        <f>'8.EDUCACION'!O42</f>
        <v>80000000</v>
      </c>
      <c r="I37" s="34">
        <v>0</v>
      </c>
      <c r="J37" s="34">
        <v>0</v>
      </c>
      <c r="K37" s="34">
        <v>0</v>
      </c>
      <c r="L37" s="34">
        <v>10000000</v>
      </c>
      <c r="M37" s="34">
        <v>0</v>
      </c>
      <c r="N37" s="34">
        <f t="shared" si="0"/>
        <v>592861913</v>
      </c>
    </row>
    <row r="38" spans="1:14" ht="15.75">
      <c r="A38" s="295" t="s">
        <v>7269</v>
      </c>
      <c r="B38" s="291" t="s">
        <v>25349</v>
      </c>
      <c r="C38" s="34">
        <f>'3.CARRETERAS'!J1649</f>
        <v>8300000</v>
      </c>
      <c r="D38" s="34">
        <v>0</v>
      </c>
      <c r="E38" s="34">
        <v>0</v>
      </c>
      <c r="F38" s="34">
        <v>0</v>
      </c>
      <c r="G38" s="34">
        <v>0</v>
      </c>
      <c r="H38" s="34">
        <v>0</v>
      </c>
      <c r="I38" s="34">
        <v>0</v>
      </c>
      <c r="J38" s="34">
        <v>0</v>
      </c>
      <c r="K38" s="34">
        <v>0</v>
      </c>
      <c r="L38" s="34">
        <v>0</v>
      </c>
      <c r="M38" s="34">
        <v>0</v>
      </c>
      <c r="N38" s="34">
        <f t="shared" si="0"/>
        <v>8300000</v>
      </c>
    </row>
    <row r="39" spans="1:14" ht="15.75">
      <c r="A39" s="295" t="s">
        <v>7269</v>
      </c>
      <c r="B39" s="291" t="s">
        <v>667</v>
      </c>
      <c r="C39" s="34">
        <f>'3.CARRETERAS'!J1654</f>
        <v>85650000</v>
      </c>
      <c r="D39" s="34">
        <f>'4.PUENTES'!J211</f>
        <v>1002177000</v>
      </c>
      <c r="E39" s="34">
        <v>0</v>
      </c>
      <c r="F39" s="34">
        <v>0</v>
      </c>
      <c r="G39" s="34">
        <v>0</v>
      </c>
      <c r="H39" s="34">
        <v>0</v>
      </c>
      <c r="I39" s="34">
        <v>0</v>
      </c>
      <c r="J39" s="34">
        <v>0</v>
      </c>
      <c r="K39" s="34">
        <v>0</v>
      </c>
      <c r="L39" s="34">
        <v>0</v>
      </c>
      <c r="M39" s="34">
        <v>0</v>
      </c>
      <c r="N39" s="34">
        <f t="shared" si="0"/>
        <v>1087827000</v>
      </c>
    </row>
    <row r="40" spans="1:14" ht="15.75" customHeight="1">
      <c r="A40" s="295" t="s">
        <v>7269</v>
      </c>
      <c r="B40" s="291" t="s">
        <v>7258</v>
      </c>
      <c r="C40" s="34">
        <f>'3.CARRETERAS'!J973</f>
        <v>446493000</v>
      </c>
      <c r="D40" s="34">
        <f>'4.PUENTES'!J154</f>
        <v>320000000</v>
      </c>
      <c r="E40" s="34">
        <v>0</v>
      </c>
      <c r="F40" s="34">
        <v>0</v>
      </c>
      <c r="G40" s="34">
        <v>0</v>
      </c>
      <c r="H40" s="34">
        <v>0</v>
      </c>
      <c r="I40" s="34">
        <v>0</v>
      </c>
      <c r="J40" s="34">
        <v>0</v>
      </c>
      <c r="K40" s="34">
        <v>0</v>
      </c>
      <c r="L40" s="34">
        <v>0</v>
      </c>
      <c r="M40" s="34">
        <v>0</v>
      </c>
      <c r="N40" s="34">
        <f t="shared" si="0"/>
        <v>766493000</v>
      </c>
    </row>
    <row r="41" spans="1:14" s="293" customFormat="1" ht="15.75">
      <c r="A41" s="295" t="s">
        <v>7269</v>
      </c>
      <c r="B41" s="291" t="s">
        <v>189</v>
      </c>
      <c r="C41" s="292">
        <f>SUM(C26:C40)</f>
        <v>10503961937.562</v>
      </c>
      <c r="D41" s="292">
        <f t="shared" ref="D41:M41" si="2">SUM(D26:D40)</f>
        <v>6770718012.4899998</v>
      </c>
      <c r="E41" s="292">
        <f t="shared" si="2"/>
        <v>343250000</v>
      </c>
      <c r="F41" s="292">
        <f t="shared" si="2"/>
        <v>452000000</v>
      </c>
      <c r="G41" s="292">
        <f t="shared" si="2"/>
        <v>290000000</v>
      </c>
      <c r="H41" s="292">
        <f t="shared" si="2"/>
        <v>80000000</v>
      </c>
      <c r="I41" s="292">
        <f t="shared" si="2"/>
        <v>356737150.85310763</v>
      </c>
      <c r="J41" s="292">
        <f t="shared" si="2"/>
        <v>0</v>
      </c>
      <c r="K41" s="292">
        <f t="shared" si="2"/>
        <v>11500000</v>
      </c>
      <c r="L41" s="292">
        <f t="shared" si="2"/>
        <v>217023167.22222221</v>
      </c>
      <c r="M41" s="292">
        <f t="shared" si="2"/>
        <v>0</v>
      </c>
      <c r="N41" s="292">
        <f>SUM(N26:N40)</f>
        <v>19025190268.127331</v>
      </c>
    </row>
    <row r="42" spans="1:14" ht="15" customHeight="1">
      <c r="A42" s="368" t="s">
        <v>668</v>
      </c>
      <c r="B42" s="30" t="s">
        <v>669</v>
      </c>
      <c r="C42" s="34">
        <f>'3.CARRETERAS'!J1673</f>
        <v>1891036387.29</v>
      </c>
      <c r="D42" s="34">
        <f>'4.PUENTES'!J217</f>
        <v>407992006.95999998</v>
      </c>
      <c r="E42" s="34">
        <f>'5.ALCANTARILLAS Y VADOS'!K158</f>
        <v>157601764.34</v>
      </c>
      <c r="F42" s="34">
        <f>'6.RIOS Y QUEBRADAS'!J167</f>
        <v>208800000</v>
      </c>
      <c r="G42" s="34">
        <v>0</v>
      </c>
      <c r="H42" s="34">
        <v>0</v>
      </c>
      <c r="I42" s="34">
        <f>'9.SISTEMAS DE AGUA'!I73</f>
        <v>243795218.26825988</v>
      </c>
      <c r="J42" s="34">
        <v>0</v>
      </c>
      <c r="K42" s="34">
        <v>43500000</v>
      </c>
      <c r="L42" s="34">
        <v>140283041.36000001</v>
      </c>
      <c r="M42" s="34">
        <v>0</v>
      </c>
      <c r="N42" s="34">
        <f t="shared" si="0"/>
        <v>3093008418.2182603</v>
      </c>
    </row>
    <row r="43" spans="1:14" ht="15.75">
      <c r="A43" s="368" t="s">
        <v>668</v>
      </c>
      <c r="B43" s="30" t="s">
        <v>670</v>
      </c>
      <c r="C43" s="34">
        <f>'3.CARRETERAS'!J1705</f>
        <v>2683770800</v>
      </c>
      <c r="D43" s="34">
        <v>0</v>
      </c>
      <c r="E43" s="34">
        <v>0</v>
      </c>
      <c r="F43" s="34">
        <f>'6.RIOS Y QUEBRADAS'!J170</f>
        <v>25000000</v>
      </c>
      <c r="G43" s="34">
        <v>0</v>
      </c>
      <c r="H43" s="34">
        <v>0</v>
      </c>
      <c r="I43" s="34">
        <v>0</v>
      </c>
      <c r="J43" s="34">
        <v>0</v>
      </c>
      <c r="K43" s="34">
        <v>0</v>
      </c>
      <c r="L43" s="34">
        <v>5617000</v>
      </c>
      <c r="M43" s="34">
        <v>0</v>
      </c>
      <c r="N43" s="34">
        <f t="shared" si="0"/>
        <v>2714387800</v>
      </c>
    </row>
    <row r="44" spans="1:14" ht="15.75">
      <c r="A44" s="368" t="s">
        <v>668</v>
      </c>
      <c r="B44" s="30" t="s">
        <v>671</v>
      </c>
      <c r="C44" s="34">
        <f>'3.CARRETERAS'!J1724</f>
        <v>10221285000</v>
      </c>
      <c r="D44" s="34">
        <f>'4.PUENTES'!J222</f>
        <v>528000000</v>
      </c>
      <c r="E44" s="34">
        <v>0</v>
      </c>
      <c r="F44" s="34">
        <v>0</v>
      </c>
      <c r="G44" s="34">
        <v>0</v>
      </c>
      <c r="H44" s="34">
        <v>0</v>
      </c>
      <c r="I44" s="34">
        <v>0</v>
      </c>
      <c r="J44" s="34">
        <f>'10.EDIFICIOS PÚBLICOS'!N46</f>
        <v>50000000</v>
      </c>
      <c r="K44" s="34">
        <v>0</v>
      </c>
      <c r="L44" s="34">
        <v>80548250</v>
      </c>
      <c r="M44" s="34">
        <v>0</v>
      </c>
      <c r="N44" s="34">
        <f t="shared" si="0"/>
        <v>10879833250</v>
      </c>
    </row>
    <row r="45" spans="1:14" ht="15.75">
      <c r="A45" s="368" t="s">
        <v>668</v>
      </c>
      <c r="B45" s="30" t="s">
        <v>24982</v>
      </c>
      <c r="C45" s="34">
        <f>'3.CARRETERAS'!J1708</f>
        <v>21926.6</v>
      </c>
      <c r="D45" s="34">
        <v>0</v>
      </c>
      <c r="E45" s="34">
        <v>0</v>
      </c>
      <c r="F45" s="34">
        <v>0</v>
      </c>
      <c r="G45" s="34">
        <v>0</v>
      </c>
      <c r="H45" s="34">
        <v>0</v>
      </c>
      <c r="I45" s="34">
        <v>0</v>
      </c>
      <c r="J45" s="34">
        <v>0</v>
      </c>
      <c r="K45" s="34">
        <v>0</v>
      </c>
      <c r="L45" s="34">
        <v>8983000</v>
      </c>
      <c r="M45" s="34">
        <v>0</v>
      </c>
      <c r="N45" s="34">
        <f t="shared" si="0"/>
        <v>9004926.5999999996</v>
      </c>
    </row>
    <row r="46" spans="1:14" ht="15.75">
      <c r="A46" s="368" t="s">
        <v>668</v>
      </c>
      <c r="B46" s="30" t="s">
        <v>672</v>
      </c>
      <c r="C46" s="34">
        <f>'3.CARRETERAS'!J1761</f>
        <v>1896150000</v>
      </c>
      <c r="D46" s="34">
        <f>'4.PUENTES'!J240</f>
        <v>946000000</v>
      </c>
      <c r="E46" s="34">
        <v>0</v>
      </c>
      <c r="F46" s="34">
        <f>'6.RIOS Y QUEBRADAS'!J176</f>
        <v>510000000</v>
      </c>
      <c r="G46" s="34">
        <v>0</v>
      </c>
      <c r="H46" s="34">
        <f>'8.EDUCACION'!O49</f>
        <v>4300000</v>
      </c>
      <c r="I46" s="34">
        <v>0</v>
      </c>
      <c r="J46" s="34">
        <v>0</v>
      </c>
      <c r="K46" s="34">
        <v>0</v>
      </c>
      <c r="L46" s="34">
        <v>40980000</v>
      </c>
      <c r="M46" s="34">
        <v>0</v>
      </c>
      <c r="N46" s="34">
        <f t="shared" si="0"/>
        <v>3397430000</v>
      </c>
    </row>
    <row r="47" spans="1:14" ht="15.75">
      <c r="A47" s="368" t="s">
        <v>668</v>
      </c>
      <c r="B47" s="30" t="s">
        <v>673</v>
      </c>
      <c r="C47" s="34">
        <f>'3.CARRETERAS'!J1820</f>
        <v>8524669071.420001</v>
      </c>
      <c r="D47" s="34">
        <f>'4.PUENTES'!J252</f>
        <v>1531500000</v>
      </c>
      <c r="E47" s="34">
        <f>'5.ALCANTARILLAS Y VADOS'!K166</f>
        <v>308000000</v>
      </c>
      <c r="F47" s="34">
        <f>'6.RIOS Y QUEBRADAS'!J193</f>
        <v>423558363</v>
      </c>
      <c r="G47" s="34">
        <v>0</v>
      </c>
      <c r="H47" s="34">
        <f>'8.EDUCACION'!O46</f>
        <v>307000000</v>
      </c>
      <c r="I47" s="34">
        <f>'9.SISTEMAS DE AGUA'!I88</f>
        <v>58569199.912762433</v>
      </c>
      <c r="J47" s="34">
        <v>0</v>
      </c>
      <c r="K47" s="34">
        <v>72000000</v>
      </c>
      <c r="L47" s="1220">
        <v>108579908</v>
      </c>
      <c r="M47" s="34">
        <v>74300000</v>
      </c>
      <c r="N47" s="34">
        <f t="shared" si="0"/>
        <v>11408176542.332764</v>
      </c>
    </row>
    <row r="48" spans="1:14" s="293" customFormat="1" ht="15.75">
      <c r="A48" s="368" t="s">
        <v>668</v>
      </c>
      <c r="B48" s="296" t="s">
        <v>91</v>
      </c>
      <c r="C48" s="297">
        <f>SUM(C42:C47)</f>
        <v>25216933185.310001</v>
      </c>
      <c r="D48" s="297">
        <f t="shared" ref="D48:M48" si="3">SUM(D42:D47)</f>
        <v>3413492006.96</v>
      </c>
      <c r="E48" s="297">
        <f t="shared" si="3"/>
        <v>465601764.34000003</v>
      </c>
      <c r="F48" s="297">
        <f t="shared" si="3"/>
        <v>1167358363</v>
      </c>
      <c r="G48" s="297">
        <f t="shared" si="3"/>
        <v>0</v>
      </c>
      <c r="H48" s="297">
        <f t="shared" si="3"/>
        <v>311300000</v>
      </c>
      <c r="I48" s="297">
        <f t="shared" si="3"/>
        <v>302364418.18102229</v>
      </c>
      <c r="J48" s="297">
        <f t="shared" si="3"/>
        <v>50000000</v>
      </c>
      <c r="K48" s="297">
        <f t="shared" si="3"/>
        <v>115500000</v>
      </c>
      <c r="L48" s="297">
        <f t="shared" si="3"/>
        <v>384991199.36000001</v>
      </c>
      <c r="M48" s="297">
        <f t="shared" si="3"/>
        <v>74300000</v>
      </c>
      <c r="N48" s="297">
        <f>SUM(N42:N47)</f>
        <v>31501840937.151024</v>
      </c>
    </row>
    <row r="49" spans="1:14" ht="15.75">
      <c r="A49" s="561" t="s">
        <v>674</v>
      </c>
      <c r="B49" s="31" t="s">
        <v>25350</v>
      </c>
      <c r="C49" s="34">
        <f>'3.CARRETERAS'!J1823</f>
        <v>100000</v>
      </c>
      <c r="D49" s="294">
        <v>0</v>
      </c>
      <c r="E49" s="34">
        <v>0</v>
      </c>
      <c r="F49" s="34">
        <v>0</v>
      </c>
      <c r="G49" s="34">
        <v>0</v>
      </c>
      <c r="H49" s="13">
        <v>0</v>
      </c>
      <c r="I49" s="269">
        <v>0</v>
      </c>
      <c r="J49" s="34">
        <f>'10.EDIFICIOS PÚBLICOS'!N31</f>
        <v>28000000</v>
      </c>
      <c r="K49" s="34">
        <v>0</v>
      </c>
      <c r="L49" s="34">
        <v>44810000</v>
      </c>
      <c r="M49" s="34">
        <v>0</v>
      </c>
      <c r="N49" s="34">
        <f t="shared" si="0"/>
        <v>72910000</v>
      </c>
    </row>
    <row r="50" spans="1:14" ht="15.75">
      <c r="A50" s="561" t="s">
        <v>674</v>
      </c>
      <c r="B50" s="31" t="s">
        <v>25351</v>
      </c>
      <c r="C50" s="34">
        <f>'3.CARRETERAS'!J1826</f>
        <v>800000</v>
      </c>
      <c r="D50" s="294">
        <v>0</v>
      </c>
      <c r="E50" s="34">
        <v>0</v>
      </c>
      <c r="F50" s="34">
        <v>0</v>
      </c>
      <c r="G50" s="34">
        <v>0</v>
      </c>
      <c r="H50" s="13">
        <v>0</v>
      </c>
      <c r="I50" s="269">
        <v>0</v>
      </c>
      <c r="J50" s="34">
        <v>0</v>
      </c>
      <c r="K50" s="34">
        <v>0</v>
      </c>
      <c r="L50" s="34">
        <v>0</v>
      </c>
      <c r="M50" s="34">
        <v>0</v>
      </c>
      <c r="N50" s="34">
        <f t="shared" si="0"/>
        <v>800000</v>
      </c>
    </row>
    <row r="51" spans="1:14" ht="15.75">
      <c r="A51" s="561" t="s">
        <v>674</v>
      </c>
      <c r="B51" s="31" t="s">
        <v>675</v>
      </c>
      <c r="C51" s="34">
        <v>0</v>
      </c>
      <c r="D51" s="294">
        <f>'4.PUENTES'!J255</f>
        <v>170000000</v>
      </c>
      <c r="E51" s="34">
        <v>0</v>
      </c>
      <c r="F51" s="34">
        <v>0</v>
      </c>
      <c r="G51" s="34">
        <v>0</v>
      </c>
      <c r="H51" s="13">
        <v>0</v>
      </c>
      <c r="I51" s="13">
        <v>0</v>
      </c>
      <c r="J51" s="34">
        <v>0</v>
      </c>
      <c r="K51" s="34">
        <v>0</v>
      </c>
      <c r="L51" s="34">
        <v>2299060</v>
      </c>
      <c r="M51" s="34">
        <v>0</v>
      </c>
      <c r="N51" s="34">
        <f t="shared" si="0"/>
        <v>172299060</v>
      </c>
    </row>
    <row r="52" spans="1:14" ht="15.75">
      <c r="A52" s="561" t="s">
        <v>674</v>
      </c>
      <c r="B52" s="31" t="s">
        <v>25352</v>
      </c>
      <c r="C52" s="34">
        <v>0</v>
      </c>
      <c r="D52" s="294">
        <v>0</v>
      </c>
      <c r="E52" s="34">
        <v>0</v>
      </c>
      <c r="F52" s="34">
        <v>0</v>
      </c>
      <c r="G52" s="34">
        <v>0</v>
      </c>
      <c r="H52" s="13">
        <v>0</v>
      </c>
      <c r="I52" s="269">
        <f>'9.SISTEMAS DE AGUA'!I231</f>
        <v>1144000000</v>
      </c>
      <c r="J52" s="34">
        <v>0</v>
      </c>
      <c r="K52" s="34">
        <v>0</v>
      </c>
      <c r="L52" s="34">
        <v>0</v>
      </c>
      <c r="M52" s="34">
        <v>0</v>
      </c>
      <c r="N52" s="34">
        <f t="shared" si="0"/>
        <v>1144000000</v>
      </c>
    </row>
    <row r="53" spans="1:14" ht="15.75">
      <c r="A53" s="561" t="s">
        <v>674</v>
      </c>
      <c r="B53" s="31" t="s">
        <v>189</v>
      </c>
      <c r="C53" s="299">
        <f>SUM(C49:C52)</f>
        <v>900000</v>
      </c>
      <c r="D53" s="299">
        <f t="shared" ref="D53:M53" si="4">SUM(D49:D52)</f>
        <v>170000000</v>
      </c>
      <c r="E53" s="299">
        <f t="shared" si="4"/>
        <v>0</v>
      </c>
      <c r="F53" s="299">
        <f t="shared" si="4"/>
        <v>0</v>
      </c>
      <c r="G53" s="299">
        <f t="shared" si="4"/>
        <v>0</v>
      </c>
      <c r="H53" s="299">
        <f t="shared" si="4"/>
        <v>0</v>
      </c>
      <c r="I53" s="299">
        <f t="shared" si="4"/>
        <v>1144000000</v>
      </c>
      <c r="J53" s="299">
        <f t="shared" si="4"/>
        <v>28000000</v>
      </c>
      <c r="K53" s="299">
        <f t="shared" si="4"/>
        <v>0</v>
      </c>
      <c r="L53" s="299">
        <f t="shared" si="4"/>
        <v>47109060</v>
      </c>
      <c r="M53" s="299">
        <f t="shared" si="4"/>
        <v>0</v>
      </c>
      <c r="N53" s="299">
        <f>SUM(N49:N52)</f>
        <v>1390009060</v>
      </c>
    </row>
    <row r="54" spans="1:14" ht="15.75">
      <c r="A54" s="563" t="s">
        <v>676</v>
      </c>
      <c r="B54" s="32" t="s">
        <v>677</v>
      </c>
      <c r="C54" s="34">
        <f>'3.CARRETERAS'!J1884</f>
        <v>696164077.05999994</v>
      </c>
      <c r="D54" s="34">
        <f>'4.PUENTES'!J264</f>
        <v>663722500</v>
      </c>
      <c r="E54" s="34">
        <f>'5.ALCANTARILLAS Y VADOS'!K173</f>
        <v>48295000</v>
      </c>
      <c r="F54" s="34">
        <v>0</v>
      </c>
      <c r="G54" s="34">
        <v>0</v>
      </c>
      <c r="H54" s="34">
        <f>'8.EDUCACION'!O61</f>
        <v>4300000</v>
      </c>
      <c r="I54" s="34">
        <v>0</v>
      </c>
      <c r="J54" s="34">
        <f>'10.EDIFICIOS PÚBLICOS'!N53</f>
        <v>12000000</v>
      </c>
      <c r="K54" s="34">
        <v>270500000</v>
      </c>
      <c r="L54" s="34">
        <v>49675158</v>
      </c>
      <c r="M54" s="34">
        <v>0</v>
      </c>
      <c r="N54" s="34">
        <f t="shared" si="0"/>
        <v>1744656735.0599999</v>
      </c>
    </row>
    <row r="55" spans="1:14" ht="15.75">
      <c r="A55" s="563" t="s">
        <v>676</v>
      </c>
      <c r="B55" s="32" t="s">
        <v>678</v>
      </c>
      <c r="C55" s="34">
        <f>'3.CARRETERAS'!J1933</f>
        <v>1488786750</v>
      </c>
      <c r="D55" s="34">
        <f>'4.PUENTES'!J271</f>
        <v>790000000</v>
      </c>
      <c r="E55" s="34">
        <f>'5.ALCANTARILLAS Y VADOS'!K176</f>
        <v>22000000</v>
      </c>
      <c r="F55" s="34">
        <f>'6.RIOS Y QUEBRADAS'!J202</f>
        <v>1050700000</v>
      </c>
      <c r="G55" s="34">
        <v>0</v>
      </c>
      <c r="H55" s="34">
        <v>0</v>
      </c>
      <c r="I55" s="34">
        <f>'9.SISTEMAS DE AGUA'!I162</f>
        <v>26767093.562194474</v>
      </c>
      <c r="J55" s="34">
        <f>'10.EDIFICIOS PÚBLICOS'!N56</f>
        <v>85000000</v>
      </c>
      <c r="K55" s="34">
        <v>466500000</v>
      </c>
      <c r="L55" s="1220">
        <v>38652120</v>
      </c>
      <c r="M55" s="34">
        <v>7500000</v>
      </c>
      <c r="N55" s="34">
        <f t="shared" si="0"/>
        <v>3975905963.5621943</v>
      </c>
    </row>
    <row r="56" spans="1:14" ht="15.75">
      <c r="A56" s="563" t="s">
        <v>676</v>
      </c>
      <c r="B56" s="32" t="s">
        <v>679</v>
      </c>
      <c r="C56" s="34">
        <f>'3.CARRETERAS'!J2068</f>
        <v>5469354500</v>
      </c>
      <c r="D56" s="34">
        <f>'4.PUENTES'!J283</f>
        <v>1780500000</v>
      </c>
      <c r="E56" s="34">
        <f>'5.ALCANTARILLAS Y VADOS'!K184</f>
        <v>94000000</v>
      </c>
      <c r="F56" s="34">
        <f>'6.RIOS Y QUEBRADAS'!J221</f>
        <v>1446000000</v>
      </c>
      <c r="G56" s="34">
        <v>0</v>
      </c>
      <c r="H56" s="34">
        <f>'8.EDUCACION'!O64</f>
        <v>30000000</v>
      </c>
      <c r="I56" s="34">
        <f>'9.SISTEMAS DE AGUA'!I208</f>
        <v>86882811.955731452</v>
      </c>
      <c r="J56" s="34">
        <f>'10.EDIFICIOS PÚBLICOS'!N85</f>
        <v>65000000</v>
      </c>
      <c r="K56" s="34">
        <v>68000000</v>
      </c>
      <c r="L56" s="34">
        <v>58549825</v>
      </c>
      <c r="M56" s="34">
        <v>0</v>
      </c>
      <c r="N56" s="34">
        <f t="shared" si="0"/>
        <v>9098287136.9557323</v>
      </c>
    </row>
    <row r="57" spans="1:14" ht="15.75">
      <c r="A57" s="563" t="s">
        <v>676</v>
      </c>
      <c r="B57" s="32" t="s">
        <v>680</v>
      </c>
      <c r="C57" s="34">
        <f>'3.CARRETERAS'!J2095</f>
        <v>1692651000</v>
      </c>
      <c r="D57" s="34">
        <f>'4.PUENTES'!J287</f>
        <v>80000000</v>
      </c>
      <c r="E57" s="34">
        <f>'5.ALCANTARILLAS Y VADOS'!K188</f>
        <v>47000000</v>
      </c>
      <c r="F57" s="34">
        <v>0</v>
      </c>
      <c r="G57" s="34">
        <f>'7.OBRAS CORRECTIVAS'!J132</f>
        <v>111500000</v>
      </c>
      <c r="H57" s="34">
        <v>0</v>
      </c>
      <c r="I57" s="34">
        <f>'9.SISTEMAS DE AGUA'!I223</f>
        <v>55531596.421186261</v>
      </c>
      <c r="J57" s="34">
        <f>'10.EDIFICIOS PÚBLICOS'!N34</f>
        <v>25000000</v>
      </c>
      <c r="K57" s="34">
        <v>703500000</v>
      </c>
      <c r="L57" s="1220">
        <v>361391085</v>
      </c>
      <c r="M57" s="34">
        <v>49188000</v>
      </c>
      <c r="N57" s="34">
        <f t="shared" si="0"/>
        <v>3125761681.4211864</v>
      </c>
    </row>
    <row r="58" spans="1:14" ht="15.75">
      <c r="A58" s="563" t="s">
        <v>676</v>
      </c>
      <c r="B58" s="32" t="s">
        <v>681</v>
      </c>
      <c r="C58" s="34">
        <f>'3.CARRETERAS'!J2153</f>
        <v>1757747500</v>
      </c>
      <c r="D58" s="34">
        <f>'4.PUENTES'!J294</f>
        <v>555000000</v>
      </c>
      <c r="E58" s="34">
        <f>'5.ALCANTARILLAS Y VADOS'!K191</f>
        <v>150000000</v>
      </c>
      <c r="F58" s="34">
        <f>'6.RIOS Y QUEBRADAS'!J233</f>
        <v>603625000</v>
      </c>
      <c r="G58" s="34">
        <v>0</v>
      </c>
      <c r="H58" s="34">
        <f>'8.EDUCACION'!O58</f>
        <v>96000000</v>
      </c>
      <c r="I58" s="34">
        <f>'9.SISTEMAS DE AGUA'!I214</f>
        <v>6346531.6199999992</v>
      </c>
      <c r="J58" s="34">
        <f>'10.EDIFICIOS PÚBLICOS'!N63</f>
        <v>167000000</v>
      </c>
      <c r="K58" s="34">
        <v>105500000</v>
      </c>
      <c r="L58" s="1220">
        <v>20310390</v>
      </c>
      <c r="M58" s="34">
        <v>45000000</v>
      </c>
      <c r="N58" s="34">
        <f t="shared" si="0"/>
        <v>3506529421.6199999</v>
      </c>
    </row>
    <row r="59" spans="1:14" ht="15.75">
      <c r="A59" s="563" t="s">
        <v>676</v>
      </c>
      <c r="B59" s="32" t="s">
        <v>682</v>
      </c>
      <c r="C59" s="34">
        <f>'3.CARRETERAS'!J2233</f>
        <v>2244600000</v>
      </c>
      <c r="D59" s="34">
        <f>'4.PUENTES'!J304</f>
        <v>920500000</v>
      </c>
      <c r="E59" s="34">
        <f>'5.ALCANTARILLAS Y VADOS'!K205</f>
        <v>172250000</v>
      </c>
      <c r="F59" s="34">
        <f>'6.RIOS Y QUEBRADAS'!J243</f>
        <v>1031000000</v>
      </c>
      <c r="G59" s="34">
        <f>'7.OBRAS CORRECTIVAS'!J144</f>
        <v>288287500</v>
      </c>
      <c r="H59" s="34">
        <v>0</v>
      </c>
      <c r="I59" s="34">
        <v>0</v>
      </c>
      <c r="J59" s="34">
        <f>'10.EDIFICIOS PÚBLICOS'!N49</f>
        <v>0</v>
      </c>
      <c r="K59" s="34">
        <v>4937000000</v>
      </c>
      <c r="L59" s="1220">
        <v>75877440</v>
      </c>
      <c r="M59" s="34">
        <v>102000000</v>
      </c>
      <c r="N59" s="34">
        <f t="shared" si="0"/>
        <v>9771514940</v>
      </c>
    </row>
    <row r="60" spans="1:14" ht="15.75">
      <c r="A60" s="563" t="s">
        <v>676</v>
      </c>
      <c r="B60" s="32" t="s">
        <v>4526</v>
      </c>
      <c r="C60" s="34">
        <f>'3.CARRETERAS'!J2263</f>
        <v>80805000</v>
      </c>
      <c r="D60" s="34">
        <f>'4.PUENTES'!J307</f>
        <v>7300000</v>
      </c>
      <c r="E60" s="34">
        <f>'5.ALCANTARILLAS Y VADOS'!K208</f>
        <v>400000</v>
      </c>
      <c r="F60" s="34">
        <v>0</v>
      </c>
      <c r="G60" s="34">
        <f>'7.OBRAS CORRECTIVAS'!J148</f>
        <v>22400000</v>
      </c>
      <c r="H60" s="34">
        <f>'8.EDUCACION'!O55</f>
        <v>294000000</v>
      </c>
      <c r="I60" s="34">
        <f>'9.SISTEMAS DE AGUA'!I166</f>
        <v>71325680.474156752</v>
      </c>
      <c r="J60" s="34">
        <v>0</v>
      </c>
      <c r="K60" s="34">
        <v>306000000</v>
      </c>
      <c r="L60" s="34">
        <v>224100946.40000001</v>
      </c>
      <c r="M60" s="34">
        <v>0</v>
      </c>
      <c r="N60" s="34">
        <f t="shared" si="0"/>
        <v>1006331626.8741567</v>
      </c>
    </row>
    <row r="61" spans="1:14" ht="15.75">
      <c r="A61" s="563" t="s">
        <v>676</v>
      </c>
      <c r="B61" s="32" t="s">
        <v>683</v>
      </c>
      <c r="C61" s="34">
        <f>'3.CARRETERAS'!J2327</f>
        <v>1260090589.5999999</v>
      </c>
      <c r="D61" s="34">
        <f>'4.PUENTES'!J317</f>
        <v>869835767.84000003</v>
      </c>
      <c r="E61" s="34">
        <f>'5.ALCANTARILLAS Y VADOS'!K222</f>
        <v>202057742</v>
      </c>
      <c r="F61" s="34">
        <v>0</v>
      </c>
      <c r="G61" s="34">
        <v>0</v>
      </c>
      <c r="H61" s="34">
        <f>'8.EDUCACION'!O67</f>
        <v>77000000</v>
      </c>
      <c r="I61" s="34">
        <f>'9.SISTEMAS DE AGUA'!I175</f>
        <v>99199344.571409434</v>
      </c>
      <c r="J61" s="34">
        <v>0</v>
      </c>
      <c r="K61" s="34">
        <v>0</v>
      </c>
      <c r="L61" s="34">
        <v>76199188.400000006</v>
      </c>
      <c r="M61" s="34">
        <v>0</v>
      </c>
      <c r="N61" s="34">
        <f t="shared" si="0"/>
        <v>2584382632.4114094</v>
      </c>
    </row>
    <row r="62" spans="1:14" ht="15.75">
      <c r="A62" s="563" t="s">
        <v>676</v>
      </c>
      <c r="B62" s="32" t="s">
        <v>684</v>
      </c>
      <c r="C62" s="34">
        <f>'3.CARRETERAS'!J2508</f>
        <v>2102268500</v>
      </c>
      <c r="D62" s="34">
        <f>'4.PUENTES'!J322</f>
        <v>36000000</v>
      </c>
      <c r="E62" s="34">
        <f>'5.ALCANTARILLAS Y VADOS'!K234</f>
        <v>92150000</v>
      </c>
      <c r="F62" s="34">
        <v>0</v>
      </c>
      <c r="G62" s="34">
        <v>0</v>
      </c>
      <c r="H62" s="34">
        <v>0</v>
      </c>
      <c r="I62" s="34">
        <v>0</v>
      </c>
      <c r="J62" s="34">
        <v>0</v>
      </c>
      <c r="K62" s="34">
        <v>286500000</v>
      </c>
      <c r="L62" s="34">
        <v>19749838</v>
      </c>
      <c r="M62" s="34">
        <v>0</v>
      </c>
      <c r="N62" s="34">
        <f t="shared" si="0"/>
        <v>2536668338</v>
      </c>
    </row>
    <row r="63" spans="1:14" ht="15.75">
      <c r="A63" s="563" t="s">
        <v>676</v>
      </c>
      <c r="B63" s="32" t="s">
        <v>685</v>
      </c>
      <c r="C63" s="34">
        <f>'3.CARRETERAS'!J2513</f>
        <v>233652940.81999999</v>
      </c>
      <c r="D63" s="34">
        <f>'4.PUENTES'!J328</f>
        <v>1037177000</v>
      </c>
      <c r="E63" s="34">
        <f>'5.ALCANTARILLAS Y VADOS'!K238</f>
        <v>190858810</v>
      </c>
      <c r="F63" s="34">
        <v>0</v>
      </c>
      <c r="G63" s="34">
        <v>0</v>
      </c>
      <c r="H63" s="34">
        <v>0</v>
      </c>
      <c r="I63" s="34">
        <f>'9.SISTEMAS DE AGUA'!I122</f>
        <v>98874391.140637815</v>
      </c>
      <c r="J63" s="34">
        <f>'10.EDIFICIOS PÚBLICOS'!N68</f>
        <v>96000000</v>
      </c>
      <c r="K63" s="34">
        <v>245000000</v>
      </c>
      <c r="L63" s="1220">
        <v>79006330</v>
      </c>
      <c r="M63" s="34">
        <v>20800000</v>
      </c>
      <c r="N63" s="34">
        <f t="shared" si="0"/>
        <v>2001369471.9606378</v>
      </c>
    </row>
    <row r="64" spans="1:14" ht="15.75">
      <c r="A64" s="563" t="s">
        <v>676</v>
      </c>
      <c r="B64" s="32" t="s">
        <v>686</v>
      </c>
      <c r="C64" s="34">
        <f>'3.CARRETERAS'!J2544</f>
        <v>841000000</v>
      </c>
      <c r="D64" s="34">
        <f>'4.PUENTES'!J341</f>
        <v>222200000</v>
      </c>
      <c r="E64" s="34">
        <v>0</v>
      </c>
      <c r="F64" s="34">
        <v>0</v>
      </c>
      <c r="G64" s="34">
        <v>0</v>
      </c>
      <c r="H64" s="34">
        <v>0</v>
      </c>
      <c r="I64" s="34">
        <v>0</v>
      </c>
      <c r="J64" s="34">
        <v>0</v>
      </c>
      <c r="K64" s="34">
        <v>75500000</v>
      </c>
      <c r="L64" s="34">
        <v>28911264</v>
      </c>
      <c r="M64" s="34">
        <v>0</v>
      </c>
      <c r="N64" s="34">
        <f t="shared" si="0"/>
        <v>1167611264</v>
      </c>
    </row>
    <row r="65" spans="1:14" ht="15.75">
      <c r="A65" s="563" t="s">
        <v>676</v>
      </c>
      <c r="B65" s="32" t="s">
        <v>189</v>
      </c>
      <c r="C65" s="298">
        <f>SUM(C54:C64)</f>
        <v>17867120857.48</v>
      </c>
      <c r="D65" s="298">
        <f t="shared" ref="D65:M65" si="5">SUM(D54:D64)</f>
        <v>6962235267.8400002</v>
      </c>
      <c r="E65" s="298">
        <f t="shared" si="5"/>
        <v>1019011552</v>
      </c>
      <c r="F65" s="298">
        <f t="shared" si="5"/>
        <v>4131325000</v>
      </c>
      <c r="G65" s="298">
        <f t="shared" si="5"/>
        <v>422187500</v>
      </c>
      <c r="H65" s="298">
        <f t="shared" si="5"/>
        <v>501300000</v>
      </c>
      <c r="I65" s="298">
        <f t="shared" si="5"/>
        <v>444927449.74531621</v>
      </c>
      <c r="J65" s="298">
        <f t="shared" si="5"/>
        <v>450000000</v>
      </c>
      <c r="K65" s="298">
        <f t="shared" si="5"/>
        <v>7464000000</v>
      </c>
      <c r="L65" s="298">
        <f t="shared" si="5"/>
        <v>1032423584.8</v>
      </c>
      <c r="M65" s="298">
        <f t="shared" si="5"/>
        <v>224488000</v>
      </c>
      <c r="N65" s="298">
        <f>SUM(N54:N64)</f>
        <v>40519019211.865318</v>
      </c>
    </row>
    <row r="66" spans="1:14" ht="15.75">
      <c r="A66" s="562" t="s">
        <v>687</v>
      </c>
      <c r="B66" s="33" t="s">
        <v>688</v>
      </c>
      <c r="C66" s="34">
        <f>'3.CARRETERAS'!J2658</f>
        <v>5664696113.1820002</v>
      </c>
      <c r="D66" s="34">
        <f>'4.PUENTES'!J348</f>
        <v>643673256.47500002</v>
      </c>
      <c r="E66" s="34">
        <f>'5.ALCANTARILLAS Y VADOS'!K245</f>
        <v>395485271.01200002</v>
      </c>
      <c r="F66" s="34">
        <f>'6.RIOS Y QUEBRADAS'!J254</f>
        <v>3768219600</v>
      </c>
      <c r="G66" s="34">
        <f>'7.OBRAS CORRECTIVAS'!J153</f>
        <v>185250000</v>
      </c>
      <c r="H66" s="34">
        <f>'8.EDUCACION'!O71</f>
        <v>341000000</v>
      </c>
      <c r="I66" s="34">
        <f>'9.SISTEMAS DE AGUA'!I94</f>
        <v>533414140.14600855</v>
      </c>
      <c r="J66" s="34">
        <f>'10.EDIFICIOS PÚBLICOS'!N78</f>
        <v>66000000</v>
      </c>
      <c r="K66" s="34">
        <v>2511000000</v>
      </c>
      <c r="L66" s="1220">
        <v>181612549.93202612</v>
      </c>
      <c r="M66" s="34">
        <v>25342000</v>
      </c>
      <c r="N66" s="34">
        <f t="shared" si="0"/>
        <v>14315692930.747036</v>
      </c>
    </row>
    <row r="67" spans="1:14" ht="15.75">
      <c r="A67" s="562" t="s">
        <v>687</v>
      </c>
      <c r="B67" s="33" t="s">
        <v>689</v>
      </c>
      <c r="C67" s="34">
        <f>'3.CARRETERAS'!J2675</f>
        <v>204141743.59999999</v>
      </c>
      <c r="D67" s="34">
        <f>'4.PUENTES'!J354</f>
        <v>160000000</v>
      </c>
      <c r="E67" s="34">
        <v>0</v>
      </c>
      <c r="F67" s="34">
        <v>0</v>
      </c>
      <c r="G67" s="34">
        <v>0</v>
      </c>
      <c r="H67" s="34">
        <v>0</v>
      </c>
      <c r="I67" s="34">
        <f>'9.SISTEMAS DE AGUA'!I276</f>
        <v>271700000</v>
      </c>
      <c r="J67" s="34">
        <v>0</v>
      </c>
      <c r="K67" s="34">
        <v>0</v>
      </c>
      <c r="L67" s="34">
        <v>17349300</v>
      </c>
      <c r="M67" s="34">
        <v>0</v>
      </c>
      <c r="N67" s="34">
        <f t="shared" si="0"/>
        <v>653191043.60000002</v>
      </c>
    </row>
    <row r="68" spans="1:14" ht="15.75">
      <c r="A68" s="562" t="s">
        <v>687</v>
      </c>
      <c r="B68" s="33" t="s">
        <v>690</v>
      </c>
      <c r="C68" s="34">
        <f>'3.CARRETERAS'!J2802</f>
        <v>13819820000</v>
      </c>
      <c r="D68" s="34">
        <f>'4.PUENTES'!J416</f>
        <v>15604000000</v>
      </c>
      <c r="E68" s="34">
        <f>'5.ALCANTARILLAS Y VADOS'!K266</f>
        <v>690000000</v>
      </c>
      <c r="F68" s="34">
        <v>0</v>
      </c>
      <c r="G68" s="34">
        <v>0</v>
      </c>
      <c r="H68" s="34">
        <f>'8.EDUCACION'!O94</f>
        <v>616620000</v>
      </c>
      <c r="I68" s="34">
        <f>'9.SISTEMAS DE AGUA'!I159</f>
        <v>612812699.32320786</v>
      </c>
      <c r="J68" s="34">
        <f>'10.EDIFICIOS PÚBLICOS'!N37</f>
        <v>25000000</v>
      </c>
      <c r="K68" s="34">
        <v>2826000000</v>
      </c>
      <c r="L68" s="34">
        <v>1214066500</v>
      </c>
      <c r="M68" s="34">
        <v>0</v>
      </c>
      <c r="N68" s="34">
        <f t="shared" si="0"/>
        <v>35408319199.323212</v>
      </c>
    </row>
    <row r="69" spans="1:14" ht="15.75">
      <c r="A69" s="562" t="s">
        <v>687</v>
      </c>
      <c r="B69" s="33" t="s">
        <v>691</v>
      </c>
      <c r="C69" s="34">
        <f>'3.CARRETERAS'!J2830</f>
        <v>2360672200</v>
      </c>
      <c r="D69" s="34">
        <f>'4.PUENTES'!J427</f>
        <v>910000000</v>
      </c>
      <c r="E69" s="34">
        <f>'5.ALCANTARILLAS Y VADOS'!K276</f>
        <v>15713000</v>
      </c>
      <c r="F69" s="34">
        <v>0</v>
      </c>
      <c r="G69" s="34">
        <v>0</v>
      </c>
      <c r="H69" s="34">
        <f>'8.EDUCACION'!O90</f>
        <v>250000000</v>
      </c>
      <c r="I69" s="34">
        <f>'9.SISTEMAS DE AGUA'!I99</f>
        <v>73171730.178550541</v>
      </c>
      <c r="J69" s="34">
        <v>0</v>
      </c>
      <c r="K69" s="34">
        <v>234000000</v>
      </c>
      <c r="L69" s="34">
        <v>57329848.622222222</v>
      </c>
      <c r="M69" s="34">
        <v>0</v>
      </c>
      <c r="N69" s="34">
        <f t="shared" si="0"/>
        <v>3900886778.8007731</v>
      </c>
    </row>
    <row r="70" spans="1:14" ht="15.75">
      <c r="A70" s="562" t="s">
        <v>687</v>
      </c>
      <c r="B70" s="33" t="s">
        <v>692</v>
      </c>
      <c r="C70" s="34">
        <f>'3.CARRETERAS'!J2891</f>
        <v>9770366103.2342014</v>
      </c>
      <c r="D70" s="34">
        <f>'4.PUENTES'!J453</f>
        <v>4405000000.0000029</v>
      </c>
      <c r="E70" s="34">
        <f>'5.ALCANTARILLAS Y VADOS'!K331</f>
        <v>10254736394</v>
      </c>
      <c r="F70" s="34">
        <f>'6.RIOS Y QUEBRADAS'!J275</f>
        <v>4735200000</v>
      </c>
      <c r="G70" s="34">
        <v>0</v>
      </c>
      <c r="H70" s="34">
        <f>'8.EDUCACION'!O82</f>
        <v>38700000</v>
      </c>
      <c r="I70" s="34">
        <f>'9.SISTEMAS DE AGUA'!I228</f>
        <v>17789200</v>
      </c>
      <c r="J70" s="34">
        <f>'10.EDIFICIOS PÚBLICOS'!N93</f>
        <v>123000000</v>
      </c>
      <c r="K70" s="34">
        <v>2530500000</v>
      </c>
      <c r="L70" s="1220">
        <v>5534423</v>
      </c>
      <c r="M70" s="34">
        <v>7274000</v>
      </c>
      <c r="N70" s="34">
        <f t="shared" si="0"/>
        <v>31888100120.234203</v>
      </c>
    </row>
    <row r="71" spans="1:14" ht="15.75">
      <c r="A71" s="562" t="s">
        <v>687</v>
      </c>
      <c r="B71" s="33" t="s">
        <v>693</v>
      </c>
      <c r="C71" s="34">
        <f>'3.CARRETERAS'!J2924</f>
        <v>6776280500</v>
      </c>
      <c r="D71" s="34">
        <f>'4.PUENTES'!J478</f>
        <v>1615000000</v>
      </c>
      <c r="E71" s="34">
        <f>'5.ALCANTARILLAS Y VADOS'!K341</f>
        <v>190000000</v>
      </c>
      <c r="F71" s="34">
        <f>'6.RIOS Y QUEBRADAS'!J292</f>
        <v>1271785000</v>
      </c>
      <c r="G71" s="34">
        <f>'7.OBRAS CORRECTIVAS'!J157</f>
        <v>450000000</v>
      </c>
      <c r="H71" s="34">
        <v>0</v>
      </c>
      <c r="I71" s="34">
        <f>'9.SISTEMAS DE AGUA'!I114</f>
        <v>252509720.14396584</v>
      </c>
      <c r="J71" s="34">
        <f>'10.EDIFICIOS PÚBLICOS'!N81</f>
        <v>8500000</v>
      </c>
      <c r="K71" s="34">
        <v>413000000</v>
      </c>
      <c r="L71" s="1220">
        <v>45143991.843137257</v>
      </c>
      <c r="M71" s="34">
        <v>97146420</v>
      </c>
      <c r="N71" s="34">
        <f t="shared" ref="N71:N82" si="6">SUM(C71:M71)</f>
        <v>11119365631.987104</v>
      </c>
    </row>
    <row r="72" spans="1:14" ht="15.75">
      <c r="A72" s="562" t="s">
        <v>687</v>
      </c>
      <c r="B72" s="33" t="s">
        <v>694</v>
      </c>
      <c r="C72" s="34">
        <f>'3.CARRETERAS'!J2947</f>
        <v>2487214133.0201001</v>
      </c>
      <c r="D72" s="34">
        <f>'4.PUENTES'!J501</f>
        <v>1038000007.0000002</v>
      </c>
      <c r="E72" s="34">
        <f>'5.ALCANTARILLAS Y VADOS'!K348</f>
        <v>120137731</v>
      </c>
      <c r="F72" s="34">
        <f>'6.RIOS Y QUEBRADAS'!J303</f>
        <v>139000000</v>
      </c>
      <c r="G72" s="34">
        <v>0</v>
      </c>
      <c r="H72" s="34">
        <v>0</v>
      </c>
      <c r="I72" s="34">
        <f>'9.SISTEMAS DE AGUA'!I220</f>
        <v>210912475.25373054</v>
      </c>
      <c r="J72" s="34">
        <f>'10.EDIFICIOS PÚBLICOS'!N89</f>
        <v>59500000</v>
      </c>
      <c r="K72" s="34">
        <v>0</v>
      </c>
      <c r="L72" s="34">
        <v>0</v>
      </c>
      <c r="M72" s="34">
        <v>9200000</v>
      </c>
      <c r="N72" s="34">
        <f t="shared" si="6"/>
        <v>4063964346.2738314</v>
      </c>
    </row>
    <row r="73" spans="1:14" ht="15.75">
      <c r="A73" s="562" t="s">
        <v>687</v>
      </c>
      <c r="B73" s="33" t="s">
        <v>695</v>
      </c>
      <c r="C73" s="34">
        <f>'3.CARRETERAS'!J2966</f>
        <v>3577149326.5999999</v>
      </c>
      <c r="D73" s="34">
        <f>'4.PUENTES'!J507</f>
        <v>635800000</v>
      </c>
      <c r="E73" s="34">
        <f>'5.ALCANTARILLAS Y VADOS'!K356</f>
        <v>127293407.84615386</v>
      </c>
      <c r="F73" s="34">
        <v>0</v>
      </c>
      <c r="G73" s="34">
        <v>0</v>
      </c>
      <c r="H73" s="34">
        <v>0</v>
      </c>
      <c r="I73" s="34">
        <f>'9.SISTEMAS DE AGUA'!I280</f>
        <v>486200000</v>
      </c>
      <c r="J73" s="34">
        <v>0</v>
      </c>
      <c r="K73" s="34">
        <v>157000000</v>
      </c>
      <c r="L73" s="34">
        <v>0</v>
      </c>
      <c r="M73" s="34">
        <v>0</v>
      </c>
      <c r="N73" s="34">
        <f t="shared" si="6"/>
        <v>4983442734.4461536</v>
      </c>
    </row>
    <row r="74" spans="1:14" ht="15.75">
      <c r="A74" s="562" t="s">
        <v>687</v>
      </c>
      <c r="B74" s="33" t="s">
        <v>696</v>
      </c>
      <c r="C74" s="34">
        <f>'3.CARRETERAS'!J2982</f>
        <v>2012000000</v>
      </c>
      <c r="D74" s="34">
        <v>0</v>
      </c>
      <c r="E74" s="34">
        <f>'5.ALCANTARILLAS Y VADOS'!K360</f>
        <v>18000000</v>
      </c>
      <c r="F74" s="34">
        <f>'6.RIOS Y QUEBRADAS'!J342</f>
        <v>4245200000</v>
      </c>
      <c r="G74" s="34">
        <v>0</v>
      </c>
      <c r="H74" s="34">
        <f>'8.EDUCACION'!O87</f>
        <v>824000000</v>
      </c>
      <c r="I74" s="34">
        <f>'9.SISTEMAS DE AGUA'!I106</f>
        <v>252091547.8075138</v>
      </c>
      <c r="J74" s="34">
        <v>0</v>
      </c>
      <c r="K74" s="34">
        <v>370000000</v>
      </c>
      <c r="L74" s="34">
        <v>347612002.33333331</v>
      </c>
      <c r="M74" s="34">
        <v>0</v>
      </c>
      <c r="N74" s="34">
        <f t="shared" si="6"/>
        <v>8068903550.1408472</v>
      </c>
    </row>
    <row r="75" spans="1:14" ht="15.75">
      <c r="A75" s="562" t="s">
        <v>687</v>
      </c>
      <c r="B75" s="33" t="s">
        <v>697</v>
      </c>
      <c r="C75" s="34">
        <f>'3.CARRETERAS'!J3153</f>
        <v>8058581416.7363997</v>
      </c>
      <c r="D75" s="34">
        <f>'4.PUENTES'!J520</f>
        <v>2400830010</v>
      </c>
      <c r="E75" s="34">
        <f>'5.ALCANTARILLAS Y VADOS'!K369</f>
        <v>327943565.12</v>
      </c>
      <c r="F75" s="34">
        <v>0</v>
      </c>
      <c r="G75" s="34">
        <v>0</v>
      </c>
      <c r="H75" s="34">
        <v>0</v>
      </c>
      <c r="I75" s="34">
        <v>0</v>
      </c>
      <c r="J75" s="34">
        <v>0</v>
      </c>
      <c r="K75" s="34">
        <v>0</v>
      </c>
      <c r="L75" s="34">
        <v>0</v>
      </c>
      <c r="M75" s="34">
        <v>0</v>
      </c>
      <c r="N75" s="34">
        <f t="shared" si="6"/>
        <v>10787354991.856401</v>
      </c>
    </row>
    <row r="76" spans="1:14" ht="15.75">
      <c r="A76" s="562" t="s">
        <v>687</v>
      </c>
      <c r="B76" s="33" t="s">
        <v>698</v>
      </c>
      <c r="C76" s="34">
        <f>'3.CARRETERAS'!J3171</f>
        <v>1583500000</v>
      </c>
      <c r="D76" s="34">
        <f>'4.PUENTES'!J533</f>
        <v>733550000</v>
      </c>
      <c r="E76" s="34">
        <f>'5.ALCANTARILLAS Y VADOS'!K381</f>
        <v>773000000</v>
      </c>
      <c r="F76" s="34">
        <f>'6.RIOS Y QUEBRADAS'!J359</f>
        <v>5305000000</v>
      </c>
      <c r="G76" s="34">
        <f>'7.OBRAS CORRECTIVAS'!J174</f>
        <v>5305000000</v>
      </c>
      <c r="H76" s="34">
        <v>0</v>
      </c>
      <c r="I76" s="34">
        <f>'9.SISTEMAS DE AGUA'!I264</f>
        <v>29295266</v>
      </c>
      <c r="J76" s="34">
        <f>'10.EDIFICIOS PÚBLICOS'!N72</f>
        <v>24000000</v>
      </c>
      <c r="K76" s="34">
        <v>0</v>
      </c>
      <c r="L76" s="34">
        <v>12227274.117647059</v>
      </c>
      <c r="M76" s="34">
        <v>0</v>
      </c>
      <c r="N76" s="34">
        <f t="shared" si="6"/>
        <v>13765572540.117647</v>
      </c>
    </row>
    <row r="77" spans="1:14" ht="15.75">
      <c r="A77" s="562" t="s">
        <v>687</v>
      </c>
      <c r="B77" s="33" t="s">
        <v>7265</v>
      </c>
      <c r="C77" s="34">
        <f>'3.CARRETERAS'!J3219</f>
        <v>350000000</v>
      </c>
      <c r="D77" s="34">
        <f>'4.PUENTES'!J557</f>
        <v>310000000</v>
      </c>
      <c r="E77" s="34">
        <v>0</v>
      </c>
      <c r="F77" s="34">
        <f>'6.RIOS Y QUEBRADAS'!J381</f>
        <v>845000000</v>
      </c>
      <c r="G77" s="34">
        <v>0</v>
      </c>
      <c r="H77" s="34">
        <v>0</v>
      </c>
      <c r="I77" s="34">
        <f>'9.SISTEMAS DE AGUA'!I211</f>
        <v>34917854.399999999</v>
      </c>
      <c r="J77" s="34">
        <v>0</v>
      </c>
      <c r="K77" s="34">
        <v>0</v>
      </c>
      <c r="L77" s="34">
        <v>0</v>
      </c>
      <c r="M77" s="34">
        <v>0</v>
      </c>
      <c r="N77" s="34">
        <f t="shared" si="6"/>
        <v>1539917854.4000001</v>
      </c>
    </row>
    <row r="78" spans="1:14" ht="15.75">
      <c r="A78" s="562" t="s">
        <v>687</v>
      </c>
      <c r="B78" s="33" t="s">
        <v>7266</v>
      </c>
      <c r="C78" s="34">
        <v>0</v>
      </c>
      <c r="D78" s="34">
        <f>'4.PUENTES'!J543</f>
        <v>30000000</v>
      </c>
      <c r="E78" s="34">
        <f>'5.ALCANTARILLAS Y VADOS'!K407</f>
        <v>187000000</v>
      </c>
      <c r="F78" s="34">
        <v>0</v>
      </c>
      <c r="G78" s="34">
        <f>'7.OBRAS CORRECTIVAS'!J182</f>
        <v>183840000</v>
      </c>
      <c r="H78" s="34">
        <v>0</v>
      </c>
      <c r="I78" s="34">
        <f>'9.SISTEMAS DE AGUA'!I102</f>
        <v>4219653.9624838969</v>
      </c>
      <c r="J78" s="34">
        <v>0</v>
      </c>
      <c r="K78" s="34">
        <v>0</v>
      </c>
      <c r="L78" s="34">
        <v>0</v>
      </c>
      <c r="M78" s="34">
        <v>0</v>
      </c>
      <c r="N78" s="34">
        <f t="shared" si="6"/>
        <v>405059653.96248388</v>
      </c>
    </row>
    <row r="79" spans="1:14" ht="15.75">
      <c r="A79" s="562" t="s">
        <v>687</v>
      </c>
      <c r="B79" s="33" t="s">
        <v>7267</v>
      </c>
      <c r="C79" s="34">
        <f>'3.CARRETERAS'!J3205</f>
        <v>188880000</v>
      </c>
      <c r="D79" s="34">
        <f>'4.PUENTES'!J548</f>
        <v>34000000</v>
      </c>
      <c r="E79" s="34">
        <f>'5.ALCANTARILLAS Y VADOS'!K417</f>
        <v>71100000</v>
      </c>
      <c r="F79" s="34">
        <f>'6.RIOS Y QUEBRADAS'!J367</f>
        <v>16437000</v>
      </c>
      <c r="G79" s="34">
        <v>0</v>
      </c>
      <c r="H79" s="34">
        <v>0</v>
      </c>
      <c r="I79" s="34">
        <v>0</v>
      </c>
      <c r="J79" s="34">
        <v>0</v>
      </c>
      <c r="K79" s="34">
        <v>0</v>
      </c>
      <c r="L79" s="34">
        <v>0</v>
      </c>
      <c r="M79" s="34">
        <v>0</v>
      </c>
      <c r="N79" s="34">
        <f t="shared" si="6"/>
        <v>310417000</v>
      </c>
    </row>
    <row r="80" spans="1:14" ht="15.75">
      <c r="A80" s="562" t="s">
        <v>687</v>
      </c>
      <c r="B80" s="33" t="s">
        <v>7268</v>
      </c>
      <c r="C80" s="34">
        <f>'3.CARRETERAS'!J3193</f>
        <v>179642325</v>
      </c>
      <c r="D80" s="34">
        <f>'4.PUENTES'!J537</f>
        <v>200000000</v>
      </c>
      <c r="E80" s="34">
        <v>0</v>
      </c>
      <c r="F80" s="34">
        <v>0</v>
      </c>
      <c r="G80" s="34">
        <v>0</v>
      </c>
      <c r="H80" s="34">
        <v>0</v>
      </c>
      <c r="I80" s="34">
        <v>0</v>
      </c>
      <c r="J80" s="34">
        <v>0</v>
      </c>
      <c r="K80" s="34">
        <v>0</v>
      </c>
      <c r="L80" s="34">
        <v>0</v>
      </c>
      <c r="M80" s="34">
        <v>0</v>
      </c>
      <c r="N80" s="34">
        <f t="shared" si="6"/>
        <v>379642325</v>
      </c>
    </row>
    <row r="81" spans="1:14">
      <c r="A81" s="562" t="s">
        <v>687</v>
      </c>
      <c r="B81" s="33" t="s">
        <v>189</v>
      </c>
      <c r="C81" s="306">
        <f>SUM(C66:C80)</f>
        <v>57032943861.372704</v>
      </c>
      <c r="D81" s="306">
        <f t="shared" ref="D81:M81" si="7">SUM(D66:D80)</f>
        <v>28719853273.475002</v>
      </c>
      <c r="E81" s="306">
        <f t="shared" si="7"/>
        <v>13170409368.978155</v>
      </c>
      <c r="F81" s="306">
        <f t="shared" si="7"/>
        <v>20325841600</v>
      </c>
      <c r="G81" s="306">
        <f t="shared" si="7"/>
        <v>6124090000</v>
      </c>
      <c r="H81" s="306">
        <f t="shared" si="7"/>
        <v>2070320000</v>
      </c>
      <c r="I81" s="306">
        <f t="shared" si="7"/>
        <v>2779034287.2154613</v>
      </c>
      <c r="J81" s="306">
        <f t="shared" si="7"/>
        <v>306000000</v>
      </c>
      <c r="K81" s="306">
        <f t="shared" si="7"/>
        <v>9041500000</v>
      </c>
      <c r="L81" s="306">
        <f t="shared" si="7"/>
        <v>1880875889.848366</v>
      </c>
      <c r="M81" s="306">
        <f t="shared" si="7"/>
        <v>138962420</v>
      </c>
      <c r="N81" s="306">
        <f>SUM(N66:N80)</f>
        <v>141589830700.88971</v>
      </c>
    </row>
    <row r="82" spans="1:14" s="308" customFormat="1" ht="21">
      <c r="A82" s="1009" t="s">
        <v>91</v>
      </c>
      <c r="B82" s="1010"/>
      <c r="C82" s="307">
        <f>C81+C65+C53+C48+C41+C25</f>
        <v>156198955652.35266</v>
      </c>
      <c r="D82" s="307">
        <f t="shared" ref="D82:M82" si="8">D81+D65+D53+D48+D41+D25</f>
        <v>59687942359.882729</v>
      </c>
      <c r="E82" s="307">
        <f t="shared" si="8"/>
        <v>20388696178.583862</v>
      </c>
      <c r="F82" s="307">
        <f t="shared" si="8"/>
        <v>35226839963</v>
      </c>
      <c r="G82" s="307">
        <f t="shared" si="8"/>
        <v>11420394700</v>
      </c>
      <c r="H82" s="307">
        <f t="shared" si="8"/>
        <v>4303293034</v>
      </c>
      <c r="I82" s="1222">
        <f t="shared" si="8"/>
        <v>10367309196.056152</v>
      </c>
      <c r="J82" s="307">
        <f t="shared" si="8"/>
        <v>1459000000</v>
      </c>
      <c r="K82" s="307">
        <f t="shared" si="8"/>
        <v>21529000000</v>
      </c>
      <c r="L82" s="307">
        <f t="shared" si="8"/>
        <v>5419690878.6535435</v>
      </c>
      <c r="M82" s="307">
        <f t="shared" si="8"/>
        <v>840870420</v>
      </c>
      <c r="N82" s="307">
        <f t="shared" si="6"/>
        <v>326841992382.52893</v>
      </c>
    </row>
    <row r="83" spans="1:14">
      <c r="I83" s="1221"/>
      <c r="N83" s="53"/>
    </row>
    <row r="84" spans="1:14">
      <c r="E84" s="1221"/>
      <c r="I84" s="53"/>
      <c r="N84" s="53"/>
    </row>
  </sheetData>
  <mergeCells count="4">
    <mergeCell ref="A82:B82"/>
    <mergeCell ref="A2:N2"/>
    <mergeCell ref="A3:N3"/>
    <mergeCell ref="A4:N4"/>
  </mergeCells>
  <printOptions horizontalCentered="1" verticalCentered="1"/>
  <pageMargins left="0.23622047244094491" right="0.23622047244094491" top="0.74803149606299213" bottom="0.74803149606299213" header="0.31496062992125984" footer="0.31496062992125984"/>
  <pageSetup scale="30"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pageSetUpPr fitToPage="1"/>
  </sheetPr>
  <dimension ref="A1:Q2501"/>
  <sheetViews>
    <sheetView topLeftCell="A2472" zoomScale="52" zoomScaleNormal="52" workbookViewId="0">
      <selection activeCell="R2497" sqref="R2497"/>
    </sheetView>
  </sheetViews>
  <sheetFormatPr baseColWidth="10" defaultColWidth="11.42578125" defaultRowHeight="12.75"/>
  <cols>
    <col min="1" max="1" width="35.140625" style="111" customWidth="1"/>
    <col min="2" max="2" width="23" style="111" bestFit="1" customWidth="1"/>
    <col min="3" max="3" width="34.140625" style="111" bestFit="1" customWidth="1"/>
    <col min="4" max="4" width="19.28515625" style="111" customWidth="1"/>
    <col min="5" max="5" width="36.140625" style="111" bestFit="1" customWidth="1"/>
    <col min="6" max="6" width="13" style="111" customWidth="1"/>
    <col min="7" max="7" width="33.7109375" style="111" customWidth="1"/>
    <col min="8" max="8" width="7.85546875" style="111" customWidth="1"/>
    <col min="9" max="9" width="13.140625" style="111" customWidth="1"/>
    <col min="10" max="10" width="15.42578125" style="111" customWidth="1"/>
    <col min="11" max="11" width="26.42578125" style="111" customWidth="1"/>
    <col min="12" max="12" width="21.85546875" style="111" customWidth="1"/>
    <col min="13" max="13" width="11.28515625" style="111" customWidth="1"/>
    <col min="14" max="14" width="14" style="111" customWidth="1"/>
    <col min="15" max="15" width="15.42578125" style="111" customWidth="1"/>
    <col min="16" max="16" width="18" style="111" customWidth="1"/>
    <col min="17" max="17" width="13.5703125" style="111" customWidth="1"/>
    <col min="18" max="16384" width="11.42578125" style="111"/>
  </cols>
  <sheetData>
    <row r="1" spans="1:17" ht="26.25">
      <c r="A1" s="1185" t="s">
        <v>10384</v>
      </c>
      <c r="B1" s="1185"/>
      <c r="C1" s="1185"/>
      <c r="D1" s="1185"/>
      <c r="E1" s="1185"/>
      <c r="F1" s="1185"/>
      <c r="G1" s="1185"/>
      <c r="H1" s="1185"/>
      <c r="I1" s="1185"/>
      <c r="J1" s="1185"/>
      <c r="K1" s="1185"/>
      <c r="L1" s="1185"/>
      <c r="M1" s="1185"/>
      <c r="N1" s="1185"/>
      <c r="O1" s="1185"/>
      <c r="P1" s="1185"/>
    </row>
    <row r="2" spans="1:17" ht="26.25">
      <c r="A2" s="1185" t="s">
        <v>3739</v>
      </c>
      <c r="B2" s="1185"/>
      <c r="C2" s="1185"/>
      <c r="D2" s="1185"/>
      <c r="E2" s="1185"/>
      <c r="F2" s="1185"/>
      <c r="G2" s="1185"/>
      <c r="H2" s="1185"/>
      <c r="I2" s="1185"/>
      <c r="J2" s="1185"/>
      <c r="K2" s="1185"/>
      <c r="L2" s="1185"/>
      <c r="M2" s="1185"/>
      <c r="N2" s="1185"/>
      <c r="O2" s="1185"/>
      <c r="P2" s="1185"/>
    </row>
    <row r="3" spans="1:17" ht="27" thickBot="1">
      <c r="A3" s="1186" t="s">
        <v>10385</v>
      </c>
      <c r="B3" s="1186"/>
      <c r="C3" s="1186"/>
      <c r="D3" s="1186"/>
      <c r="E3" s="1186"/>
      <c r="F3" s="1186"/>
      <c r="G3" s="1186"/>
      <c r="H3" s="1186"/>
      <c r="I3" s="1186"/>
      <c r="J3" s="1186"/>
      <c r="K3" s="1186"/>
      <c r="L3" s="1186"/>
      <c r="M3" s="1186"/>
      <c r="N3" s="1186"/>
      <c r="O3" s="1186"/>
      <c r="P3" s="1186"/>
      <c r="Q3" s="340"/>
    </row>
    <row r="4" spans="1:17" ht="64.5" customHeight="1" thickBot="1">
      <c r="A4" s="1187" t="s">
        <v>10386</v>
      </c>
      <c r="B4" s="1188"/>
      <c r="C4" s="1188"/>
      <c r="D4" s="1188"/>
      <c r="E4" s="1188"/>
      <c r="F4" s="1188"/>
      <c r="G4" s="1188"/>
      <c r="H4" s="1188"/>
      <c r="I4" s="1189"/>
      <c r="J4" s="1189"/>
      <c r="K4" s="1189"/>
      <c r="L4" s="1190"/>
      <c r="M4" s="1191" t="s">
        <v>10387</v>
      </c>
      <c r="N4" s="1192"/>
      <c r="O4" s="1192"/>
      <c r="P4" s="1193"/>
    </row>
    <row r="5" spans="1:17" ht="16.5" thickBot="1">
      <c r="A5" s="342"/>
      <c r="B5" s="342"/>
      <c r="C5" s="342"/>
      <c r="D5" s="342"/>
      <c r="E5" s="342"/>
      <c r="F5" s="342"/>
      <c r="G5" s="342"/>
      <c r="H5" s="342"/>
      <c r="I5" s="342"/>
      <c r="J5" s="342"/>
      <c r="K5" s="342"/>
    </row>
    <row r="6" spans="1:17" ht="28.5" customHeight="1">
      <c r="A6" s="1181" t="s">
        <v>99</v>
      </c>
      <c r="B6" s="1182"/>
      <c r="C6" s="1182"/>
      <c r="D6" s="803" t="s">
        <v>100</v>
      </c>
      <c r="E6" s="803" t="s">
        <v>101</v>
      </c>
      <c r="F6" s="1182" t="s">
        <v>10388</v>
      </c>
      <c r="G6" s="1183"/>
      <c r="H6" s="803" t="s">
        <v>47</v>
      </c>
      <c r="I6" s="803" t="s">
        <v>47</v>
      </c>
      <c r="J6" s="803" t="s">
        <v>48</v>
      </c>
      <c r="K6" s="803" t="s">
        <v>102</v>
      </c>
      <c r="L6" s="1182" t="s">
        <v>10389</v>
      </c>
      <c r="M6" s="1183"/>
      <c r="N6" s="1183"/>
      <c r="O6" s="1183"/>
      <c r="P6" s="1184"/>
    </row>
    <row r="7" spans="1:17" ht="28.5">
      <c r="A7" s="804" t="s">
        <v>103</v>
      </c>
      <c r="B7" s="798" t="s">
        <v>55</v>
      </c>
      <c r="C7" s="799" t="s">
        <v>1</v>
      </c>
      <c r="D7" s="797" t="s">
        <v>104</v>
      </c>
      <c r="E7" s="797" t="s">
        <v>105</v>
      </c>
      <c r="F7" s="797" t="s">
        <v>49</v>
      </c>
      <c r="G7" s="797" t="s">
        <v>10390</v>
      </c>
      <c r="H7" s="797" t="s">
        <v>50</v>
      </c>
      <c r="I7" s="797" t="s">
        <v>51</v>
      </c>
      <c r="J7" s="797" t="s">
        <v>32</v>
      </c>
      <c r="K7" s="797" t="s">
        <v>106</v>
      </c>
      <c r="L7" s="1166" t="s">
        <v>10391</v>
      </c>
      <c r="M7" s="1167"/>
      <c r="N7" s="798" t="s">
        <v>52</v>
      </c>
      <c r="O7" s="797" t="s">
        <v>53</v>
      </c>
      <c r="P7" s="805" t="s">
        <v>54</v>
      </c>
    </row>
    <row r="8" spans="1:17" s="341" customFormat="1" ht="25.5">
      <c r="A8" s="806" t="s">
        <v>10392</v>
      </c>
      <c r="B8" s="800" t="s">
        <v>10392</v>
      </c>
      <c r="C8" s="800" t="s">
        <v>10392</v>
      </c>
      <c r="D8" s="800" t="s">
        <v>10393</v>
      </c>
      <c r="E8" s="801">
        <v>43070</v>
      </c>
      <c r="F8" s="800" t="s">
        <v>10394</v>
      </c>
      <c r="G8" s="800" t="s">
        <v>10395</v>
      </c>
      <c r="H8" s="800" t="s">
        <v>10396</v>
      </c>
      <c r="I8" s="800" t="s">
        <v>10396</v>
      </c>
      <c r="J8" s="800" t="s">
        <v>10397</v>
      </c>
      <c r="K8" s="800">
        <v>1</v>
      </c>
      <c r="L8" s="802" t="s">
        <v>10398</v>
      </c>
      <c r="M8" s="802" t="s">
        <v>10399</v>
      </c>
      <c r="N8" s="802" t="s">
        <v>10400</v>
      </c>
      <c r="O8" s="802" t="s">
        <v>10401</v>
      </c>
      <c r="P8" s="807" t="s">
        <v>10402</v>
      </c>
    </row>
    <row r="9" spans="1:17" s="341" customFormat="1" ht="25.5" customHeight="1">
      <c r="A9" s="806" t="s">
        <v>10392</v>
      </c>
      <c r="B9" s="800" t="s">
        <v>10392</v>
      </c>
      <c r="C9" s="800" t="s">
        <v>10392</v>
      </c>
      <c r="D9" s="800" t="s">
        <v>10403</v>
      </c>
      <c r="E9" s="801">
        <v>43019</v>
      </c>
      <c r="F9" s="800" t="s">
        <v>32</v>
      </c>
      <c r="G9" s="800" t="s">
        <v>32</v>
      </c>
      <c r="H9" s="800" t="s">
        <v>10404</v>
      </c>
      <c r="I9" s="800" t="s">
        <v>10404</v>
      </c>
      <c r="J9" s="800" t="s">
        <v>10405</v>
      </c>
      <c r="K9" s="800">
        <v>1</v>
      </c>
      <c r="L9" s="802" t="s">
        <v>10398</v>
      </c>
      <c r="M9" s="802" t="s">
        <v>10406</v>
      </c>
      <c r="N9" s="802" t="s">
        <v>10407</v>
      </c>
      <c r="O9" s="802" t="s">
        <v>10408</v>
      </c>
      <c r="P9" s="807" t="s">
        <v>32</v>
      </c>
    </row>
    <row r="10" spans="1:17" s="341" customFormat="1" ht="25.5" customHeight="1">
      <c r="A10" s="806" t="s">
        <v>6473</v>
      </c>
      <c r="B10" s="800" t="s">
        <v>4358</v>
      </c>
      <c r="C10" s="800" t="s">
        <v>2595</v>
      </c>
      <c r="D10" s="800" t="s">
        <v>10409</v>
      </c>
      <c r="E10" s="801">
        <v>43049</v>
      </c>
      <c r="F10" s="800" t="s">
        <v>10410</v>
      </c>
      <c r="G10" s="800" t="s">
        <v>10411</v>
      </c>
      <c r="H10" s="800" t="s">
        <v>10404</v>
      </c>
      <c r="I10" s="800" t="s">
        <v>10404</v>
      </c>
      <c r="J10" s="800" t="s">
        <v>10405</v>
      </c>
      <c r="K10" s="800">
        <v>1</v>
      </c>
      <c r="L10" s="802" t="s">
        <v>10398</v>
      </c>
      <c r="M10" s="802" t="s">
        <v>10412</v>
      </c>
      <c r="N10" s="802" t="s">
        <v>10413</v>
      </c>
      <c r="O10" s="802" t="s">
        <v>10414</v>
      </c>
      <c r="P10" s="807" t="s">
        <v>10415</v>
      </c>
    </row>
    <row r="11" spans="1:17" s="341" customFormat="1" ht="25.5" customHeight="1">
      <c r="A11" s="806" t="s">
        <v>6473</v>
      </c>
      <c r="B11" s="800" t="s">
        <v>4358</v>
      </c>
      <c r="C11" s="800" t="s">
        <v>2595</v>
      </c>
      <c r="D11" s="800" t="s">
        <v>10416</v>
      </c>
      <c r="E11" s="801">
        <v>43049</v>
      </c>
      <c r="F11" s="800" t="s">
        <v>10417</v>
      </c>
      <c r="G11" s="800" t="s">
        <v>10418</v>
      </c>
      <c r="H11" s="800" t="s">
        <v>10404</v>
      </c>
      <c r="I11" s="800" t="s">
        <v>10404</v>
      </c>
      <c r="J11" s="800" t="s">
        <v>10405</v>
      </c>
      <c r="K11" s="800">
        <v>1</v>
      </c>
      <c r="L11" s="802" t="s">
        <v>10398</v>
      </c>
      <c r="M11" s="802" t="s">
        <v>10419</v>
      </c>
      <c r="N11" s="802" t="s">
        <v>10420</v>
      </c>
      <c r="O11" s="802" t="s">
        <v>10421</v>
      </c>
      <c r="P11" s="807" t="s">
        <v>10422</v>
      </c>
    </row>
    <row r="12" spans="1:17" s="341" customFormat="1" ht="25.5" customHeight="1">
      <c r="A12" s="806" t="s">
        <v>6473</v>
      </c>
      <c r="B12" s="800" t="s">
        <v>4358</v>
      </c>
      <c r="C12" s="800" t="s">
        <v>2595</v>
      </c>
      <c r="D12" s="800" t="s">
        <v>10423</v>
      </c>
      <c r="E12" s="801">
        <v>43044</v>
      </c>
      <c r="F12" s="800" t="s">
        <v>10424</v>
      </c>
      <c r="G12" s="800" t="s">
        <v>10425</v>
      </c>
      <c r="H12" s="800" t="s">
        <v>10404</v>
      </c>
      <c r="I12" s="800" t="s">
        <v>10404</v>
      </c>
      <c r="J12" s="800" t="s">
        <v>10426</v>
      </c>
      <c r="K12" s="800">
        <v>1</v>
      </c>
      <c r="L12" s="802" t="s">
        <v>10398</v>
      </c>
      <c r="M12" s="802" t="s">
        <v>10427</v>
      </c>
      <c r="N12" s="802" t="s">
        <v>10428</v>
      </c>
      <c r="O12" s="802" t="s">
        <v>10429</v>
      </c>
      <c r="P12" s="807" t="s">
        <v>10430</v>
      </c>
    </row>
    <row r="13" spans="1:17" s="341" customFormat="1" ht="25.5" customHeight="1">
      <c r="A13" s="806" t="s">
        <v>6473</v>
      </c>
      <c r="B13" s="800" t="s">
        <v>4358</v>
      </c>
      <c r="C13" s="800" t="s">
        <v>2595</v>
      </c>
      <c r="D13" s="800" t="s">
        <v>10431</v>
      </c>
      <c r="E13" s="801">
        <v>43044</v>
      </c>
      <c r="F13" s="800" t="s">
        <v>32</v>
      </c>
      <c r="G13" s="800" t="s">
        <v>10432</v>
      </c>
      <c r="H13" s="800" t="s">
        <v>10433</v>
      </c>
      <c r="I13" s="800" t="s">
        <v>10433</v>
      </c>
      <c r="J13" s="800" t="s">
        <v>10426</v>
      </c>
      <c r="K13" s="800">
        <v>1</v>
      </c>
      <c r="L13" s="802" t="s">
        <v>10398</v>
      </c>
      <c r="M13" s="802" t="s">
        <v>10434</v>
      </c>
      <c r="N13" s="802" t="s">
        <v>10435</v>
      </c>
      <c r="O13" s="802" t="s">
        <v>10436</v>
      </c>
      <c r="P13" s="807" t="s">
        <v>10437</v>
      </c>
    </row>
    <row r="14" spans="1:17" s="341" customFormat="1" ht="15" customHeight="1">
      <c r="A14" s="806" t="s">
        <v>6473</v>
      </c>
      <c r="B14" s="800" t="s">
        <v>4358</v>
      </c>
      <c r="C14" s="800" t="s">
        <v>2595</v>
      </c>
      <c r="D14" s="800" t="s">
        <v>10438</v>
      </c>
      <c r="E14" s="801">
        <v>43044</v>
      </c>
      <c r="F14" s="800" t="s">
        <v>10439</v>
      </c>
      <c r="G14" s="800" t="s">
        <v>10440</v>
      </c>
      <c r="H14" s="800" t="s">
        <v>10404</v>
      </c>
      <c r="I14" s="800" t="s">
        <v>10404</v>
      </c>
      <c r="J14" s="800" t="s">
        <v>10426</v>
      </c>
      <c r="K14" s="800">
        <v>1</v>
      </c>
      <c r="L14" s="802" t="s">
        <v>10398</v>
      </c>
      <c r="M14" s="802" t="s">
        <v>10441</v>
      </c>
      <c r="N14" s="802" t="s">
        <v>10442</v>
      </c>
      <c r="O14" s="802" t="s">
        <v>10443</v>
      </c>
      <c r="P14" s="807" t="s">
        <v>10444</v>
      </c>
    </row>
    <row r="15" spans="1:17" s="341" customFormat="1" ht="15" customHeight="1">
      <c r="A15" s="806" t="s">
        <v>6473</v>
      </c>
      <c r="B15" s="800" t="s">
        <v>4358</v>
      </c>
      <c r="C15" s="800" t="s">
        <v>2595</v>
      </c>
      <c r="D15" s="800" t="s">
        <v>10445</v>
      </c>
      <c r="E15" s="801">
        <v>43044</v>
      </c>
      <c r="F15" s="800" t="s">
        <v>32</v>
      </c>
      <c r="G15" s="800" t="s">
        <v>10446</v>
      </c>
      <c r="H15" s="800" t="s">
        <v>10404</v>
      </c>
      <c r="I15" s="800" t="s">
        <v>10404</v>
      </c>
      <c r="J15" s="800" t="s">
        <v>10447</v>
      </c>
      <c r="K15" s="800">
        <v>1</v>
      </c>
      <c r="L15" s="802" t="s">
        <v>10398</v>
      </c>
      <c r="M15" s="802" t="s">
        <v>10448</v>
      </c>
      <c r="N15" s="802" t="s">
        <v>10449</v>
      </c>
      <c r="O15" s="802" t="s">
        <v>10450</v>
      </c>
      <c r="P15" s="807" t="s">
        <v>10451</v>
      </c>
    </row>
    <row r="16" spans="1:17" s="341" customFormat="1" ht="25.5" customHeight="1">
      <c r="A16" s="806" t="s">
        <v>6473</v>
      </c>
      <c r="B16" s="800" t="s">
        <v>4358</v>
      </c>
      <c r="C16" s="800" t="s">
        <v>2595</v>
      </c>
      <c r="D16" s="800" t="s">
        <v>10452</v>
      </c>
      <c r="E16" s="801">
        <v>40882</v>
      </c>
      <c r="F16" s="800" t="s">
        <v>32</v>
      </c>
      <c r="G16" s="800" t="s">
        <v>10453</v>
      </c>
      <c r="H16" s="800" t="s">
        <v>10404</v>
      </c>
      <c r="I16" s="800" t="s">
        <v>10404</v>
      </c>
      <c r="J16" s="800" t="s">
        <v>10405</v>
      </c>
      <c r="K16" s="800">
        <v>1</v>
      </c>
      <c r="L16" s="802" t="s">
        <v>10398</v>
      </c>
      <c r="M16" s="802" t="s">
        <v>10454</v>
      </c>
      <c r="N16" s="802" t="s">
        <v>10455</v>
      </c>
      <c r="O16" s="802" t="s">
        <v>10456</v>
      </c>
      <c r="P16" s="807" t="s">
        <v>10457</v>
      </c>
    </row>
    <row r="17" spans="1:16" s="341" customFormat="1" ht="25.5" customHeight="1">
      <c r="A17" s="806" t="s">
        <v>6473</v>
      </c>
      <c r="B17" s="800" t="s">
        <v>4358</v>
      </c>
      <c r="C17" s="800" t="s">
        <v>2598</v>
      </c>
      <c r="D17" s="800" t="s">
        <v>10458</v>
      </c>
      <c r="E17" s="801">
        <v>43049</v>
      </c>
      <c r="F17" s="800" t="s">
        <v>10459</v>
      </c>
      <c r="G17" s="800" t="s">
        <v>10460</v>
      </c>
      <c r="H17" s="800" t="s">
        <v>10433</v>
      </c>
      <c r="I17" s="800" t="s">
        <v>10433</v>
      </c>
      <c r="J17" s="800" t="s">
        <v>10447</v>
      </c>
      <c r="K17" s="800">
        <v>1</v>
      </c>
      <c r="L17" s="802" t="s">
        <v>10398</v>
      </c>
      <c r="M17" s="802" t="s">
        <v>10461</v>
      </c>
      <c r="N17" s="802" t="s">
        <v>10462</v>
      </c>
      <c r="O17" s="802" t="s">
        <v>10463</v>
      </c>
      <c r="P17" s="807" t="s">
        <v>10464</v>
      </c>
    </row>
    <row r="18" spans="1:16" s="341" customFormat="1" ht="25.5" customHeight="1">
      <c r="A18" s="806" t="s">
        <v>6473</v>
      </c>
      <c r="B18" s="800" t="s">
        <v>4358</v>
      </c>
      <c r="C18" s="800" t="s">
        <v>2598</v>
      </c>
      <c r="D18" s="800" t="s">
        <v>10465</v>
      </c>
      <c r="E18" s="801">
        <v>43049</v>
      </c>
      <c r="F18" s="800" t="s">
        <v>10459</v>
      </c>
      <c r="G18" s="800" t="s">
        <v>10466</v>
      </c>
      <c r="H18" s="800" t="s">
        <v>10433</v>
      </c>
      <c r="I18" s="800" t="s">
        <v>10433</v>
      </c>
      <c r="J18" s="800" t="s">
        <v>10397</v>
      </c>
      <c r="K18" s="800">
        <v>1</v>
      </c>
      <c r="L18" s="802" t="s">
        <v>10398</v>
      </c>
      <c r="M18" s="802" t="s">
        <v>10467</v>
      </c>
      <c r="N18" s="802" t="s">
        <v>10468</v>
      </c>
      <c r="O18" s="802" t="s">
        <v>10463</v>
      </c>
      <c r="P18" s="807" t="s">
        <v>10469</v>
      </c>
    </row>
    <row r="19" spans="1:16" s="341" customFormat="1" ht="25.5" customHeight="1">
      <c r="A19" s="806" t="s">
        <v>6473</v>
      </c>
      <c r="B19" s="800" t="s">
        <v>4358</v>
      </c>
      <c r="C19" s="800" t="s">
        <v>2598</v>
      </c>
      <c r="D19" s="800" t="s">
        <v>10470</v>
      </c>
      <c r="E19" s="801">
        <v>43049</v>
      </c>
      <c r="F19" s="800" t="s">
        <v>10459</v>
      </c>
      <c r="G19" s="800" t="s">
        <v>10471</v>
      </c>
      <c r="H19" s="800" t="s">
        <v>10404</v>
      </c>
      <c r="I19" s="800" t="s">
        <v>10404</v>
      </c>
      <c r="J19" s="800" t="s">
        <v>10405</v>
      </c>
      <c r="K19" s="800">
        <v>1</v>
      </c>
      <c r="L19" s="802" t="s">
        <v>10398</v>
      </c>
      <c r="M19" s="802" t="s">
        <v>10472</v>
      </c>
      <c r="N19" s="802" t="s">
        <v>10473</v>
      </c>
      <c r="O19" s="802" t="s">
        <v>10474</v>
      </c>
      <c r="P19" s="807" t="s">
        <v>10475</v>
      </c>
    </row>
    <row r="20" spans="1:16" s="341" customFormat="1" ht="25.5" customHeight="1">
      <c r="A20" s="806" t="s">
        <v>6473</v>
      </c>
      <c r="B20" s="800" t="s">
        <v>4358</v>
      </c>
      <c r="C20" s="800" t="s">
        <v>2505</v>
      </c>
      <c r="D20" s="800" t="s">
        <v>10476</v>
      </c>
      <c r="E20" s="801">
        <v>43017</v>
      </c>
      <c r="F20" s="800" t="s">
        <v>10477</v>
      </c>
      <c r="G20" s="800" t="s">
        <v>10478</v>
      </c>
      <c r="H20" s="800" t="s">
        <v>10404</v>
      </c>
      <c r="I20" s="800" t="s">
        <v>10404</v>
      </c>
      <c r="J20" s="800" t="s">
        <v>10405</v>
      </c>
      <c r="K20" s="800">
        <v>1</v>
      </c>
      <c r="L20" s="802"/>
      <c r="M20" s="802"/>
      <c r="N20" s="802"/>
      <c r="O20" s="802"/>
      <c r="P20" s="807" t="s">
        <v>10479</v>
      </c>
    </row>
    <row r="21" spans="1:16" s="341" customFormat="1" ht="25.5" customHeight="1">
      <c r="A21" s="806" t="s">
        <v>6473</v>
      </c>
      <c r="B21" s="800" t="s">
        <v>4358</v>
      </c>
      <c r="C21" s="800" t="s">
        <v>2505</v>
      </c>
      <c r="D21" s="800" t="s">
        <v>10480</v>
      </c>
      <c r="E21" s="801">
        <v>43035</v>
      </c>
      <c r="F21" s="800" t="s">
        <v>10481</v>
      </c>
      <c r="G21" s="800" t="s">
        <v>10482</v>
      </c>
      <c r="H21" s="800" t="s">
        <v>10404</v>
      </c>
      <c r="I21" s="800" t="s">
        <v>10404</v>
      </c>
      <c r="J21" s="800" t="s">
        <v>10447</v>
      </c>
      <c r="K21" s="800">
        <v>1</v>
      </c>
      <c r="L21" s="802" t="s">
        <v>10398</v>
      </c>
      <c r="M21" s="802" t="s">
        <v>10483</v>
      </c>
      <c r="N21" s="802" t="s">
        <v>10484</v>
      </c>
      <c r="O21" s="802" t="s">
        <v>10485</v>
      </c>
      <c r="P21" s="807" t="s">
        <v>10486</v>
      </c>
    </row>
    <row r="22" spans="1:16" s="341" customFormat="1" ht="25.5" customHeight="1">
      <c r="A22" s="806" t="s">
        <v>6473</v>
      </c>
      <c r="B22" s="800" t="s">
        <v>4358</v>
      </c>
      <c r="C22" s="800" t="s">
        <v>2505</v>
      </c>
      <c r="D22" s="800" t="s">
        <v>10487</v>
      </c>
      <c r="E22" s="801">
        <v>43035</v>
      </c>
      <c r="F22" s="800" t="s">
        <v>10481</v>
      </c>
      <c r="G22" s="800" t="s">
        <v>10488</v>
      </c>
      <c r="H22" s="800" t="s">
        <v>10404</v>
      </c>
      <c r="I22" s="800" t="s">
        <v>10404</v>
      </c>
      <c r="J22" s="800" t="s">
        <v>10447</v>
      </c>
      <c r="K22" s="800">
        <v>1</v>
      </c>
      <c r="L22" s="802" t="s">
        <v>10398</v>
      </c>
      <c r="M22" s="802" t="s">
        <v>10489</v>
      </c>
      <c r="N22" s="802" t="s">
        <v>10490</v>
      </c>
      <c r="O22" s="802" t="s">
        <v>10491</v>
      </c>
      <c r="P22" s="807" t="s">
        <v>10492</v>
      </c>
    </row>
    <row r="23" spans="1:16" s="341" customFormat="1" ht="25.5" customHeight="1">
      <c r="A23" s="806" t="s">
        <v>6473</v>
      </c>
      <c r="B23" s="800" t="s">
        <v>4358</v>
      </c>
      <c r="C23" s="800" t="s">
        <v>2505</v>
      </c>
      <c r="D23" s="800" t="s">
        <v>10493</v>
      </c>
      <c r="E23" s="801">
        <v>43035</v>
      </c>
      <c r="F23" s="800" t="s">
        <v>10481</v>
      </c>
      <c r="G23" s="800" t="s">
        <v>10494</v>
      </c>
      <c r="H23" s="800" t="s">
        <v>10404</v>
      </c>
      <c r="I23" s="800" t="s">
        <v>10404</v>
      </c>
      <c r="J23" s="800" t="s">
        <v>10447</v>
      </c>
      <c r="K23" s="800">
        <v>1</v>
      </c>
      <c r="L23" s="802" t="s">
        <v>10398</v>
      </c>
      <c r="M23" s="802" t="s">
        <v>10495</v>
      </c>
      <c r="N23" s="802" t="s">
        <v>10496</v>
      </c>
      <c r="O23" s="802" t="s">
        <v>10485</v>
      </c>
      <c r="P23" s="807" t="s">
        <v>10497</v>
      </c>
    </row>
    <row r="24" spans="1:16" s="341" customFormat="1" ht="25.5" customHeight="1">
      <c r="A24" s="806" t="s">
        <v>6473</v>
      </c>
      <c r="B24" s="800" t="s">
        <v>4358</v>
      </c>
      <c r="C24" s="800" t="s">
        <v>2505</v>
      </c>
      <c r="D24" s="800" t="s">
        <v>10498</v>
      </c>
      <c r="E24" s="801">
        <v>43035</v>
      </c>
      <c r="F24" s="800" t="s">
        <v>10499</v>
      </c>
      <c r="G24" s="800" t="s">
        <v>10500</v>
      </c>
      <c r="H24" s="800" t="s">
        <v>10404</v>
      </c>
      <c r="I24" s="800" t="s">
        <v>10404</v>
      </c>
      <c r="J24" s="800" t="s">
        <v>10405</v>
      </c>
      <c r="K24" s="800">
        <v>1</v>
      </c>
      <c r="L24" s="802" t="s">
        <v>10398</v>
      </c>
      <c r="M24" s="802" t="s">
        <v>10501</v>
      </c>
      <c r="N24" s="802" t="s">
        <v>10502</v>
      </c>
      <c r="O24" s="802" t="s">
        <v>10503</v>
      </c>
      <c r="P24" s="807" t="s">
        <v>10504</v>
      </c>
    </row>
    <row r="25" spans="1:16" s="341" customFormat="1" ht="25.5" customHeight="1">
      <c r="A25" s="806" t="s">
        <v>6473</v>
      </c>
      <c r="B25" s="800" t="s">
        <v>4358</v>
      </c>
      <c r="C25" s="800" t="s">
        <v>2505</v>
      </c>
      <c r="D25" s="800" t="s">
        <v>10505</v>
      </c>
      <c r="E25" s="801">
        <v>43035</v>
      </c>
      <c r="F25" s="800" t="s">
        <v>10499</v>
      </c>
      <c r="G25" s="800" t="s">
        <v>10506</v>
      </c>
      <c r="H25" s="800" t="s">
        <v>10404</v>
      </c>
      <c r="I25" s="800" t="s">
        <v>10404</v>
      </c>
      <c r="J25" s="800" t="s">
        <v>10405</v>
      </c>
      <c r="K25" s="800">
        <v>1</v>
      </c>
      <c r="L25" s="802" t="s">
        <v>10398</v>
      </c>
      <c r="M25" s="802" t="s">
        <v>10507</v>
      </c>
      <c r="N25" s="802" t="s">
        <v>10508</v>
      </c>
      <c r="O25" s="802" t="s">
        <v>10509</v>
      </c>
      <c r="P25" s="807" t="s">
        <v>10510</v>
      </c>
    </row>
    <row r="26" spans="1:16" s="341" customFormat="1" ht="25.5" customHeight="1">
      <c r="A26" s="806" t="s">
        <v>6473</v>
      </c>
      <c r="B26" s="800" t="s">
        <v>4358</v>
      </c>
      <c r="C26" s="800" t="s">
        <v>2505</v>
      </c>
      <c r="D26" s="800" t="s">
        <v>10511</v>
      </c>
      <c r="E26" s="801">
        <v>43035</v>
      </c>
      <c r="F26" s="800" t="s">
        <v>10499</v>
      </c>
      <c r="G26" s="800" t="s">
        <v>10512</v>
      </c>
      <c r="H26" s="800" t="s">
        <v>10404</v>
      </c>
      <c r="I26" s="800" t="s">
        <v>10404</v>
      </c>
      <c r="J26" s="800" t="s">
        <v>10447</v>
      </c>
      <c r="K26" s="800">
        <v>1</v>
      </c>
      <c r="L26" s="802" t="s">
        <v>10398</v>
      </c>
      <c r="M26" s="802" t="s">
        <v>10513</v>
      </c>
      <c r="N26" s="802" t="s">
        <v>10514</v>
      </c>
      <c r="O26" s="802" t="s">
        <v>10515</v>
      </c>
      <c r="P26" s="807" t="s">
        <v>10516</v>
      </c>
    </row>
    <row r="27" spans="1:16" s="341" customFormat="1" ht="25.5" customHeight="1">
      <c r="A27" s="806" t="s">
        <v>6473</v>
      </c>
      <c r="B27" s="800" t="s">
        <v>4358</v>
      </c>
      <c r="C27" s="800" t="s">
        <v>2505</v>
      </c>
      <c r="D27" s="800" t="s">
        <v>10517</v>
      </c>
      <c r="E27" s="801">
        <v>43035</v>
      </c>
      <c r="F27" s="800" t="s">
        <v>10499</v>
      </c>
      <c r="G27" s="800" t="s">
        <v>10518</v>
      </c>
      <c r="H27" s="800" t="s">
        <v>10404</v>
      </c>
      <c r="I27" s="800" t="s">
        <v>10404</v>
      </c>
      <c r="J27" s="800" t="s">
        <v>10447</v>
      </c>
      <c r="K27" s="800">
        <v>1</v>
      </c>
      <c r="L27" s="802" t="s">
        <v>10398</v>
      </c>
      <c r="M27" s="802" t="s">
        <v>10519</v>
      </c>
      <c r="N27" s="802" t="s">
        <v>10520</v>
      </c>
      <c r="O27" s="802" t="s">
        <v>10521</v>
      </c>
      <c r="P27" s="807" t="s">
        <v>10522</v>
      </c>
    </row>
    <row r="28" spans="1:16" s="341" customFormat="1" ht="25.5" customHeight="1">
      <c r="A28" s="806" t="s">
        <v>6473</v>
      </c>
      <c r="B28" s="800" t="s">
        <v>4358</v>
      </c>
      <c r="C28" s="800" t="s">
        <v>2505</v>
      </c>
      <c r="D28" s="800" t="s">
        <v>10523</v>
      </c>
      <c r="E28" s="801">
        <v>43035</v>
      </c>
      <c r="F28" s="800" t="s">
        <v>10499</v>
      </c>
      <c r="G28" s="800" t="s">
        <v>10524</v>
      </c>
      <c r="H28" s="800" t="s">
        <v>10404</v>
      </c>
      <c r="I28" s="800" t="s">
        <v>10404</v>
      </c>
      <c r="J28" s="800" t="s">
        <v>10447</v>
      </c>
      <c r="K28" s="800">
        <v>1</v>
      </c>
      <c r="L28" s="802" t="s">
        <v>10398</v>
      </c>
      <c r="M28" s="802" t="s">
        <v>10525</v>
      </c>
      <c r="N28" s="802" t="s">
        <v>10526</v>
      </c>
      <c r="O28" s="802" t="s">
        <v>10527</v>
      </c>
      <c r="P28" s="807" t="s">
        <v>10528</v>
      </c>
    </row>
    <row r="29" spans="1:16" s="341" customFormat="1" ht="25.5" customHeight="1">
      <c r="A29" s="806" t="s">
        <v>6473</v>
      </c>
      <c r="B29" s="800" t="s">
        <v>4358</v>
      </c>
      <c r="C29" s="800" t="s">
        <v>2505</v>
      </c>
      <c r="D29" s="800" t="s">
        <v>10529</v>
      </c>
      <c r="E29" s="801">
        <v>43035</v>
      </c>
      <c r="F29" s="800" t="s">
        <v>10499</v>
      </c>
      <c r="G29" s="800" t="s">
        <v>10530</v>
      </c>
      <c r="H29" s="800" t="s">
        <v>10531</v>
      </c>
      <c r="I29" s="800" t="s">
        <v>10531</v>
      </c>
      <c r="J29" s="800" t="s">
        <v>10447</v>
      </c>
      <c r="K29" s="800">
        <v>1</v>
      </c>
      <c r="L29" s="802" t="s">
        <v>10398</v>
      </c>
      <c r="M29" s="802" t="s">
        <v>10532</v>
      </c>
      <c r="N29" s="802" t="s">
        <v>10533</v>
      </c>
      <c r="O29" s="802" t="s">
        <v>10534</v>
      </c>
      <c r="P29" s="807" t="s">
        <v>10535</v>
      </c>
    </row>
    <row r="30" spans="1:16" s="341" customFormat="1" ht="38.25" customHeight="1">
      <c r="A30" s="806" t="s">
        <v>6473</v>
      </c>
      <c r="B30" s="800" t="s">
        <v>4358</v>
      </c>
      <c r="C30" s="800" t="s">
        <v>2505</v>
      </c>
      <c r="D30" s="800" t="s">
        <v>10536</v>
      </c>
      <c r="E30" s="801">
        <v>43035</v>
      </c>
      <c r="F30" s="800" t="s">
        <v>10499</v>
      </c>
      <c r="G30" s="800" t="s">
        <v>10537</v>
      </c>
      <c r="H30" s="800" t="s">
        <v>10404</v>
      </c>
      <c r="I30" s="800" t="s">
        <v>10404</v>
      </c>
      <c r="J30" s="800" t="s">
        <v>10447</v>
      </c>
      <c r="K30" s="800">
        <v>1</v>
      </c>
      <c r="L30" s="802" t="s">
        <v>10398</v>
      </c>
      <c r="M30" s="802" t="s">
        <v>10538</v>
      </c>
      <c r="N30" s="802" t="s">
        <v>10539</v>
      </c>
      <c r="O30" s="802" t="s">
        <v>10509</v>
      </c>
      <c r="P30" s="807" t="s">
        <v>10540</v>
      </c>
    </row>
    <row r="31" spans="1:16" s="341" customFormat="1" ht="38.25" customHeight="1">
      <c r="A31" s="806" t="s">
        <v>6473</v>
      </c>
      <c r="B31" s="800" t="s">
        <v>4358</v>
      </c>
      <c r="C31" s="800" t="s">
        <v>2505</v>
      </c>
      <c r="D31" s="800" t="s">
        <v>10541</v>
      </c>
      <c r="E31" s="801">
        <v>43035</v>
      </c>
      <c r="F31" s="800" t="s">
        <v>10499</v>
      </c>
      <c r="G31" s="800" t="s">
        <v>10537</v>
      </c>
      <c r="H31" s="800" t="s">
        <v>10404</v>
      </c>
      <c r="I31" s="800" t="s">
        <v>10404</v>
      </c>
      <c r="J31" s="800" t="s">
        <v>10447</v>
      </c>
      <c r="K31" s="800">
        <v>1</v>
      </c>
      <c r="L31" s="802" t="s">
        <v>10398</v>
      </c>
      <c r="M31" s="802" t="s">
        <v>10542</v>
      </c>
      <c r="N31" s="802" t="s">
        <v>10543</v>
      </c>
      <c r="O31" s="802" t="s">
        <v>10509</v>
      </c>
      <c r="P31" s="807" t="s">
        <v>10544</v>
      </c>
    </row>
    <row r="32" spans="1:16" s="341" customFormat="1" ht="25.5" customHeight="1">
      <c r="A32" s="806" t="s">
        <v>6473</v>
      </c>
      <c r="B32" s="800" t="s">
        <v>4358</v>
      </c>
      <c r="C32" s="800" t="s">
        <v>2505</v>
      </c>
      <c r="D32" s="800" t="s">
        <v>10545</v>
      </c>
      <c r="E32" s="801">
        <v>43035</v>
      </c>
      <c r="F32" s="800" t="s">
        <v>10499</v>
      </c>
      <c r="G32" s="800" t="s">
        <v>10537</v>
      </c>
      <c r="H32" s="800" t="s">
        <v>10531</v>
      </c>
      <c r="I32" s="800" t="s">
        <v>10531</v>
      </c>
      <c r="J32" s="800" t="s">
        <v>10447</v>
      </c>
      <c r="K32" s="800">
        <v>1</v>
      </c>
      <c r="L32" s="802" t="s">
        <v>10398</v>
      </c>
      <c r="M32" s="802" t="s">
        <v>10546</v>
      </c>
      <c r="N32" s="802" t="s">
        <v>10547</v>
      </c>
      <c r="O32" s="802" t="s">
        <v>10515</v>
      </c>
      <c r="P32" s="807" t="s">
        <v>10548</v>
      </c>
    </row>
    <row r="33" spans="1:16" s="341" customFormat="1" ht="25.5" customHeight="1">
      <c r="A33" s="806" t="s">
        <v>6473</v>
      </c>
      <c r="B33" s="800" t="s">
        <v>4358</v>
      </c>
      <c r="C33" s="800" t="s">
        <v>2505</v>
      </c>
      <c r="D33" s="800" t="s">
        <v>10549</v>
      </c>
      <c r="E33" s="801">
        <v>43041</v>
      </c>
      <c r="F33" s="800" t="s">
        <v>10550</v>
      </c>
      <c r="G33" s="800" t="s">
        <v>10551</v>
      </c>
      <c r="H33" s="800" t="s">
        <v>10404</v>
      </c>
      <c r="I33" s="800" t="s">
        <v>10404</v>
      </c>
      <c r="J33" s="800" t="s">
        <v>10397</v>
      </c>
      <c r="K33" s="800">
        <v>1</v>
      </c>
      <c r="L33" s="802" t="s">
        <v>10398</v>
      </c>
      <c r="M33" s="802" t="s">
        <v>10552</v>
      </c>
      <c r="N33" s="802" t="s">
        <v>10553</v>
      </c>
      <c r="O33" s="802" t="s">
        <v>10554</v>
      </c>
      <c r="P33" s="807" t="s">
        <v>10555</v>
      </c>
    </row>
    <row r="34" spans="1:16" s="341" customFormat="1" ht="25.5" customHeight="1">
      <c r="A34" s="806" t="s">
        <v>6473</v>
      </c>
      <c r="B34" s="800" t="s">
        <v>4358</v>
      </c>
      <c r="C34" s="800" t="s">
        <v>2505</v>
      </c>
      <c r="D34" s="800" t="s">
        <v>10556</v>
      </c>
      <c r="E34" s="801">
        <v>43021</v>
      </c>
      <c r="F34" s="800" t="s">
        <v>10557</v>
      </c>
      <c r="G34" s="800" t="s">
        <v>32</v>
      </c>
      <c r="H34" s="800" t="s">
        <v>10404</v>
      </c>
      <c r="I34" s="800" t="s">
        <v>10404</v>
      </c>
      <c r="J34" s="800" t="s">
        <v>10405</v>
      </c>
      <c r="K34" s="800">
        <v>1</v>
      </c>
      <c r="L34" s="802" t="s">
        <v>10398</v>
      </c>
      <c r="M34" s="802" t="s">
        <v>10558</v>
      </c>
      <c r="N34" s="802" t="s">
        <v>10559</v>
      </c>
      <c r="O34" s="802" t="s">
        <v>10560</v>
      </c>
      <c r="P34" s="807" t="s">
        <v>10561</v>
      </c>
    </row>
    <row r="35" spans="1:16" s="341" customFormat="1" ht="25.5" customHeight="1">
      <c r="A35" s="806" t="s">
        <v>6473</v>
      </c>
      <c r="B35" s="800" t="s">
        <v>4358</v>
      </c>
      <c r="C35" s="800" t="s">
        <v>2505</v>
      </c>
      <c r="D35" s="800" t="s">
        <v>10562</v>
      </c>
      <c r="E35" s="801">
        <v>43009</v>
      </c>
      <c r="F35" s="800" t="s">
        <v>10481</v>
      </c>
      <c r="G35" s="800" t="s">
        <v>10563</v>
      </c>
      <c r="H35" s="800" t="s">
        <v>10404</v>
      </c>
      <c r="I35" s="800" t="s">
        <v>10404</v>
      </c>
      <c r="J35" s="800" t="s">
        <v>10405</v>
      </c>
      <c r="K35" s="800">
        <v>1</v>
      </c>
      <c r="L35" s="802" t="s">
        <v>10398</v>
      </c>
      <c r="M35" s="802" t="s">
        <v>10564</v>
      </c>
      <c r="N35" s="802" t="s">
        <v>10565</v>
      </c>
      <c r="O35" s="802" t="s">
        <v>10485</v>
      </c>
      <c r="P35" s="807" t="s">
        <v>10566</v>
      </c>
    </row>
    <row r="36" spans="1:16" s="341" customFormat="1" ht="15" customHeight="1">
      <c r="A36" s="806" t="s">
        <v>6473</v>
      </c>
      <c r="B36" s="800" t="s">
        <v>4358</v>
      </c>
      <c r="C36" s="800" t="s">
        <v>2505</v>
      </c>
      <c r="D36" s="800" t="s">
        <v>10567</v>
      </c>
      <c r="E36" s="801">
        <v>43042</v>
      </c>
      <c r="F36" s="800" t="s">
        <v>10568</v>
      </c>
      <c r="G36" s="800" t="s">
        <v>10569</v>
      </c>
      <c r="H36" s="800" t="s">
        <v>10404</v>
      </c>
      <c r="I36" s="800" t="s">
        <v>10404</v>
      </c>
      <c r="J36" s="800" t="s">
        <v>10447</v>
      </c>
      <c r="K36" s="800">
        <v>1</v>
      </c>
      <c r="L36" s="802" t="s">
        <v>10398</v>
      </c>
      <c r="M36" s="802" t="s">
        <v>10570</v>
      </c>
      <c r="N36" s="802" t="s">
        <v>10571</v>
      </c>
      <c r="O36" s="802" t="s">
        <v>10572</v>
      </c>
      <c r="P36" s="807" t="s">
        <v>10573</v>
      </c>
    </row>
    <row r="37" spans="1:16" s="341" customFormat="1" ht="25.5" customHeight="1">
      <c r="A37" s="806" t="s">
        <v>6473</v>
      </c>
      <c r="B37" s="800" t="s">
        <v>4358</v>
      </c>
      <c r="C37" s="800" t="s">
        <v>2505</v>
      </c>
      <c r="D37" s="800" t="s">
        <v>10574</v>
      </c>
      <c r="E37" s="801">
        <v>43042</v>
      </c>
      <c r="F37" s="800" t="s">
        <v>10568</v>
      </c>
      <c r="G37" s="800" t="s">
        <v>10575</v>
      </c>
      <c r="H37" s="800" t="s">
        <v>10404</v>
      </c>
      <c r="I37" s="800" t="s">
        <v>10404</v>
      </c>
      <c r="J37" s="800" t="s">
        <v>10447</v>
      </c>
      <c r="K37" s="800">
        <v>1</v>
      </c>
      <c r="L37" s="802" t="s">
        <v>10398</v>
      </c>
      <c r="M37" s="802" t="s">
        <v>10576</v>
      </c>
      <c r="N37" s="802" t="s">
        <v>10577</v>
      </c>
      <c r="O37" s="802" t="s">
        <v>10572</v>
      </c>
      <c r="P37" s="807" t="s">
        <v>10573</v>
      </c>
    </row>
    <row r="38" spans="1:16" s="341" customFormat="1" ht="25.5" customHeight="1">
      <c r="A38" s="806" t="s">
        <v>6473</v>
      </c>
      <c r="B38" s="800" t="s">
        <v>4358</v>
      </c>
      <c r="C38" s="800" t="s">
        <v>2505</v>
      </c>
      <c r="D38" s="800" t="s">
        <v>10578</v>
      </c>
      <c r="E38" s="801">
        <v>43042</v>
      </c>
      <c r="F38" s="800" t="s">
        <v>10579</v>
      </c>
      <c r="G38" s="800" t="s">
        <v>10580</v>
      </c>
      <c r="H38" s="800" t="s">
        <v>10404</v>
      </c>
      <c r="I38" s="800" t="s">
        <v>10404</v>
      </c>
      <c r="J38" s="800" t="s">
        <v>10447</v>
      </c>
      <c r="K38" s="800">
        <v>1</v>
      </c>
      <c r="L38" s="802" t="s">
        <v>10398</v>
      </c>
      <c r="M38" s="802" t="s">
        <v>10581</v>
      </c>
      <c r="N38" s="802" t="s">
        <v>10582</v>
      </c>
      <c r="O38" s="802" t="s">
        <v>10583</v>
      </c>
      <c r="P38" s="807" t="s">
        <v>10584</v>
      </c>
    </row>
    <row r="39" spans="1:16" s="341" customFormat="1" ht="38.25" customHeight="1">
      <c r="A39" s="806" t="s">
        <v>6473</v>
      </c>
      <c r="B39" s="800" t="s">
        <v>4358</v>
      </c>
      <c r="C39" s="800" t="s">
        <v>2505</v>
      </c>
      <c r="D39" s="800" t="s">
        <v>10585</v>
      </c>
      <c r="E39" s="801">
        <v>43042</v>
      </c>
      <c r="F39" s="800" t="s">
        <v>10586</v>
      </c>
      <c r="G39" s="800" t="s">
        <v>10587</v>
      </c>
      <c r="H39" s="800" t="s">
        <v>10396</v>
      </c>
      <c r="I39" s="800" t="s">
        <v>10396</v>
      </c>
      <c r="J39" s="800" t="s">
        <v>10397</v>
      </c>
      <c r="K39" s="800">
        <v>1</v>
      </c>
      <c r="L39" s="802" t="s">
        <v>10398</v>
      </c>
      <c r="M39" s="802" t="s">
        <v>10588</v>
      </c>
      <c r="N39" s="802" t="s">
        <v>10589</v>
      </c>
      <c r="O39" s="802" t="s">
        <v>10590</v>
      </c>
      <c r="P39" s="807" t="s">
        <v>10591</v>
      </c>
    </row>
    <row r="40" spans="1:16" s="341" customFormat="1" ht="15" customHeight="1">
      <c r="A40" s="806" t="s">
        <v>6473</v>
      </c>
      <c r="B40" s="800" t="s">
        <v>4358</v>
      </c>
      <c r="C40" s="800" t="s">
        <v>2505</v>
      </c>
      <c r="D40" s="800" t="s">
        <v>10592</v>
      </c>
      <c r="E40" s="801">
        <v>43042</v>
      </c>
      <c r="F40" s="800" t="s">
        <v>10593</v>
      </c>
      <c r="G40" s="800" t="s">
        <v>10594</v>
      </c>
      <c r="H40" s="800" t="s">
        <v>10404</v>
      </c>
      <c r="I40" s="800" t="s">
        <v>10404</v>
      </c>
      <c r="J40" s="800" t="s">
        <v>10405</v>
      </c>
      <c r="K40" s="800">
        <v>1</v>
      </c>
      <c r="L40" s="802" t="s">
        <v>10398</v>
      </c>
      <c r="M40" s="802" t="s">
        <v>10595</v>
      </c>
      <c r="N40" s="802" t="s">
        <v>10596</v>
      </c>
      <c r="O40" s="802" t="s">
        <v>10597</v>
      </c>
      <c r="P40" s="807" t="s">
        <v>10598</v>
      </c>
    </row>
    <row r="41" spans="1:16" s="341" customFormat="1" ht="25.5" customHeight="1">
      <c r="A41" s="806" t="s">
        <v>6473</v>
      </c>
      <c r="B41" s="800" t="s">
        <v>4358</v>
      </c>
      <c r="C41" s="800" t="s">
        <v>2505</v>
      </c>
      <c r="D41" s="800" t="s">
        <v>10599</v>
      </c>
      <c r="E41" s="801">
        <v>43020</v>
      </c>
      <c r="F41" s="800" t="s">
        <v>32</v>
      </c>
      <c r="G41" s="800" t="s">
        <v>10600</v>
      </c>
      <c r="H41" s="800" t="s">
        <v>10396</v>
      </c>
      <c r="I41" s="800" t="s">
        <v>10396</v>
      </c>
      <c r="J41" s="800" t="s">
        <v>10397</v>
      </c>
      <c r="K41" s="800">
        <v>4</v>
      </c>
      <c r="L41" s="802" t="s">
        <v>10398</v>
      </c>
      <c r="M41" s="802" t="s">
        <v>10601</v>
      </c>
      <c r="N41" s="802" t="s">
        <v>10602</v>
      </c>
      <c r="O41" s="802" t="s">
        <v>10603</v>
      </c>
      <c r="P41" s="807" t="s">
        <v>10604</v>
      </c>
    </row>
    <row r="42" spans="1:16" s="341" customFormat="1" ht="25.5" customHeight="1">
      <c r="A42" s="806" t="s">
        <v>6473</v>
      </c>
      <c r="B42" s="800" t="s">
        <v>4358</v>
      </c>
      <c r="C42" s="800" t="s">
        <v>2505</v>
      </c>
      <c r="D42" s="800" t="s">
        <v>10599</v>
      </c>
      <c r="E42" s="801">
        <v>43020</v>
      </c>
      <c r="F42" s="800" t="s">
        <v>32</v>
      </c>
      <c r="G42" s="800" t="s">
        <v>10600</v>
      </c>
      <c r="H42" s="800" t="s">
        <v>10396</v>
      </c>
      <c r="I42" s="800" t="s">
        <v>10396</v>
      </c>
      <c r="J42" s="800" t="s">
        <v>10397</v>
      </c>
      <c r="K42" s="800">
        <v>4</v>
      </c>
      <c r="L42" s="802" t="s">
        <v>10605</v>
      </c>
      <c r="M42" s="802"/>
      <c r="N42" s="802"/>
      <c r="O42" s="802"/>
      <c r="P42" s="807" t="s">
        <v>10604</v>
      </c>
    </row>
    <row r="43" spans="1:16" s="341" customFormat="1" ht="51" customHeight="1">
      <c r="A43" s="806" t="s">
        <v>6473</v>
      </c>
      <c r="B43" s="800" t="s">
        <v>4358</v>
      </c>
      <c r="C43" s="800" t="s">
        <v>2505</v>
      </c>
      <c r="D43" s="800" t="s">
        <v>10599</v>
      </c>
      <c r="E43" s="801">
        <v>43020</v>
      </c>
      <c r="F43" s="800" t="s">
        <v>32</v>
      </c>
      <c r="G43" s="800" t="s">
        <v>10600</v>
      </c>
      <c r="H43" s="800" t="s">
        <v>10396</v>
      </c>
      <c r="I43" s="800" t="s">
        <v>10396</v>
      </c>
      <c r="J43" s="800" t="s">
        <v>10397</v>
      </c>
      <c r="K43" s="800">
        <v>4</v>
      </c>
      <c r="L43" s="802" t="s">
        <v>10605</v>
      </c>
      <c r="M43" s="802"/>
      <c r="N43" s="802"/>
      <c r="O43" s="802"/>
      <c r="P43" s="807" t="s">
        <v>10604</v>
      </c>
    </row>
    <row r="44" spans="1:16" s="341" customFormat="1" ht="51" customHeight="1">
      <c r="A44" s="806" t="s">
        <v>6473</v>
      </c>
      <c r="B44" s="800" t="s">
        <v>4358</v>
      </c>
      <c r="C44" s="800" t="s">
        <v>2505</v>
      </c>
      <c r="D44" s="800" t="s">
        <v>10599</v>
      </c>
      <c r="E44" s="801">
        <v>43020</v>
      </c>
      <c r="F44" s="800" t="s">
        <v>32</v>
      </c>
      <c r="G44" s="800" t="s">
        <v>10600</v>
      </c>
      <c r="H44" s="800" t="s">
        <v>10396</v>
      </c>
      <c r="I44" s="800" t="s">
        <v>10396</v>
      </c>
      <c r="J44" s="800" t="s">
        <v>10397</v>
      </c>
      <c r="K44" s="800">
        <v>4</v>
      </c>
      <c r="L44" s="802" t="s">
        <v>10605</v>
      </c>
      <c r="M44" s="802"/>
      <c r="N44" s="802"/>
      <c r="O44" s="802"/>
      <c r="P44" s="807" t="s">
        <v>10604</v>
      </c>
    </row>
    <row r="45" spans="1:16" s="341" customFormat="1" ht="51" customHeight="1">
      <c r="A45" s="806" t="s">
        <v>6473</v>
      </c>
      <c r="B45" s="800" t="s">
        <v>4358</v>
      </c>
      <c r="C45" s="800" t="s">
        <v>2505</v>
      </c>
      <c r="D45" s="800" t="s">
        <v>10606</v>
      </c>
      <c r="E45" s="801">
        <v>43019</v>
      </c>
      <c r="F45" s="800" t="s">
        <v>32</v>
      </c>
      <c r="G45" s="800" t="s">
        <v>32</v>
      </c>
      <c r="H45" s="800" t="s">
        <v>10396</v>
      </c>
      <c r="I45" s="800" t="s">
        <v>10396</v>
      </c>
      <c r="J45" s="800" t="s">
        <v>10405</v>
      </c>
      <c r="K45" s="800">
        <v>3</v>
      </c>
      <c r="L45" s="802" t="s">
        <v>10398</v>
      </c>
      <c r="M45" s="802" t="s">
        <v>10607</v>
      </c>
      <c r="N45" s="802" t="s">
        <v>10608</v>
      </c>
      <c r="O45" s="802" t="s">
        <v>10609</v>
      </c>
      <c r="P45" s="807" t="s">
        <v>10610</v>
      </c>
    </row>
    <row r="46" spans="1:16" s="341" customFormat="1" ht="51" customHeight="1">
      <c r="A46" s="806" t="s">
        <v>6473</v>
      </c>
      <c r="B46" s="800" t="s">
        <v>4358</v>
      </c>
      <c r="C46" s="800" t="s">
        <v>2505</v>
      </c>
      <c r="D46" s="800" t="s">
        <v>10606</v>
      </c>
      <c r="E46" s="801">
        <v>43019</v>
      </c>
      <c r="F46" s="800" t="s">
        <v>32</v>
      </c>
      <c r="G46" s="800" t="s">
        <v>32</v>
      </c>
      <c r="H46" s="800" t="s">
        <v>10396</v>
      </c>
      <c r="I46" s="800" t="s">
        <v>10396</v>
      </c>
      <c r="J46" s="800" t="s">
        <v>10405</v>
      </c>
      <c r="K46" s="800">
        <v>3</v>
      </c>
      <c r="L46" s="802" t="s">
        <v>10398</v>
      </c>
      <c r="M46" s="802"/>
      <c r="N46" s="802"/>
      <c r="O46" s="802"/>
      <c r="P46" s="807" t="s">
        <v>10610</v>
      </c>
    </row>
    <row r="47" spans="1:16" s="341" customFormat="1" ht="15" customHeight="1">
      <c r="A47" s="806" t="s">
        <v>6473</v>
      </c>
      <c r="B47" s="800" t="s">
        <v>4358</v>
      </c>
      <c r="C47" s="800" t="s">
        <v>2505</v>
      </c>
      <c r="D47" s="800" t="s">
        <v>10606</v>
      </c>
      <c r="E47" s="801">
        <v>43019</v>
      </c>
      <c r="F47" s="800" t="s">
        <v>32</v>
      </c>
      <c r="G47" s="800" t="s">
        <v>32</v>
      </c>
      <c r="H47" s="800" t="s">
        <v>10396</v>
      </c>
      <c r="I47" s="800" t="s">
        <v>10396</v>
      </c>
      <c r="J47" s="800" t="s">
        <v>10405</v>
      </c>
      <c r="K47" s="800">
        <v>3</v>
      </c>
      <c r="L47" s="802" t="s">
        <v>10398</v>
      </c>
      <c r="M47" s="802"/>
      <c r="N47" s="802"/>
      <c r="O47" s="802"/>
      <c r="P47" s="807" t="s">
        <v>10610</v>
      </c>
    </row>
    <row r="48" spans="1:16" s="341" customFormat="1" ht="15" customHeight="1">
      <c r="A48" s="806" t="s">
        <v>6473</v>
      </c>
      <c r="B48" s="800" t="s">
        <v>4358</v>
      </c>
      <c r="C48" s="800" t="s">
        <v>2505</v>
      </c>
      <c r="D48" s="800" t="s">
        <v>10611</v>
      </c>
      <c r="E48" s="801">
        <v>43053</v>
      </c>
      <c r="F48" s="800" t="s">
        <v>10612</v>
      </c>
      <c r="G48" s="800" t="s">
        <v>10613</v>
      </c>
      <c r="H48" s="800" t="s">
        <v>10404</v>
      </c>
      <c r="I48" s="800" t="s">
        <v>10404</v>
      </c>
      <c r="J48" s="800" t="s">
        <v>10447</v>
      </c>
      <c r="K48" s="800">
        <v>1</v>
      </c>
      <c r="L48" s="802" t="s">
        <v>10398</v>
      </c>
      <c r="M48" s="802" t="s">
        <v>10614</v>
      </c>
      <c r="N48" s="802" t="s">
        <v>10615</v>
      </c>
      <c r="O48" s="802" t="s">
        <v>10616</v>
      </c>
      <c r="P48" s="807" t="s">
        <v>10617</v>
      </c>
    </row>
    <row r="49" spans="1:16" s="341" customFormat="1" ht="15" customHeight="1">
      <c r="A49" s="806" t="s">
        <v>6473</v>
      </c>
      <c r="B49" s="800" t="s">
        <v>4358</v>
      </c>
      <c r="C49" s="800" t="s">
        <v>2505</v>
      </c>
      <c r="D49" s="800" t="s">
        <v>10618</v>
      </c>
      <c r="E49" s="801">
        <v>43042</v>
      </c>
      <c r="F49" s="800" t="s">
        <v>10619</v>
      </c>
      <c r="G49" s="800" t="s">
        <v>10620</v>
      </c>
      <c r="H49" s="800" t="s">
        <v>10404</v>
      </c>
      <c r="I49" s="800" t="s">
        <v>10404</v>
      </c>
      <c r="J49" s="800" t="s">
        <v>10447</v>
      </c>
      <c r="K49" s="800">
        <v>1</v>
      </c>
      <c r="L49" s="802" t="s">
        <v>10398</v>
      </c>
      <c r="M49" s="802" t="s">
        <v>10621</v>
      </c>
      <c r="N49" s="802" t="s">
        <v>10622</v>
      </c>
      <c r="O49" s="802" t="s">
        <v>10623</v>
      </c>
      <c r="P49" s="807" t="s">
        <v>10624</v>
      </c>
    </row>
    <row r="50" spans="1:16" s="341" customFormat="1" ht="15" customHeight="1">
      <c r="A50" s="806" t="s">
        <v>6473</v>
      </c>
      <c r="B50" s="800" t="s">
        <v>4358</v>
      </c>
      <c r="C50" s="800" t="s">
        <v>2505</v>
      </c>
      <c r="D50" s="800" t="s">
        <v>10625</v>
      </c>
      <c r="E50" s="801">
        <v>43042</v>
      </c>
      <c r="F50" s="800" t="s">
        <v>32</v>
      </c>
      <c r="G50" s="800" t="s">
        <v>10626</v>
      </c>
      <c r="H50" s="800" t="s">
        <v>10404</v>
      </c>
      <c r="I50" s="800" t="s">
        <v>10404</v>
      </c>
      <c r="J50" s="800" t="s">
        <v>10426</v>
      </c>
      <c r="K50" s="800">
        <v>1</v>
      </c>
      <c r="L50" s="802" t="s">
        <v>10398</v>
      </c>
      <c r="M50" s="802" t="s">
        <v>10627</v>
      </c>
      <c r="N50" s="802" t="s">
        <v>10628</v>
      </c>
      <c r="O50" s="802" t="s">
        <v>10629</v>
      </c>
      <c r="P50" s="807" t="s">
        <v>10630</v>
      </c>
    </row>
    <row r="51" spans="1:16" s="341" customFormat="1" ht="38.25" customHeight="1">
      <c r="A51" s="806" t="s">
        <v>6473</v>
      </c>
      <c r="B51" s="800" t="s">
        <v>4358</v>
      </c>
      <c r="C51" s="800" t="s">
        <v>2505</v>
      </c>
      <c r="D51" s="800" t="s">
        <v>10631</v>
      </c>
      <c r="E51" s="801">
        <v>43040</v>
      </c>
      <c r="F51" s="800" t="s">
        <v>10632</v>
      </c>
      <c r="G51" s="800" t="s">
        <v>10633</v>
      </c>
      <c r="H51" s="800" t="s">
        <v>10404</v>
      </c>
      <c r="I51" s="800" t="s">
        <v>10404</v>
      </c>
      <c r="J51" s="800" t="s">
        <v>10447</v>
      </c>
      <c r="K51" s="800">
        <v>1</v>
      </c>
      <c r="L51" s="802" t="s">
        <v>10398</v>
      </c>
      <c r="M51" s="802" t="s">
        <v>10634</v>
      </c>
      <c r="N51" s="802" t="s">
        <v>10635</v>
      </c>
      <c r="O51" s="802" t="s">
        <v>10636</v>
      </c>
      <c r="P51" s="807" t="s">
        <v>10637</v>
      </c>
    </row>
    <row r="52" spans="1:16" s="341" customFormat="1" ht="25.5" customHeight="1">
      <c r="A52" s="806" t="s">
        <v>6473</v>
      </c>
      <c r="B52" s="800" t="s">
        <v>4358</v>
      </c>
      <c r="C52" s="800" t="s">
        <v>2505</v>
      </c>
      <c r="D52" s="800" t="s">
        <v>10638</v>
      </c>
      <c r="E52" s="801">
        <v>43040</v>
      </c>
      <c r="F52" s="800" t="s">
        <v>10639</v>
      </c>
      <c r="G52" s="800" t="s">
        <v>10640</v>
      </c>
      <c r="H52" s="800" t="s">
        <v>10433</v>
      </c>
      <c r="I52" s="800" t="s">
        <v>10433</v>
      </c>
      <c r="J52" s="800" t="s">
        <v>10447</v>
      </c>
      <c r="K52" s="800">
        <v>1</v>
      </c>
      <c r="L52" s="802" t="s">
        <v>10398</v>
      </c>
      <c r="M52" s="802" t="s">
        <v>10641</v>
      </c>
      <c r="N52" s="802" t="s">
        <v>10642</v>
      </c>
      <c r="O52" s="802" t="s">
        <v>10643</v>
      </c>
      <c r="P52" s="807" t="s">
        <v>10644</v>
      </c>
    </row>
    <row r="53" spans="1:16" s="341" customFormat="1" ht="25.5" customHeight="1">
      <c r="A53" s="806" t="s">
        <v>6473</v>
      </c>
      <c r="B53" s="800" t="s">
        <v>4358</v>
      </c>
      <c r="C53" s="800" t="s">
        <v>2505</v>
      </c>
      <c r="D53" s="800" t="s">
        <v>10645</v>
      </c>
      <c r="E53" s="801">
        <v>43042</v>
      </c>
      <c r="F53" s="800" t="s">
        <v>2512</v>
      </c>
      <c r="G53" s="800" t="s">
        <v>10646</v>
      </c>
      <c r="H53" s="800" t="s">
        <v>10404</v>
      </c>
      <c r="I53" s="800" t="s">
        <v>10404</v>
      </c>
      <c r="J53" s="800" t="s">
        <v>10447</v>
      </c>
      <c r="K53" s="800">
        <v>1</v>
      </c>
      <c r="L53" s="802" t="s">
        <v>10398</v>
      </c>
      <c r="M53" s="802" t="s">
        <v>10647</v>
      </c>
      <c r="N53" s="802" t="s">
        <v>10648</v>
      </c>
      <c r="O53" s="802" t="s">
        <v>10649</v>
      </c>
      <c r="P53" s="807" t="s">
        <v>10650</v>
      </c>
    </row>
    <row r="54" spans="1:16" s="341" customFormat="1" ht="25.5" customHeight="1">
      <c r="A54" s="806" t="s">
        <v>6473</v>
      </c>
      <c r="B54" s="800" t="s">
        <v>4358</v>
      </c>
      <c r="C54" s="800" t="s">
        <v>2505</v>
      </c>
      <c r="D54" s="800" t="s">
        <v>10651</v>
      </c>
      <c r="E54" s="801">
        <v>43042</v>
      </c>
      <c r="F54" s="800" t="s">
        <v>2512</v>
      </c>
      <c r="G54" s="800" t="s">
        <v>10652</v>
      </c>
      <c r="H54" s="800" t="s">
        <v>10404</v>
      </c>
      <c r="I54" s="800" t="s">
        <v>10404</v>
      </c>
      <c r="J54" s="800" t="s">
        <v>10447</v>
      </c>
      <c r="K54" s="800">
        <v>1</v>
      </c>
      <c r="L54" s="802" t="s">
        <v>10398</v>
      </c>
      <c r="M54" s="802" t="s">
        <v>10653</v>
      </c>
      <c r="N54" s="802" t="s">
        <v>10654</v>
      </c>
      <c r="O54" s="802" t="s">
        <v>10655</v>
      </c>
      <c r="P54" s="807" t="s">
        <v>10656</v>
      </c>
    </row>
    <row r="55" spans="1:16" s="341" customFormat="1" ht="25.5" customHeight="1">
      <c r="A55" s="806" t="s">
        <v>6473</v>
      </c>
      <c r="B55" s="800" t="s">
        <v>4358</v>
      </c>
      <c r="C55" s="800" t="s">
        <v>2505</v>
      </c>
      <c r="D55" s="800" t="s">
        <v>10657</v>
      </c>
      <c r="E55" s="801">
        <v>43042</v>
      </c>
      <c r="F55" s="800" t="s">
        <v>2512</v>
      </c>
      <c r="G55" s="800" t="s">
        <v>10658</v>
      </c>
      <c r="H55" s="800" t="s">
        <v>10404</v>
      </c>
      <c r="I55" s="800" t="s">
        <v>10404</v>
      </c>
      <c r="J55" s="800" t="s">
        <v>10447</v>
      </c>
      <c r="K55" s="800">
        <v>1</v>
      </c>
      <c r="L55" s="802" t="s">
        <v>10398</v>
      </c>
      <c r="M55" s="802" t="s">
        <v>10659</v>
      </c>
      <c r="N55" s="802" t="s">
        <v>10660</v>
      </c>
      <c r="O55" s="802" t="s">
        <v>10649</v>
      </c>
      <c r="P55" s="807" t="s">
        <v>10661</v>
      </c>
    </row>
    <row r="56" spans="1:16" s="341" customFormat="1" ht="25.5" customHeight="1">
      <c r="A56" s="806" t="s">
        <v>6473</v>
      </c>
      <c r="B56" s="800" t="s">
        <v>4358</v>
      </c>
      <c r="C56" s="800" t="s">
        <v>2505</v>
      </c>
      <c r="D56" s="800" t="s">
        <v>10662</v>
      </c>
      <c r="E56" s="801">
        <v>43041</v>
      </c>
      <c r="F56" s="800" t="s">
        <v>10477</v>
      </c>
      <c r="G56" s="800" t="s">
        <v>10663</v>
      </c>
      <c r="H56" s="800" t="s">
        <v>10396</v>
      </c>
      <c r="I56" s="800" t="s">
        <v>10396</v>
      </c>
      <c r="J56" s="800" t="s">
        <v>10664</v>
      </c>
      <c r="K56" s="800">
        <v>1</v>
      </c>
      <c r="L56" s="802" t="s">
        <v>10398</v>
      </c>
      <c r="M56" s="802" t="s">
        <v>10665</v>
      </c>
      <c r="N56" s="802" t="s">
        <v>10666</v>
      </c>
      <c r="O56" s="802" t="s">
        <v>10667</v>
      </c>
      <c r="P56" s="807" t="s">
        <v>10668</v>
      </c>
    </row>
    <row r="57" spans="1:16" s="341" customFormat="1" ht="25.5" customHeight="1">
      <c r="A57" s="806" t="s">
        <v>6473</v>
      </c>
      <c r="B57" s="800" t="s">
        <v>4358</v>
      </c>
      <c r="C57" s="800" t="s">
        <v>2505</v>
      </c>
      <c r="D57" s="800" t="s">
        <v>10669</v>
      </c>
      <c r="E57" s="801">
        <v>43041</v>
      </c>
      <c r="F57" s="800" t="s">
        <v>10481</v>
      </c>
      <c r="G57" s="800" t="s">
        <v>10670</v>
      </c>
      <c r="H57" s="800" t="s">
        <v>10404</v>
      </c>
      <c r="I57" s="800" t="s">
        <v>10404</v>
      </c>
      <c r="J57" s="800" t="s">
        <v>10426</v>
      </c>
      <c r="K57" s="800">
        <v>1</v>
      </c>
      <c r="L57" s="802" t="s">
        <v>10398</v>
      </c>
      <c r="M57" s="802" t="s">
        <v>10671</v>
      </c>
      <c r="N57" s="802" t="s">
        <v>10672</v>
      </c>
      <c r="O57" s="802" t="s">
        <v>10673</v>
      </c>
      <c r="P57" s="807" t="s">
        <v>10674</v>
      </c>
    </row>
    <row r="58" spans="1:16" s="341" customFormat="1" ht="15" customHeight="1">
      <c r="A58" s="806" t="s">
        <v>6473</v>
      </c>
      <c r="B58" s="800" t="s">
        <v>4358</v>
      </c>
      <c r="C58" s="800" t="s">
        <v>2505</v>
      </c>
      <c r="D58" s="800" t="s">
        <v>10675</v>
      </c>
      <c r="E58" s="801">
        <v>43041</v>
      </c>
      <c r="F58" s="800" t="s">
        <v>10477</v>
      </c>
      <c r="G58" s="800" t="s">
        <v>10676</v>
      </c>
      <c r="H58" s="800" t="s">
        <v>10396</v>
      </c>
      <c r="I58" s="800" t="s">
        <v>10396</v>
      </c>
      <c r="J58" s="800" t="s">
        <v>10664</v>
      </c>
      <c r="K58" s="800">
        <v>1</v>
      </c>
      <c r="L58" s="802" t="s">
        <v>10398</v>
      </c>
      <c r="M58" s="802" t="s">
        <v>10677</v>
      </c>
      <c r="N58" s="802" t="s">
        <v>10678</v>
      </c>
      <c r="O58" s="802" t="s">
        <v>10679</v>
      </c>
      <c r="P58" s="807" t="s">
        <v>10680</v>
      </c>
    </row>
    <row r="59" spans="1:16" s="341" customFormat="1" ht="25.5" customHeight="1">
      <c r="A59" s="806" t="s">
        <v>6473</v>
      </c>
      <c r="B59" s="800" t="s">
        <v>4358</v>
      </c>
      <c r="C59" s="800" t="s">
        <v>2505</v>
      </c>
      <c r="D59" s="800" t="s">
        <v>10681</v>
      </c>
      <c r="E59" s="801">
        <v>43041</v>
      </c>
      <c r="F59" s="800" t="s">
        <v>10682</v>
      </c>
      <c r="G59" s="800" t="s">
        <v>10683</v>
      </c>
      <c r="H59" s="800" t="s">
        <v>10433</v>
      </c>
      <c r="I59" s="800" t="s">
        <v>10433</v>
      </c>
      <c r="J59" s="800" t="s">
        <v>10447</v>
      </c>
      <c r="K59" s="800">
        <v>1</v>
      </c>
      <c r="L59" s="802" t="s">
        <v>10398</v>
      </c>
      <c r="M59" s="802" t="s">
        <v>10684</v>
      </c>
      <c r="N59" s="802" t="s">
        <v>10685</v>
      </c>
      <c r="O59" s="802" t="s">
        <v>10686</v>
      </c>
      <c r="P59" s="807" t="s">
        <v>10687</v>
      </c>
    </row>
    <row r="60" spans="1:16" s="341" customFormat="1" ht="25.5" customHeight="1">
      <c r="A60" s="806" t="s">
        <v>6473</v>
      </c>
      <c r="B60" s="800" t="s">
        <v>4358</v>
      </c>
      <c r="C60" s="800" t="s">
        <v>2505</v>
      </c>
      <c r="D60" s="800" t="s">
        <v>10688</v>
      </c>
      <c r="E60" s="801">
        <v>43040</v>
      </c>
      <c r="F60" s="800" t="s">
        <v>10689</v>
      </c>
      <c r="G60" s="800" t="s">
        <v>10690</v>
      </c>
      <c r="H60" s="800" t="s">
        <v>10531</v>
      </c>
      <c r="I60" s="800" t="s">
        <v>10531</v>
      </c>
      <c r="J60" s="800" t="s">
        <v>10397</v>
      </c>
      <c r="K60" s="800">
        <v>1</v>
      </c>
      <c r="L60" s="802" t="s">
        <v>10398</v>
      </c>
      <c r="M60" s="802" t="s">
        <v>10691</v>
      </c>
      <c r="N60" s="802" t="s">
        <v>10692</v>
      </c>
      <c r="O60" s="802" t="s">
        <v>10693</v>
      </c>
      <c r="P60" s="807" t="s">
        <v>10694</v>
      </c>
    </row>
    <row r="61" spans="1:16" s="341" customFormat="1" ht="63.75">
      <c r="A61" s="806" t="s">
        <v>6473</v>
      </c>
      <c r="B61" s="800" t="s">
        <v>4358</v>
      </c>
      <c r="C61" s="800" t="s">
        <v>2505</v>
      </c>
      <c r="D61" s="800" t="s">
        <v>10695</v>
      </c>
      <c r="E61" s="801">
        <v>43040</v>
      </c>
      <c r="F61" s="800" t="s">
        <v>10639</v>
      </c>
      <c r="G61" s="800" t="s">
        <v>10696</v>
      </c>
      <c r="H61" s="800" t="s">
        <v>10404</v>
      </c>
      <c r="I61" s="800" t="s">
        <v>10404</v>
      </c>
      <c r="J61" s="800" t="s">
        <v>10447</v>
      </c>
      <c r="K61" s="800">
        <v>1</v>
      </c>
      <c r="L61" s="802" t="s">
        <v>10398</v>
      </c>
      <c r="M61" s="802" t="s">
        <v>10697</v>
      </c>
      <c r="N61" s="802" t="s">
        <v>10698</v>
      </c>
      <c r="O61" s="802" t="s">
        <v>10699</v>
      </c>
      <c r="P61" s="807" t="s">
        <v>10700</v>
      </c>
    </row>
    <row r="62" spans="1:16" s="341" customFormat="1" ht="25.5" customHeight="1">
      <c r="A62" s="806" t="s">
        <v>6473</v>
      </c>
      <c r="B62" s="800" t="s">
        <v>4358</v>
      </c>
      <c r="C62" s="800" t="s">
        <v>2505</v>
      </c>
      <c r="D62" s="800" t="s">
        <v>10701</v>
      </c>
      <c r="E62" s="801">
        <v>43040</v>
      </c>
      <c r="F62" s="800" t="s">
        <v>10702</v>
      </c>
      <c r="G62" s="800" t="s">
        <v>10703</v>
      </c>
      <c r="H62" s="800" t="s">
        <v>10404</v>
      </c>
      <c r="I62" s="800" t="s">
        <v>10404</v>
      </c>
      <c r="J62" s="800" t="s">
        <v>10447</v>
      </c>
      <c r="K62" s="800">
        <v>1</v>
      </c>
      <c r="L62" s="802" t="s">
        <v>10398</v>
      </c>
      <c r="M62" s="802" t="s">
        <v>10704</v>
      </c>
      <c r="N62" s="802" t="s">
        <v>10705</v>
      </c>
      <c r="O62" s="802" t="s">
        <v>10706</v>
      </c>
      <c r="P62" s="807" t="s">
        <v>10707</v>
      </c>
    </row>
    <row r="63" spans="1:16" s="341" customFormat="1" ht="25.5">
      <c r="A63" s="806" t="s">
        <v>6473</v>
      </c>
      <c r="B63" s="800" t="s">
        <v>4358</v>
      </c>
      <c r="C63" s="800" t="s">
        <v>2505</v>
      </c>
      <c r="D63" s="800" t="s">
        <v>10708</v>
      </c>
      <c r="E63" s="801">
        <v>43040</v>
      </c>
      <c r="F63" s="800" t="s">
        <v>10702</v>
      </c>
      <c r="G63" s="800" t="s">
        <v>10709</v>
      </c>
      <c r="H63" s="800" t="s">
        <v>10404</v>
      </c>
      <c r="I63" s="800" t="s">
        <v>10404</v>
      </c>
      <c r="J63" s="800" t="s">
        <v>10447</v>
      </c>
      <c r="K63" s="800">
        <v>1</v>
      </c>
      <c r="L63" s="802" t="s">
        <v>10398</v>
      </c>
      <c r="M63" s="802" t="s">
        <v>10710</v>
      </c>
      <c r="N63" s="802" t="s">
        <v>10711</v>
      </c>
      <c r="O63" s="802" t="s">
        <v>10712</v>
      </c>
      <c r="P63" s="807" t="s">
        <v>10713</v>
      </c>
    </row>
    <row r="64" spans="1:16" s="341" customFormat="1" ht="25.5" customHeight="1">
      <c r="A64" s="806" t="s">
        <v>6473</v>
      </c>
      <c r="B64" s="800" t="s">
        <v>4358</v>
      </c>
      <c r="C64" s="800" t="s">
        <v>2505</v>
      </c>
      <c r="D64" s="800" t="s">
        <v>10714</v>
      </c>
      <c r="E64" s="801">
        <v>43040</v>
      </c>
      <c r="F64" s="800" t="s">
        <v>10481</v>
      </c>
      <c r="G64" s="800" t="s">
        <v>10715</v>
      </c>
      <c r="H64" s="800" t="s">
        <v>10404</v>
      </c>
      <c r="I64" s="800" t="s">
        <v>10404</v>
      </c>
      <c r="J64" s="800" t="s">
        <v>10405</v>
      </c>
      <c r="K64" s="800">
        <v>1</v>
      </c>
      <c r="L64" s="802" t="s">
        <v>10398</v>
      </c>
      <c r="M64" s="802" t="s">
        <v>10716</v>
      </c>
      <c r="N64" s="802" t="s">
        <v>10717</v>
      </c>
      <c r="O64" s="802" t="s">
        <v>10718</v>
      </c>
      <c r="P64" s="807" t="s">
        <v>10566</v>
      </c>
    </row>
    <row r="65" spans="1:16" s="341" customFormat="1" ht="25.5" customHeight="1">
      <c r="A65" s="806" t="s">
        <v>6473</v>
      </c>
      <c r="B65" s="800" t="s">
        <v>4358</v>
      </c>
      <c r="C65" s="800" t="s">
        <v>2505</v>
      </c>
      <c r="D65" s="800" t="s">
        <v>10719</v>
      </c>
      <c r="E65" s="801">
        <v>43040</v>
      </c>
      <c r="F65" s="800" t="s">
        <v>10720</v>
      </c>
      <c r="G65" s="800" t="s">
        <v>10721</v>
      </c>
      <c r="H65" s="800" t="s">
        <v>10531</v>
      </c>
      <c r="I65" s="800" t="s">
        <v>10531</v>
      </c>
      <c r="J65" s="800" t="s">
        <v>10447</v>
      </c>
      <c r="K65" s="800">
        <v>1</v>
      </c>
      <c r="L65" s="802" t="s">
        <v>10398</v>
      </c>
      <c r="M65" s="802" t="s">
        <v>10722</v>
      </c>
      <c r="N65" s="802" t="s">
        <v>10723</v>
      </c>
      <c r="O65" s="802" t="s">
        <v>10724</v>
      </c>
      <c r="P65" s="807" t="s">
        <v>10725</v>
      </c>
    </row>
    <row r="66" spans="1:16" s="341" customFormat="1" ht="38.25" customHeight="1">
      <c r="A66" s="806" t="s">
        <v>6473</v>
      </c>
      <c r="B66" s="800" t="s">
        <v>4358</v>
      </c>
      <c r="C66" s="800" t="s">
        <v>2505</v>
      </c>
      <c r="D66" s="800" t="s">
        <v>10726</v>
      </c>
      <c r="E66" s="801">
        <v>43040</v>
      </c>
      <c r="F66" s="800" t="s">
        <v>1864</v>
      </c>
      <c r="G66" s="800" t="s">
        <v>10727</v>
      </c>
      <c r="H66" s="800" t="s">
        <v>10404</v>
      </c>
      <c r="I66" s="800" t="s">
        <v>10404</v>
      </c>
      <c r="J66" s="800" t="s">
        <v>10397</v>
      </c>
      <c r="K66" s="800">
        <v>1</v>
      </c>
      <c r="L66" s="802" t="s">
        <v>10398</v>
      </c>
      <c r="M66" s="802" t="s">
        <v>10728</v>
      </c>
      <c r="N66" s="802" t="s">
        <v>10729</v>
      </c>
      <c r="O66" s="802" t="s">
        <v>10730</v>
      </c>
      <c r="P66" s="807" t="s">
        <v>10731</v>
      </c>
    </row>
    <row r="67" spans="1:16" s="341" customFormat="1" ht="25.5" customHeight="1">
      <c r="A67" s="806" t="s">
        <v>6473</v>
      </c>
      <c r="B67" s="800" t="s">
        <v>4358</v>
      </c>
      <c r="C67" s="800" t="s">
        <v>2505</v>
      </c>
      <c r="D67" s="800" t="s">
        <v>10732</v>
      </c>
      <c r="E67" s="801">
        <v>43049</v>
      </c>
      <c r="F67" s="800" t="s">
        <v>10733</v>
      </c>
      <c r="G67" s="800" t="s">
        <v>10734</v>
      </c>
      <c r="H67" s="800" t="s">
        <v>10396</v>
      </c>
      <c r="I67" s="800" t="s">
        <v>10396</v>
      </c>
      <c r="J67" s="800" t="s">
        <v>10426</v>
      </c>
      <c r="K67" s="800">
        <v>1</v>
      </c>
      <c r="L67" s="802" t="s">
        <v>10398</v>
      </c>
      <c r="M67" s="802" t="s">
        <v>10735</v>
      </c>
      <c r="N67" s="802" t="s">
        <v>10736</v>
      </c>
      <c r="O67" s="802" t="s">
        <v>10737</v>
      </c>
      <c r="P67" s="807" t="s">
        <v>10738</v>
      </c>
    </row>
    <row r="68" spans="1:16" s="341" customFormat="1" ht="25.5" customHeight="1">
      <c r="A68" s="806" t="s">
        <v>6473</v>
      </c>
      <c r="B68" s="800" t="s">
        <v>4358</v>
      </c>
      <c r="C68" s="800" t="s">
        <v>2505</v>
      </c>
      <c r="D68" s="800" t="s">
        <v>10739</v>
      </c>
      <c r="E68" s="801">
        <v>43053</v>
      </c>
      <c r="F68" s="800" t="s">
        <v>10612</v>
      </c>
      <c r="G68" s="800" t="s">
        <v>10740</v>
      </c>
      <c r="H68" s="800" t="s">
        <v>10396</v>
      </c>
      <c r="I68" s="800" t="s">
        <v>10396</v>
      </c>
      <c r="J68" s="800" t="s">
        <v>10426</v>
      </c>
      <c r="K68" s="800">
        <v>1</v>
      </c>
      <c r="L68" s="802" t="s">
        <v>10398</v>
      </c>
      <c r="M68" s="802" t="s">
        <v>10741</v>
      </c>
      <c r="N68" s="802" t="s">
        <v>10742</v>
      </c>
      <c r="O68" s="802" t="s">
        <v>10743</v>
      </c>
      <c r="P68" s="807" t="s">
        <v>10744</v>
      </c>
    </row>
    <row r="69" spans="1:16" s="341" customFormat="1" ht="38.25" customHeight="1">
      <c r="A69" s="806" t="s">
        <v>6473</v>
      </c>
      <c r="B69" s="800" t="s">
        <v>4358</v>
      </c>
      <c r="C69" s="800" t="s">
        <v>2505</v>
      </c>
      <c r="D69" s="800" t="s">
        <v>10745</v>
      </c>
      <c r="E69" s="801">
        <v>43009</v>
      </c>
      <c r="F69" s="800" t="s">
        <v>10746</v>
      </c>
      <c r="G69" s="800" t="s">
        <v>10747</v>
      </c>
      <c r="H69" s="800" t="s">
        <v>10404</v>
      </c>
      <c r="I69" s="800" t="s">
        <v>10404</v>
      </c>
      <c r="J69" s="800" t="s">
        <v>10426</v>
      </c>
      <c r="K69" s="800">
        <v>1</v>
      </c>
      <c r="L69" s="802" t="s">
        <v>10398</v>
      </c>
      <c r="M69" s="802" t="s">
        <v>10748</v>
      </c>
      <c r="N69" s="802" t="s">
        <v>10749</v>
      </c>
      <c r="O69" s="802" t="s">
        <v>10750</v>
      </c>
      <c r="P69" s="807" t="s">
        <v>10751</v>
      </c>
    </row>
    <row r="70" spans="1:16" s="341" customFormat="1" ht="25.5" customHeight="1">
      <c r="A70" s="806" t="s">
        <v>6473</v>
      </c>
      <c r="B70" s="800" t="s">
        <v>4358</v>
      </c>
      <c r="C70" s="800" t="s">
        <v>2505</v>
      </c>
      <c r="D70" s="800" t="s">
        <v>10752</v>
      </c>
      <c r="E70" s="801">
        <v>43070</v>
      </c>
      <c r="F70" s="800" t="s">
        <v>10753</v>
      </c>
      <c r="G70" s="800" t="s">
        <v>10754</v>
      </c>
      <c r="H70" s="800" t="s">
        <v>10404</v>
      </c>
      <c r="I70" s="800" t="s">
        <v>10404</v>
      </c>
      <c r="J70" s="800" t="s">
        <v>10426</v>
      </c>
      <c r="K70" s="800">
        <v>1</v>
      </c>
      <c r="L70" s="802" t="s">
        <v>10398</v>
      </c>
      <c r="M70" s="802" t="s">
        <v>10755</v>
      </c>
      <c r="N70" s="802" t="s">
        <v>10756</v>
      </c>
      <c r="O70" s="802" t="s">
        <v>10757</v>
      </c>
      <c r="P70" s="807" t="s">
        <v>10758</v>
      </c>
    </row>
    <row r="71" spans="1:16" s="341" customFormat="1" ht="15" customHeight="1">
      <c r="A71" s="806" t="s">
        <v>6473</v>
      </c>
      <c r="B71" s="800" t="s">
        <v>4358</v>
      </c>
      <c r="C71" s="800" t="s">
        <v>2505</v>
      </c>
      <c r="D71" s="800" t="s">
        <v>10759</v>
      </c>
      <c r="E71" s="801">
        <v>43040</v>
      </c>
      <c r="F71" s="800" t="s">
        <v>10760</v>
      </c>
      <c r="G71" s="800" t="s">
        <v>10761</v>
      </c>
      <c r="H71" s="800" t="s">
        <v>10404</v>
      </c>
      <c r="I71" s="800" t="s">
        <v>10404</v>
      </c>
      <c r="J71" s="800" t="s">
        <v>10447</v>
      </c>
      <c r="K71" s="800">
        <v>1</v>
      </c>
      <c r="L71" s="802" t="s">
        <v>10398</v>
      </c>
      <c r="M71" s="802" t="s">
        <v>10762</v>
      </c>
      <c r="N71" s="802" t="s">
        <v>10763</v>
      </c>
      <c r="O71" s="802" t="s">
        <v>10764</v>
      </c>
      <c r="P71" s="807" t="s">
        <v>10765</v>
      </c>
    </row>
    <row r="72" spans="1:16" s="341" customFormat="1" ht="25.5" customHeight="1">
      <c r="A72" s="806" t="s">
        <v>6473</v>
      </c>
      <c r="B72" s="800" t="s">
        <v>4358</v>
      </c>
      <c r="C72" s="800" t="s">
        <v>2505</v>
      </c>
      <c r="D72" s="800" t="s">
        <v>10766</v>
      </c>
      <c r="E72" s="801">
        <v>43070</v>
      </c>
      <c r="F72" s="800" t="s">
        <v>10760</v>
      </c>
      <c r="G72" s="800" t="s">
        <v>10767</v>
      </c>
      <c r="H72" s="800" t="s">
        <v>10396</v>
      </c>
      <c r="I72" s="800" t="s">
        <v>10396</v>
      </c>
      <c r="J72" s="800" t="s">
        <v>10397</v>
      </c>
      <c r="K72" s="800">
        <v>1</v>
      </c>
      <c r="L72" s="802" t="s">
        <v>10398</v>
      </c>
      <c r="M72" s="802" t="s">
        <v>10768</v>
      </c>
      <c r="N72" s="802" t="s">
        <v>10769</v>
      </c>
      <c r="O72" s="802" t="s">
        <v>10770</v>
      </c>
      <c r="P72" s="807" t="s">
        <v>10771</v>
      </c>
    </row>
    <row r="73" spans="1:16" s="341" customFormat="1" ht="25.5" customHeight="1">
      <c r="A73" s="806" t="s">
        <v>6473</v>
      </c>
      <c r="B73" s="800" t="s">
        <v>4358</v>
      </c>
      <c r="C73" s="800" t="s">
        <v>2505</v>
      </c>
      <c r="D73" s="800" t="s">
        <v>10772</v>
      </c>
      <c r="E73" s="801">
        <v>43070</v>
      </c>
      <c r="F73" s="800" t="s">
        <v>10773</v>
      </c>
      <c r="G73" s="800" t="s">
        <v>10774</v>
      </c>
      <c r="H73" s="800" t="s">
        <v>10433</v>
      </c>
      <c r="I73" s="800" t="s">
        <v>10433</v>
      </c>
      <c r="J73" s="800" t="s">
        <v>10397</v>
      </c>
      <c r="K73" s="800">
        <v>1</v>
      </c>
      <c r="L73" s="802" t="s">
        <v>10398</v>
      </c>
      <c r="M73" s="802" t="s">
        <v>10775</v>
      </c>
      <c r="N73" s="802" t="s">
        <v>10776</v>
      </c>
      <c r="O73" s="802" t="s">
        <v>10777</v>
      </c>
      <c r="P73" s="807" t="s">
        <v>10725</v>
      </c>
    </row>
    <row r="74" spans="1:16" s="341" customFormat="1" ht="25.5" customHeight="1">
      <c r="A74" s="806" t="s">
        <v>6473</v>
      </c>
      <c r="B74" s="800" t="s">
        <v>1969</v>
      </c>
      <c r="C74" s="800" t="s">
        <v>1969</v>
      </c>
      <c r="D74" s="800" t="s">
        <v>10778</v>
      </c>
      <c r="E74" s="801">
        <v>43033</v>
      </c>
      <c r="F74" s="800" t="s">
        <v>10779</v>
      </c>
      <c r="G74" s="800" t="s">
        <v>10780</v>
      </c>
      <c r="H74" s="800" t="s">
        <v>10433</v>
      </c>
      <c r="I74" s="800" t="s">
        <v>10433</v>
      </c>
      <c r="J74" s="800" t="s">
        <v>4342</v>
      </c>
      <c r="K74" s="800">
        <v>1</v>
      </c>
      <c r="L74" s="802" t="s">
        <v>10398</v>
      </c>
      <c r="M74" s="802" t="s">
        <v>10781</v>
      </c>
      <c r="N74" s="802" t="s">
        <v>10782</v>
      </c>
      <c r="O74" s="802" t="s">
        <v>10783</v>
      </c>
      <c r="P74" s="807" t="s">
        <v>32</v>
      </c>
    </row>
    <row r="75" spans="1:16" s="341" customFormat="1" ht="25.5" customHeight="1">
      <c r="A75" s="806" t="s">
        <v>6473</v>
      </c>
      <c r="B75" s="800" t="s">
        <v>1969</v>
      </c>
      <c r="C75" s="800" t="s">
        <v>1969</v>
      </c>
      <c r="D75" s="800" t="s">
        <v>10784</v>
      </c>
      <c r="E75" s="801">
        <v>43032</v>
      </c>
      <c r="F75" s="800" t="s">
        <v>10785</v>
      </c>
      <c r="G75" s="800" t="s">
        <v>10786</v>
      </c>
      <c r="H75" s="800" t="s">
        <v>10531</v>
      </c>
      <c r="I75" s="800" t="s">
        <v>10531</v>
      </c>
      <c r="J75" s="800" t="s">
        <v>10447</v>
      </c>
      <c r="K75" s="800">
        <v>1</v>
      </c>
      <c r="L75" s="802" t="s">
        <v>10398</v>
      </c>
      <c r="M75" s="802" t="s">
        <v>10787</v>
      </c>
      <c r="N75" s="802" t="s">
        <v>10788</v>
      </c>
      <c r="O75" s="802" t="s">
        <v>10789</v>
      </c>
      <c r="P75" s="807" t="s">
        <v>10790</v>
      </c>
    </row>
    <row r="76" spans="1:16" s="341" customFormat="1" ht="25.5" customHeight="1">
      <c r="A76" s="806" t="s">
        <v>6473</v>
      </c>
      <c r="B76" s="800" t="s">
        <v>1969</v>
      </c>
      <c r="C76" s="800" t="s">
        <v>1969</v>
      </c>
      <c r="D76" s="800" t="s">
        <v>10791</v>
      </c>
      <c r="E76" s="801">
        <v>43045</v>
      </c>
      <c r="F76" s="800" t="s">
        <v>10792</v>
      </c>
      <c r="G76" s="800" t="s">
        <v>10793</v>
      </c>
      <c r="H76" s="800" t="s">
        <v>10433</v>
      </c>
      <c r="I76" s="800" t="s">
        <v>10433</v>
      </c>
      <c r="J76" s="800" t="s">
        <v>10397</v>
      </c>
      <c r="K76" s="800">
        <v>1</v>
      </c>
      <c r="L76" s="802" t="s">
        <v>10398</v>
      </c>
      <c r="M76" s="802" t="s">
        <v>10794</v>
      </c>
      <c r="N76" s="802" t="s">
        <v>10795</v>
      </c>
      <c r="O76" s="802" t="s">
        <v>10796</v>
      </c>
      <c r="P76" s="807" t="s">
        <v>10797</v>
      </c>
    </row>
    <row r="77" spans="1:16" s="341" customFormat="1" ht="25.5" customHeight="1">
      <c r="A77" s="806" t="s">
        <v>6473</v>
      </c>
      <c r="B77" s="800" t="s">
        <v>1969</v>
      </c>
      <c r="C77" s="800" t="s">
        <v>1969</v>
      </c>
      <c r="D77" s="800" t="s">
        <v>10798</v>
      </c>
      <c r="E77" s="801">
        <v>43047</v>
      </c>
      <c r="F77" s="800" t="s">
        <v>10799</v>
      </c>
      <c r="G77" s="800" t="s">
        <v>10800</v>
      </c>
      <c r="H77" s="800" t="s">
        <v>10531</v>
      </c>
      <c r="I77" s="800" t="s">
        <v>10531</v>
      </c>
      <c r="J77" s="800" t="s">
        <v>10447</v>
      </c>
      <c r="K77" s="800">
        <v>1</v>
      </c>
      <c r="L77" s="802" t="s">
        <v>10398</v>
      </c>
      <c r="M77" s="802" t="s">
        <v>10801</v>
      </c>
      <c r="N77" s="802" t="s">
        <v>10802</v>
      </c>
      <c r="O77" s="802" t="s">
        <v>10803</v>
      </c>
      <c r="P77" s="807" t="s">
        <v>32</v>
      </c>
    </row>
    <row r="78" spans="1:16" s="341" customFormat="1" ht="15">
      <c r="A78" s="806" t="s">
        <v>6473</v>
      </c>
      <c r="B78" s="800" t="s">
        <v>1969</v>
      </c>
      <c r="C78" s="800" t="s">
        <v>1969</v>
      </c>
      <c r="D78" s="800" t="s">
        <v>10804</v>
      </c>
      <c r="E78" s="801">
        <v>43054</v>
      </c>
      <c r="F78" s="800" t="s">
        <v>10805</v>
      </c>
      <c r="G78" s="800" t="s">
        <v>10806</v>
      </c>
      <c r="H78" s="800" t="s">
        <v>10433</v>
      </c>
      <c r="I78" s="800" t="s">
        <v>10433</v>
      </c>
      <c r="J78" s="800" t="s">
        <v>4342</v>
      </c>
      <c r="K78" s="800">
        <v>1</v>
      </c>
      <c r="L78" s="802" t="s">
        <v>10398</v>
      </c>
      <c r="M78" s="802" t="s">
        <v>10807</v>
      </c>
      <c r="N78" s="802" t="s">
        <v>10808</v>
      </c>
      <c r="O78" s="802" t="s">
        <v>10809</v>
      </c>
      <c r="P78" s="807" t="s">
        <v>10810</v>
      </c>
    </row>
    <row r="79" spans="1:16" s="341" customFormat="1" ht="25.5" customHeight="1">
      <c r="A79" s="806" t="s">
        <v>6473</v>
      </c>
      <c r="B79" s="800" t="s">
        <v>1969</v>
      </c>
      <c r="C79" s="800" t="s">
        <v>1969</v>
      </c>
      <c r="D79" s="800" t="s">
        <v>10811</v>
      </c>
      <c r="E79" s="801">
        <v>43054</v>
      </c>
      <c r="F79" s="800" t="s">
        <v>10805</v>
      </c>
      <c r="G79" s="800" t="s">
        <v>10812</v>
      </c>
      <c r="H79" s="800" t="s">
        <v>10433</v>
      </c>
      <c r="I79" s="800" t="s">
        <v>10433</v>
      </c>
      <c r="J79" s="800" t="s">
        <v>4342</v>
      </c>
      <c r="K79" s="800">
        <v>1</v>
      </c>
      <c r="L79" s="802" t="s">
        <v>10398</v>
      </c>
      <c r="M79" s="802" t="s">
        <v>10807</v>
      </c>
      <c r="N79" s="802" t="s">
        <v>10808</v>
      </c>
      <c r="O79" s="802" t="s">
        <v>10809</v>
      </c>
      <c r="P79" s="807" t="s">
        <v>10810</v>
      </c>
    </row>
    <row r="80" spans="1:16" s="341" customFormat="1" ht="15" customHeight="1">
      <c r="A80" s="806" t="s">
        <v>6473</v>
      </c>
      <c r="B80" s="800" t="s">
        <v>1969</v>
      </c>
      <c r="C80" s="800" t="s">
        <v>1969</v>
      </c>
      <c r="D80" s="800" t="s">
        <v>10813</v>
      </c>
      <c r="E80" s="801">
        <v>43054</v>
      </c>
      <c r="F80" s="800" t="s">
        <v>10805</v>
      </c>
      <c r="G80" s="800" t="s">
        <v>10814</v>
      </c>
      <c r="H80" s="800" t="s">
        <v>10531</v>
      </c>
      <c r="I80" s="800" t="s">
        <v>10531</v>
      </c>
      <c r="J80" s="800" t="s">
        <v>10426</v>
      </c>
      <c r="K80" s="800">
        <v>1</v>
      </c>
      <c r="L80" s="802" t="s">
        <v>10398</v>
      </c>
      <c r="M80" s="802" t="s">
        <v>10815</v>
      </c>
      <c r="N80" s="802" t="s">
        <v>10816</v>
      </c>
      <c r="O80" s="802" t="s">
        <v>10817</v>
      </c>
      <c r="P80" s="807" t="s">
        <v>10818</v>
      </c>
    </row>
    <row r="81" spans="1:16" s="341" customFormat="1" ht="25.5" customHeight="1">
      <c r="A81" s="806" t="s">
        <v>6473</v>
      </c>
      <c r="B81" s="800" t="s">
        <v>1969</v>
      </c>
      <c r="C81" s="800" t="s">
        <v>1969</v>
      </c>
      <c r="D81" s="800" t="s">
        <v>10819</v>
      </c>
      <c r="E81" s="801">
        <v>43020</v>
      </c>
      <c r="F81" s="800" t="s">
        <v>10820</v>
      </c>
      <c r="G81" s="800" t="s">
        <v>10821</v>
      </c>
      <c r="H81" s="800" t="s">
        <v>10404</v>
      </c>
      <c r="I81" s="800" t="s">
        <v>10404</v>
      </c>
      <c r="J81" s="800" t="s">
        <v>10664</v>
      </c>
      <c r="K81" s="800">
        <v>1</v>
      </c>
      <c r="L81" s="802" t="s">
        <v>10398</v>
      </c>
      <c r="M81" s="802" t="s">
        <v>10822</v>
      </c>
      <c r="N81" s="802" t="s">
        <v>10823</v>
      </c>
      <c r="O81" s="802" t="s">
        <v>10824</v>
      </c>
      <c r="P81" s="807" t="s">
        <v>32</v>
      </c>
    </row>
    <row r="82" spans="1:16" s="341" customFormat="1" ht="25.5" customHeight="1">
      <c r="A82" s="806" t="s">
        <v>6473</v>
      </c>
      <c r="B82" s="800" t="s">
        <v>1969</v>
      </c>
      <c r="C82" s="800" t="s">
        <v>1969</v>
      </c>
      <c r="D82" s="800" t="s">
        <v>10825</v>
      </c>
      <c r="E82" s="801">
        <v>43020</v>
      </c>
      <c r="F82" s="800" t="s">
        <v>9453</v>
      </c>
      <c r="G82" s="800" t="s">
        <v>10821</v>
      </c>
      <c r="H82" s="800" t="s">
        <v>10404</v>
      </c>
      <c r="I82" s="800" t="s">
        <v>10404</v>
      </c>
      <c r="J82" s="800" t="s">
        <v>10664</v>
      </c>
      <c r="K82" s="800">
        <v>1</v>
      </c>
      <c r="L82" s="802" t="s">
        <v>10398</v>
      </c>
      <c r="M82" s="802" t="s">
        <v>10826</v>
      </c>
      <c r="N82" s="802" t="s">
        <v>10827</v>
      </c>
      <c r="O82" s="802" t="s">
        <v>10828</v>
      </c>
      <c r="P82" s="807" t="s">
        <v>10829</v>
      </c>
    </row>
    <row r="83" spans="1:16" s="341" customFormat="1" ht="25.5" customHeight="1">
      <c r="A83" s="806" t="s">
        <v>6473</v>
      </c>
      <c r="B83" s="800" t="s">
        <v>1969</v>
      </c>
      <c r="C83" s="800" t="s">
        <v>1969</v>
      </c>
      <c r="D83" s="800" t="s">
        <v>10830</v>
      </c>
      <c r="E83" s="801">
        <v>43020</v>
      </c>
      <c r="F83" s="800" t="s">
        <v>9453</v>
      </c>
      <c r="G83" s="800" t="s">
        <v>10821</v>
      </c>
      <c r="H83" s="800" t="s">
        <v>10404</v>
      </c>
      <c r="I83" s="800" t="s">
        <v>10404</v>
      </c>
      <c r="J83" s="800" t="s">
        <v>10664</v>
      </c>
      <c r="K83" s="800">
        <v>1</v>
      </c>
      <c r="L83" s="802" t="s">
        <v>10398</v>
      </c>
      <c r="M83" s="802" t="s">
        <v>10831</v>
      </c>
      <c r="N83" s="802" t="s">
        <v>10832</v>
      </c>
      <c r="O83" s="802" t="s">
        <v>10833</v>
      </c>
      <c r="P83" s="807" t="s">
        <v>10834</v>
      </c>
    </row>
    <row r="84" spans="1:16" s="341" customFormat="1" ht="15" customHeight="1">
      <c r="A84" s="806" t="s">
        <v>6473</v>
      </c>
      <c r="B84" s="800" t="s">
        <v>1969</v>
      </c>
      <c r="C84" s="800" t="s">
        <v>1969</v>
      </c>
      <c r="D84" s="800" t="s">
        <v>10835</v>
      </c>
      <c r="E84" s="801">
        <v>43020</v>
      </c>
      <c r="F84" s="800" t="s">
        <v>9453</v>
      </c>
      <c r="G84" s="800" t="s">
        <v>10821</v>
      </c>
      <c r="H84" s="800" t="s">
        <v>10404</v>
      </c>
      <c r="I84" s="800" t="s">
        <v>10404</v>
      </c>
      <c r="J84" s="800" t="s">
        <v>10664</v>
      </c>
      <c r="K84" s="800">
        <v>1</v>
      </c>
      <c r="L84" s="802" t="s">
        <v>10398</v>
      </c>
      <c r="M84" s="802" t="s">
        <v>10836</v>
      </c>
      <c r="N84" s="802" t="s">
        <v>10837</v>
      </c>
      <c r="O84" s="802" t="s">
        <v>10838</v>
      </c>
      <c r="P84" s="807" t="s">
        <v>10839</v>
      </c>
    </row>
    <row r="85" spans="1:16" s="341" customFormat="1" ht="15" customHeight="1">
      <c r="A85" s="806" t="s">
        <v>6473</v>
      </c>
      <c r="B85" s="800" t="s">
        <v>1969</v>
      </c>
      <c r="C85" s="800" t="s">
        <v>1969</v>
      </c>
      <c r="D85" s="800" t="s">
        <v>10840</v>
      </c>
      <c r="E85" s="801">
        <v>43020</v>
      </c>
      <c r="F85" s="800" t="s">
        <v>9453</v>
      </c>
      <c r="G85" s="800" t="s">
        <v>10821</v>
      </c>
      <c r="H85" s="800" t="s">
        <v>10404</v>
      </c>
      <c r="I85" s="800" t="s">
        <v>10404</v>
      </c>
      <c r="J85" s="800" t="s">
        <v>10664</v>
      </c>
      <c r="K85" s="800">
        <v>1</v>
      </c>
      <c r="L85" s="802" t="s">
        <v>10398</v>
      </c>
      <c r="M85" s="802" t="s">
        <v>10841</v>
      </c>
      <c r="N85" s="802" t="s">
        <v>10842</v>
      </c>
      <c r="O85" s="802" t="s">
        <v>10838</v>
      </c>
      <c r="P85" s="807" t="s">
        <v>10843</v>
      </c>
    </row>
    <row r="86" spans="1:16" s="341" customFormat="1" ht="15" customHeight="1">
      <c r="A86" s="806" t="s">
        <v>6473</v>
      </c>
      <c r="B86" s="800" t="s">
        <v>1969</v>
      </c>
      <c r="C86" s="800" t="s">
        <v>9540</v>
      </c>
      <c r="D86" s="800" t="s">
        <v>10844</v>
      </c>
      <c r="E86" s="801">
        <v>43032</v>
      </c>
      <c r="F86" s="800" t="s">
        <v>10845</v>
      </c>
      <c r="G86" s="800" t="s">
        <v>10846</v>
      </c>
      <c r="H86" s="800" t="s">
        <v>10404</v>
      </c>
      <c r="I86" s="800" t="s">
        <v>10404</v>
      </c>
      <c r="J86" s="800" t="s">
        <v>10426</v>
      </c>
      <c r="K86" s="800">
        <v>1</v>
      </c>
      <c r="L86" s="802" t="s">
        <v>10398</v>
      </c>
      <c r="M86" s="802" t="s">
        <v>10847</v>
      </c>
      <c r="N86" s="802" t="s">
        <v>10848</v>
      </c>
      <c r="O86" s="802" t="s">
        <v>10849</v>
      </c>
      <c r="P86" s="807" t="s">
        <v>10850</v>
      </c>
    </row>
    <row r="87" spans="1:16" s="341" customFormat="1" ht="25.5" customHeight="1">
      <c r="A87" s="806" t="s">
        <v>6473</v>
      </c>
      <c r="B87" s="800" t="s">
        <v>1969</v>
      </c>
      <c r="C87" s="800" t="s">
        <v>9540</v>
      </c>
      <c r="D87" s="800" t="s">
        <v>10851</v>
      </c>
      <c r="E87" s="801">
        <v>43032</v>
      </c>
      <c r="F87" s="800" t="s">
        <v>10852</v>
      </c>
      <c r="G87" s="800" t="s">
        <v>10853</v>
      </c>
      <c r="H87" s="800" t="s">
        <v>10404</v>
      </c>
      <c r="I87" s="800" t="s">
        <v>10404</v>
      </c>
      <c r="J87" s="800" t="s">
        <v>4342</v>
      </c>
      <c r="K87" s="800">
        <v>1</v>
      </c>
      <c r="L87" s="802" t="s">
        <v>10398</v>
      </c>
      <c r="M87" s="802" t="s">
        <v>10854</v>
      </c>
      <c r="N87" s="802" t="s">
        <v>10855</v>
      </c>
      <c r="O87" s="802" t="s">
        <v>10856</v>
      </c>
      <c r="P87" s="807" t="s">
        <v>10857</v>
      </c>
    </row>
    <row r="88" spans="1:16" s="341" customFormat="1" ht="25.5" customHeight="1">
      <c r="A88" s="806" t="s">
        <v>6473</v>
      </c>
      <c r="B88" s="800" t="s">
        <v>1969</v>
      </c>
      <c r="C88" s="800" t="s">
        <v>9540</v>
      </c>
      <c r="D88" s="800" t="s">
        <v>10858</v>
      </c>
      <c r="E88" s="801">
        <v>43032</v>
      </c>
      <c r="F88" s="800" t="s">
        <v>10859</v>
      </c>
      <c r="G88" s="800" t="s">
        <v>10860</v>
      </c>
      <c r="H88" s="800" t="s">
        <v>10404</v>
      </c>
      <c r="I88" s="800" t="s">
        <v>10404</v>
      </c>
      <c r="J88" s="800" t="s">
        <v>10426</v>
      </c>
      <c r="K88" s="800">
        <v>1</v>
      </c>
      <c r="L88" s="802" t="s">
        <v>10398</v>
      </c>
      <c r="M88" s="802" t="s">
        <v>10861</v>
      </c>
      <c r="N88" s="802" t="s">
        <v>10428</v>
      </c>
      <c r="O88" s="802" t="s">
        <v>10862</v>
      </c>
      <c r="P88" s="807" t="s">
        <v>10863</v>
      </c>
    </row>
    <row r="89" spans="1:16" s="341" customFormat="1" ht="25.5" customHeight="1">
      <c r="A89" s="806" t="s">
        <v>6473</v>
      </c>
      <c r="B89" s="800" t="s">
        <v>1969</v>
      </c>
      <c r="C89" s="800" t="s">
        <v>9540</v>
      </c>
      <c r="D89" s="800" t="s">
        <v>10864</v>
      </c>
      <c r="E89" s="801">
        <v>43034</v>
      </c>
      <c r="F89" s="800" t="s">
        <v>10865</v>
      </c>
      <c r="G89" s="800" t="s">
        <v>10866</v>
      </c>
      <c r="H89" s="800" t="s">
        <v>10404</v>
      </c>
      <c r="I89" s="800" t="s">
        <v>10404</v>
      </c>
      <c r="J89" s="800" t="s">
        <v>10664</v>
      </c>
      <c r="K89" s="800">
        <v>1</v>
      </c>
      <c r="L89" s="802" t="s">
        <v>10398</v>
      </c>
      <c r="M89" s="802" t="s">
        <v>10867</v>
      </c>
      <c r="N89" s="802" t="s">
        <v>10868</v>
      </c>
      <c r="O89" s="802" t="s">
        <v>10869</v>
      </c>
      <c r="P89" s="807" t="s">
        <v>10870</v>
      </c>
    </row>
    <row r="90" spans="1:16" s="341" customFormat="1" ht="25.5" customHeight="1">
      <c r="A90" s="806" t="s">
        <v>6473</v>
      </c>
      <c r="B90" s="800" t="s">
        <v>1969</v>
      </c>
      <c r="C90" s="800" t="s">
        <v>9540</v>
      </c>
      <c r="D90" s="800" t="s">
        <v>10871</v>
      </c>
      <c r="E90" s="801">
        <v>43035</v>
      </c>
      <c r="F90" s="800" t="s">
        <v>10865</v>
      </c>
      <c r="G90" s="800" t="s">
        <v>32</v>
      </c>
      <c r="H90" s="800" t="s">
        <v>10404</v>
      </c>
      <c r="I90" s="800" t="s">
        <v>10404</v>
      </c>
      <c r="J90" s="800" t="s">
        <v>10426</v>
      </c>
      <c r="K90" s="800">
        <v>1</v>
      </c>
      <c r="L90" s="802" t="s">
        <v>10398</v>
      </c>
      <c r="M90" s="802" t="s">
        <v>10872</v>
      </c>
      <c r="N90" s="802" t="s">
        <v>10808</v>
      </c>
      <c r="O90" s="802" t="s">
        <v>10873</v>
      </c>
      <c r="P90" s="807" t="s">
        <v>10874</v>
      </c>
    </row>
    <row r="91" spans="1:16" s="341" customFormat="1" ht="25.5" customHeight="1">
      <c r="A91" s="806" t="s">
        <v>6473</v>
      </c>
      <c r="B91" s="800" t="s">
        <v>1969</v>
      </c>
      <c r="C91" s="800" t="s">
        <v>9540</v>
      </c>
      <c r="D91" s="800" t="s">
        <v>10875</v>
      </c>
      <c r="E91" s="801">
        <v>43034</v>
      </c>
      <c r="F91" s="800" t="s">
        <v>10865</v>
      </c>
      <c r="G91" s="800" t="s">
        <v>32</v>
      </c>
      <c r="H91" s="800" t="s">
        <v>10404</v>
      </c>
      <c r="I91" s="800" t="s">
        <v>10404</v>
      </c>
      <c r="J91" s="800" t="s">
        <v>10426</v>
      </c>
      <c r="K91" s="800">
        <v>1</v>
      </c>
      <c r="L91" s="802" t="s">
        <v>10398</v>
      </c>
      <c r="M91" s="802" t="s">
        <v>10876</v>
      </c>
      <c r="N91" s="802" t="s">
        <v>10877</v>
      </c>
      <c r="O91" s="802" t="s">
        <v>10878</v>
      </c>
      <c r="P91" s="807" t="s">
        <v>10879</v>
      </c>
    </row>
    <row r="92" spans="1:16" s="341" customFormat="1" ht="25.5" customHeight="1">
      <c r="A92" s="806" t="s">
        <v>6473</v>
      </c>
      <c r="B92" s="800" t="s">
        <v>1969</v>
      </c>
      <c r="C92" s="800" t="s">
        <v>9540</v>
      </c>
      <c r="D92" s="800" t="s">
        <v>10880</v>
      </c>
      <c r="E92" s="801">
        <v>43034</v>
      </c>
      <c r="F92" s="800" t="s">
        <v>10881</v>
      </c>
      <c r="G92" s="800" t="s">
        <v>10882</v>
      </c>
      <c r="H92" s="800" t="s">
        <v>10404</v>
      </c>
      <c r="I92" s="800" t="s">
        <v>10404</v>
      </c>
      <c r="J92" s="800" t="s">
        <v>10664</v>
      </c>
      <c r="K92" s="800">
        <v>1</v>
      </c>
      <c r="L92" s="802" t="s">
        <v>10398</v>
      </c>
      <c r="M92" s="802" t="s">
        <v>10883</v>
      </c>
      <c r="N92" s="802" t="s">
        <v>10884</v>
      </c>
      <c r="O92" s="802" t="s">
        <v>10885</v>
      </c>
      <c r="P92" s="807" t="s">
        <v>10886</v>
      </c>
    </row>
    <row r="93" spans="1:16" s="341" customFormat="1" ht="25.5" customHeight="1">
      <c r="A93" s="806" t="s">
        <v>6473</v>
      </c>
      <c r="B93" s="800" t="s">
        <v>1969</v>
      </c>
      <c r="C93" s="800" t="s">
        <v>9540</v>
      </c>
      <c r="D93" s="800" t="s">
        <v>10887</v>
      </c>
      <c r="E93" s="801">
        <v>43034</v>
      </c>
      <c r="F93" s="800" t="s">
        <v>10881</v>
      </c>
      <c r="G93" s="800" t="s">
        <v>32</v>
      </c>
      <c r="H93" s="800" t="s">
        <v>10396</v>
      </c>
      <c r="I93" s="800" t="s">
        <v>10396</v>
      </c>
      <c r="J93" s="800" t="s">
        <v>10397</v>
      </c>
      <c r="K93" s="800">
        <v>1</v>
      </c>
      <c r="L93" s="802" t="s">
        <v>10398</v>
      </c>
      <c r="M93" s="802" t="s">
        <v>10888</v>
      </c>
      <c r="N93" s="802" t="s">
        <v>10889</v>
      </c>
      <c r="O93" s="802" t="s">
        <v>10890</v>
      </c>
      <c r="P93" s="807" t="s">
        <v>10891</v>
      </c>
    </row>
    <row r="94" spans="1:16" s="341" customFormat="1" ht="15" customHeight="1">
      <c r="A94" s="806" t="s">
        <v>6473</v>
      </c>
      <c r="B94" s="800" t="s">
        <v>1969</v>
      </c>
      <c r="C94" s="800" t="s">
        <v>9540</v>
      </c>
      <c r="D94" s="800" t="s">
        <v>10892</v>
      </c>
      <c r="E94" s="801">
        <v>43034</v>
      </c>
      <c r="F94" s="800" t="s">
        <v>10893</v>
      </c>
      <c r="G94" s="800" t="s">
        <v>32</v>
      </c>
      <c r="H94" s="800" t="s">
        <v>10396</v>
      </c>
      <c r="I94" s="800" t="s">
        <v>10396</v>
      </c>
      <c r="J94" s="800" t="s">
        <v>10397</v>
      </c>
      <c r="K94" s="800">
        <v>1</v>
      </c>
      <c r="L94" s="802" t="s">
        <v>10398</v>
      </c>
      <c r="M94" s="802" t="s">
        <v>10894</v>
      </c>
      <c r="N94" s="802" t="s">
        <v>10895</v>
      </c>
      <c r="O94" s="802" t="s">
        <v>10896</v>
      </c>
      <c r="P94" s="807" t="s">
        <v>10897</v>
      </c>
    </row>
    <row r="95" spans="1:16" s="341" customFormat="1" ht="25.5" customHeight="1">
      <c r="A95" s="806" t="s">
        <v>6473</v>
      </c>
      <c r="B95" s="800" t="s">
        <v>1969</v>
      </c>
      <c r="C95" s="800" t="s">
        <v>9540</v>
      </c>
      <c r="D95" s="800" t="s">
        <v>10898</v>
      </c>
      <c r="E95" s="801">
        <v>43034</v>
      </c>
      <c r="F95" s="800" t="s">
        <v>10899</v>
      </c>
      <c r="G95" s="800" t="s">
        <v>10900</v>
      </c>
      <c r="H95" s="800" t="s">
        <v>10404</v>
      </c>
      <c r="I95" s="800" t="s">
        <v>10404</v>
      </c>
      <c r="J95" s="800" t="s">
        <v>10664</v>
      </c>
      <c r="K95" s="800">
        <v>1</v>
      </c>
      <c r="L95" s="802" t="s">
        <v>10398</v>
      </c>
      <c r="M95" s="802" t="s">
        <v>10901</v>
      </c>
      <c r="N95" s="802" t="s">
        <v>10902</v>
      </c>
      <c r="O95" s="802" t="s">
        <v>10903</v>
      </c>
      <c r="P95" s="807" t="s">
        <v>10904</v>
      </c>
    </row>
    <row r="96" spans="1:16" s="341" customFormat="1" ht="15" customHeight="1">
      <c r="A96" s="806" t="s">
        <v>6473</v>
      </c>
      <c r="B96" s="800" t="s">
        <v>1969</v>
      </c>
      <c r="C96" s="800" t="s">
        <v>9540</v>
      </c>
      <c r="D96" s="800" t="s">
        <v>10905</v>
      </c>
      <c r="E96" s="801">
        <v>43034</v>
      </c>
      <c r="F96" s="800" t="s">
        <v>10906</v>
      </c>
      <c r="G96" s="800" t="s">
        <v>10907</v>
      </c>
      <c r="H96" s="800" t="s">
        <v>10531</v>
      </c>
      <c r="I96" s="800" t="s">
        <v>10531</v>
      </c>
      <c r="J96" s="800" t="s">
        <v>10397</v>
      </c>
      <c r="K96" s="800">
        <v>1</v>
      </c>
      <c r="L96" s="802" t="s">
        <v>10398</v>
      </c>
      <c r="M96" s="802" t="s">
        <v>10908</v>
      </c>
      <c r="N96" s="802" t="s">
        <v>10909</v>
      </c>
      <c r="O96" s="802" t="s">
        <v>10910</v>
      </c>
      <c r="P96" s="807" t="s">
        <v>10911</v>
      </c>
    </row>
    <row r="97" spans="1:16" s="341" customFormat="1" ht="25.5" customHeight="1">
      <c r="A97" s="806" t="s">
        <v>6473</v>
      </c>
      <c r="B97" s="800" t="s">
        <v>1969</v>
      </c>
      <c r="C97" s="800" t="s">
        <v>9540</v>
      </c>
      <c r="D97" s="800" t="s">
        <v>10912</v>
      </c>
      <c r="E97" s="801">
        <v>43032</v>
      </c>
      <c r="F97" s="800" t="s">
        <v>10859</v>
      </c>
      <c r="G97" s="800" t="s">
        <v>10913</v>
      </c>
      <c r="H97" s="800" t="s">
        <v>10396</v>
      </c>
      <c r="I97" s="800" t="s">
        <v>10396</v>
      </c>
      <c r="J97" s="800" t="s">
        <v>10397</v>
      </c>
      <c r="K97" s="800">
        <v>1</v>
      </c>
      <c r="L97" s="802" t="s">
        <v>10398</v>
      </c>
      <c r="M97" s="802" t="s">
        <v>10914</v>
      </c>
      <c r="N97" s="802" t="s">
        <v>10915</v>
      </c>
      <c r="O97" s="802" t="s">
        <v>10916</v>
      </c>
      <c r="P97" s="807" t="s">
        <v>10917</v>
      </c>
    </row>
    <row r="98" spans="1:16" s="341" customFormat="1" ht="25.5" customHeight="1">
      <c r="A98" s="806" t="s">
        <v>6473</v>
      </c>
      <c r="B98" s="800" t="s">
        <v>1969</v>
      </c>
      <c r="C98" s="800" t="s">
        <v>9540</v>
      </c>
      <c r="D98" s="800" t="s">
        <v>10918</v>
      </c>
      <c r="E98" s="801">
        <v>43034</v>
      </c>
      <c r="F98" s="800" t="s">
        <v>10919</v>
      </c>
      <c r="G98" s="800" t="s">
        <v>10920</v>
      </c>
      <c r="H98" s="800" t="s">
        <v>10433</v>
      </c>
      <c r="I98" s="800" t="s">
        <v>10433</v>
      </c>
      <c r="J98" s="800" t="s">
        <v>10447</v>
      </c>
      <c r="K98" s="800">
        <v>1</v>
      </c>
      <c r="L98" s="802" t="s">
        <v>10398</v>
      </c>
      <c r="M98" s="802" t="s">
        <v>10921</v>
      </c>
      <c r="N98" s="802" t="s">
        <v>10922</v>
      </c>
      <c r="O98" s="802" t="s">
        <v>10923</v>
      </c>
      <c r="P98" s="807" t="s">
        <v>10924</v>
      </c>
    </row>
    <row r="99" spans="1:16" s="341" customFormat="1" ht="25.5" customHeight="1">
      <c r="A99" s="806" t="s">
        <v>6473</v>
      </c>
      <c r="B99" s="800" t="s">
        <v>1969</v>
      </c>
      <c r="C99" s="800" t="s">
        <v>9540</v>
      </c>
      <c r="D99" s="800" t="s">
        <v>10925</v>
      </c>
      <c r="E99" s="801">
        <v>43041</v>
      </c>
      <c r="F99" s="800" t="s">
        <v>2323</v>
      </c>
      <c r="G99" s="800" t="s">
        <v>32</v>
      </c>
      <c r="H99" s="800" t="s">
        <v>10433</v>
      </c>
      <c r="I99" s="800" t="s">
        <v>10433</v>
      </c>
      <c r="J99" s="800" t="s">
        <v>10447</v>
      </c>
      <c r="K99" s="800">
        <v>1</v>
      </c>
      <c r="L99" s="802" t="s">
        <v>10398</v>
      </c>
      <c r="M99" s="802" t="s">
        <v>10926</v>
      </c>
      <c r="N99" s="802" t="s">
        <v>10927</v>
      </c>
      <c r="O99" s="802" t="s">
        <v>10928</v>
      </c>
      <c r="P99" s="807" t="s">
        <v>10929</v>
      </c>
    </row>
    <row r="100" spans="1:16" s="341" customFormat="1" ht="25.5" customHeight="1">
      <c r="A100" s="806" t="s">
        <v>6473</v>
      </c>
      <c r="B100" s="800" t="s">
        <v>1969</v>
      </c>
      <c r="C100" s="800" t="s">
        <v>9540</v>
      </c>
      <c r="D100" s="800" t="s">
        <v>10930</v>
      </c>
      <c r="E100" s="801">
        <v>43032</v>
      </c>
      <c r="F100" s="800" t="s">
        <v>10859</v>
      </c>
      <c r="G100" s="800" t="s">
        <v>10931</v>
      </c>
      <c r="H100" s="800" t="s">
        <v>10404</v>
      </c>
      <c r="I100" s="800" t="s">
        <v>10404</v>
      </c>
      <c r="J100" s="800" t="s">
        <v>10664</v>
      </c>
      <c r="K100" s="800">
        <v>1</v>
      </c>
      <c r="L100" s="802" t="s">
        <v>10398</v>
      </c>
      <c r="M100" s="802" t="s">
        <v>10932</v>
      </c>
      <c r="N100" s="802" t="s">
        <v>10933</v>
      </c>
      <c r="O100" s="802" t="s">
        <v>10862</v>
      </c>
      <c r="P100" s="807" t="s">
        <v>10934</v>
      </c>
    </row>
    <row r="101" spans="1:16" s="341" customFormat="1" ht="25.5" customHeight="1">
      <c r="A101" s="806" t="s">
        <v>6473</v>
      </c>
      <c r="B101" s="800" t="s">
        <v>1969</v>
      </c>
      <c r="C101" s="800" t="s">
        <v>2067</v>
      </c>
      <c r="D101" s="800" t="s">
        <v>10935</v>
      </c>
      <c r="E101" s="801">
        <v>43034</v>
      </c>
      <c r="F101" s="800" t="s">
        <v>10936</v>
      </c>
      <c r="G101" s="800" t="s">
        <v>10937</v>
      </c>
      <c r="H101" s="800" t="s">
        <v>10396</v>
      </c>
      <c r="I101" s="800" t="s">
        <v>10396</v>
      </c>
      <c r="J101" s="800" t="s">
        <v>10405</v>
      </c>
      <c r="K101" s="800">
        <v>1</v>
      </c>
      <c r="L101" s="802" t="s">
        <v>10398</v>
      </c>
      <c r="M101" s="802" t="s">
        <v>10938</v>
      </c>
      <c r="N101" s="802" t="s">
        <v>10939</v>
      </c>
      <c r="O101" s="802" t="s">
        <v>10940</v>
      </c>
      <c r="P101" s="807" t="s">
        <v>10941</v>
      </c>
    </row>
    <row r="102" spans="1:16" s="341" customFormat="1" ht="15" customHeight="1">
      <c r="A102" s="806" t="s">
        <v>6473</v>
      </c>
      <c r="B102" s="800" t="s">
        <v>1969</v>
      </c>
      <c r="C102" s="800" t="s">
        <v>2067</v>
      </c>
      <c r="D102" s="800" t="s">
        <v>10942</v>
      </c>
      <c r="E102" s="801">
        <v>43034</v>
      </c>
      <c r="F102" s="800" t="s">
        <v>10936</v>
      </c>
      <c r="G102" s="800" t="s">
        <v>10943</v>
      </c>
      <c r="H102" s="800" t="s">
        <v>10433</v>
      </c>
      <c r="I102" s="800" t="s">
        <v>10433</v>
      </c>
      <c r="J102" s="800" t="s">
        <v>10447</v>
      </c>
      <c r="K102" s="800">
        <v>1</v>
      </c>
      <c r="L102" s="802" t="s">
        <v>10398</v>
      </c>
      <c r="M102" s="802" t="s">
        <v>10944</v>
      </c>
      <c r="N102" s="802" t="s">
        <v>10945</v>
      </c>
      <c r="O102" s="802" t="s">
        <v>10946</v>
      </c>
      <c r="P102" s="807" t="s">
        <v>10947</v>
      </c>
    </row>
    <row r="103" spans="1:16" s="341" customFormat="1" ht="15" customHeight="1">
      <c r="A103" s="806" t="s">
        <v>6473</v>
      </c>
      <c r="B103" s="800" t="s">
        <v>1969</v>
      </c>
      <c r="C103" s="800" t="s">
        <v>2067</v>
      </c>
      <c r="D103" s="800" t="s">
        <v>10948</v>
      </c>
      <c r="E103" s="801">
        <v>43034</v>
      </c>
      <c r="F103" s="800" t="s">
        <v>10936</v>
      </c>
      <c r="G103" s="800" t="s">
        <v>10949</v>
      </c>
      <c r="H103" s="800" t="s">
        <v>10433</v>
      </c>
      <c r="I103" s="800" t="s">
        <v>10433</v>
      </c>
      <c r="J103" s="800" t="s">
        <v>10447</v>
      </c>
      <c r="K103" s="800">
        <v>1</v>
      </c>
      <c r="L103" s="802" t="s">
        <v>10398</v>
      </c>
      <c r="M103" s="802" t="s">
        <v>10950</v>
      </c>
      <c r="N103" s="802" t="s">
        <v>10951</v>
      </c>
      <c r="O103" s="802" t="s">
        <v>10952</v>
      </c>
      <c r="P103" s="807" t="s">
        <v>10953</v>
      </c>
    </row>
    <row r="104" spans="1:16" s="341" customFormat="1" ht="25.5" customHeight="1">
      <c r="A104" s="806" t="s">
        <v>6473</v>
      </c>
      <c r="B104" s="800" t="s">
        <v>1969</v>
      </c>
      <c r="C104" s="800" t="s">
        <v>2067</v>
      </c>
      <c r="D104" s="800" t="s">
        <v>10954</v>
      </c>
      <c r="E104" s="801">
        <v>43034</v>
      </c>
      <c r="F104" s="800" t="s">
        <v>10936</v>
      </c>
      <c r="G104" s="800" t="s">
        <v>10955</v>
      </c>
      <c r="H104" s="800" t="s">
        <v>10433</v>
      </c>
      <c r="I104" s="800" t="s">
        <v>10433</v>
      </c>
      <c r="J104" s="800" t="s">
        <v>10447</v>
      </c>
      <c r="K104" s="800">
        <v>1</v>
      </c>
      <c r="L104" s="802" t="s">
        <v>10398</v>
      </c>
      <c r="M104" s="802" t="s">
        <v>10956</v>
      </c>
      <c r="N104" s="802" t="s">
        <v>10957</v>
      </c>
      <c r="O104" s="802" t="s">
        <v>10958</v>
      </c>
      <c r="P104" s="807" t="s">
        <v>10959</v>
      </c>
    </row>
    <row r="105" spans="1:16" s="341" customFormat="1" ht="25.5" customHeight="1">
      <c r="A105" s="806" t="s">
        <v>6473</v>
      </c>
      <c r="B105" s="800" t="s">
        <v>1969</v>
      </c>
      <c r="C105" s="800" t="s">
        <v>2067</v>
      </c>
      <c r="D105" s="800" t="s">
        <v>10960</v>
      </c>
      <c r="E105" s="801">
        <v>43034</v>
      </c>
      <c r="F105" s="800" t="s">
        <v>10936</v>
      </c>
      <c r="G105" s="800" t="s">
        <v>10961</v>
      </c>
      <c r="H105" s="800" t="s">
        <v>10433</v>
      </c>
      <c r="I105" s="800" t="s">
        <v>10433</v>
      </c>
      <c r="J105" s="800" t="s">
        <v>10447</v>
      </c>
      <c r="K105" s="800">
        <v>1</v>
      </c>
      <c r="L105" s="802" t="s">
        <v>10398</v>
      </c>
      <c r="M105" s="802" t="s">
        <v>10962</v>
      </c>
      <c r="N105" s="802" t="s">
        <v>10963</v>
      </c>
      <c r="O105" s="802" t="s">
        <v>10952</v>
      </c>
      <c r="P105" s="807" t="s">
        <v>10964</v>
      </c>
    </row>
    <row r="106" spans="1:16" s="341" customFormat="1" ht="25.5" customHeight="1">
      <c r="A106" s="806" t="s">
        <v>6473</v>
      </c>
      <c r="B106" s="800" t="s">
        <v>1969</v>
      </c>
      <c r="C106" s="800" t="s">
        <v>2067</v>
      </c>
      <c r="D106" s="800" t="s">
        <v>10965</v>
      </c>
      <c r="E106" s="801">
        <v>43034</v>
      </c>
      <c r="F106" s="800" t="s">
        <v>10936</v>
      </c>
      <c r="G106" s="800" t="s">
        <v>10955</v>
      </c>
      <c r="H106" s="800" t="s">
        <v>10433</v>
      </c>
      <c r="I106" s="800" t="s">
        <v>10433</v>
      </c>
      <c r="J106" s="800" t="s">
        <v>10447</v>
      </c>
      <c r="K106" s="800">
        <v>1</v>
      </c>
      <c r="L106" s="802" t="s">
        <v>10398</v>
      </c>
      <c r="M106" s="802" t="s">
        <v>10966</v>
      </c>
      <c r="N106" s="802" t="s">
        <v>10967</v>
      </c>
      <c r="O106" s="802" t="s">
        <v>10952</v>
      </c>
      <c r="P106" s="807" t="s">
        <v>10968</v>
      </c>
    </row>
    <row r="107" spans="1:16" s="341" customFormat="1" ht="25.5" customHeight="1">
      <c r="A107" s="806" t="s">
        <v>6473</v>
      </c>
      <c r="B107" s="800" t="s">
        <v>1969</v>
      </c>
      <c r="C107" s="800" t="s">
        <v>2067</v>
      </c>
      <c r="D107" s="800" t="s">
        <v>10969</v>
      </c>
      <c r="E107" s="801">
        <v>43034</v>
      </c>
      <c r="F107" s="800" t="s">
        <v>10936</v>
      </c>
      <c r="G107" s="800" t="s">
        <v>10970</v>
      </c>
      <c r="H107" s="800" t="s">
        <v>10433</v>
      </c>
      <c r="I107" s="800" t="s">
        <v>10433</v>
      </c>
      <c r="J107" s="800" t="s">
        <v>10447</v>
      </c>
      <c r="K107" s="800">
        <v>1</v>
      </c>
      <c r="L107" s="802" t="s">
        <v>10398</v>
      </c>
      <c r="M107" s="802" t="s">
        <v>10971</v>
      </c>
      <c r="N107" s="802" t="s">
        <v>10972</v>
      </c>
      <c r="O107" s="802" t="s">
        <v>10952</v>
      </c>
      <c r="P107" s="807" t="s">
        <v>10973</v>
      </c>
    </row>
    <row r="108" spans="1:16" s="341" customFormat="1" ht="25.5" customHeight="1">
      <c r="A108" s="806" t="s">
        <v>6473</v>
      </c>
      <c r="B108" s="800" t="s">
        <v>1969</v>
      </c>
      <c r="C108" s="800" t="s">
        <v>2067</v>
      </c>
      <c r="D108" s="800" t="s">
        <v>10974</v>
      </c>
      <c r="E108" s="801">
        <v>43034</v>
      </c>
      <c r="F108" s="800" t="s">
        <v>10936</v>
      </c>
      <c r="G108" s="800" t="s">
        <v>10975</v>
      </c>
      <c r="H108" s="800" t="s">
        <v>10396</v>
      </c>
      <c r="I108" s="800" t="s">
        <v>10396</v>
      </c>
      <c r="J108" s="800" t="s">
        <v>10447</v>
      </c>
      <c r="K108" s="800">
        <v>1</v>
      </c>
      <c r="L108" s="802" t="s">
        <v>10398</v>
      </c>
      <c r="M108" s="802" t="s">
        <v>10976</v>
      </c>
      <c r="N108" s="802" t="s">
        <v>10977</v>
      </c>
      <c r="O108" s="802" t="s">
        <v>10952</v>
      </c>
      <c r="P108" s="807" t="s">
        <v>10978</v>
      </c>
    </row>
    <row r="109" spans="1:16" s="341" customFormat="1" ht="25.5" customHeight="1">
      <c r="A109" s="806" t="s">
        <v>6473</v>
      </c>
      <c r="B109" s="800" t="s">
        <v>1969</v>
      </c>
      <c r="C109" s="800" t="s">
        <v>2067</v>
      </c>
      <c r="D109" s="800" t="s">
        <v>10979</v>
      </c>
      <c r="E109" s="801">
        <v>43034</v>
      </c>
      <c r="F109" s="800" t="s">
        <v>10936</v>
      </c>
      <c r="G109" s="800" t="s">
        <v>10980</v>
      </c>
      <c r="H109" s="800" t="s">
        <v>10531</v>
      </c>
      <c r="I109" s="800" t="s">
        <v>10531</v>
      </c>
      <c r="J109" s="800" t="s">
        <v>10447</v>
      </c>
      <c r="K109" s="800">
        <v>1</v>
      </c>
      <c r="L109" s="802" t="s">
        <v>10398</v>
      </c>
      <c r="M109" s="802" t="s">
        <v>10981</v>
      </c>
      <c r="N109" s="802" t="s">
        <v>10982</v>
      </c>
      <c r="O109" s="802" t="s">
        <v>10952</v>
      </c>
      <c r="P109" s="807" t="s">
        <v>10983</v>
      </c>
    </row>
    <row r="110" spans="1:16" s="341" customFormat="1" ht="25.5" customHeight="1">
      <c r="A110" s="806" t="s">
        <v>6473</v>
      </c>
      <c r="B110" s="800" t="s">
        <v>1969</v>
      </c>
      <c r="C110" s="800" t="s">
        <v>2067</v>
      </c>
      <c r="D110" s="800" t="s">
        <v>10984</v>
      </c>
      <c r="E110" s="801">
        <v>43018</v>
      </c>
      <c r="F110" s="800" t="s">
        <v>10985</v>
      </c>
      <c r="G110" s="800" t="s">
        <v>10986</v>
      </c>
      <c r="H110" s="800" t="s">
        <v>10404</v>
      </c>
      <c r="I110" s="800" t="s">
        <v>10404</v>
      </c>
      <c r="J110" s="800" t="s">
        <v>4342</v>
      </c>
      <c r="K110" s="800">
        <v>1</v>
      </c>
      <c r="L110" s="802" t="s">
        <v>10398</v>
      </c>
      <c r="M110" s="802" t="s">
        <v>10987</v>
      </c>
      <c r="N110" s="802" t="s">
        <v>10988</v>
      </c>
      <c r="O110" s="802" t="s">
        <v>10989</v>
      </c>
      <c r="P110" s="807" t="s">
        <v>10990</v>
      </c>
    </row>
    <row r="111" spans="1:16" s="341" customFormat="1" ht="25.5" customHeight="1">
      <c r="A111" s="806" t="s">
        <v>6473</v>
      </c>
      <c r="B111" s="800" t="s">
        <v>1969</v>
      </c>
      <c r="C111" s="800" t="s">
        <v>2067</v>
      </c>
      <c r="D111" s="800" t="s">
        <v>10991</v>
      </c>
      <c r="E111" s="801">
        <v>43018</v>
      </c>
      <c r="F111" s="800" t="s">
        <v>10985</v>
      </c>
      <c r="G111" s="800" t="s">
        <v>10992</v>
      </c>
      <c r="H111" s="800" t="s">
        <v>10531</v>
      </c>
      <c r="I111" s="800" t="s">
        <v>10531</v>
      </c>
      <c r="J111" s="800" t="s">
        <v>10397</v>
      </c>
      <c r="K111" s="800">
        <v>1</v>
      </c>
      <c r="L111" s="802" t="s">
        <v>10398</v>
      </c>
      <c r="M111" s="802" t="s">
        <v>10993</v>
      </c>
      <c r="N111" s="802" t="s">
        <v>10994</v>
      </c>
      <c r="O111" s="802" t="s">
        <v>10995</v>
      </c>
      <c r="P111" s="807" t="s">
        <v>10996</v>
      </c>
    </row>
    <row r="112" spans="1:16" s="341" customFormat="1" ht="25.5" customHeight="1">
      <c r="A112" s="806" t="s">
        <v>6473</v>
      </c>
      <c r="B112" s="800" t="s">
        <v>1969</v>
      </c>
      <c r="C112" s="800" t="s">
        <v>2067</v>
      </c>
      <c r="D112" s="800" t="s">
        <v>10997</v>
      </c>
      <c r="E112" s="801">
        <v>43018</v>
      </c>
      <c r="F112" s="800" t="s">
        <v>10985</v>
      </c>
      <c r="G112" s="800" t="s">
        <v>10998</v>
      </c>
      <c r="H112" s="800" t="s">
        <v>10433</v>
      </c>
      <c r="I112" s="800" t="s">
        <v>10433</v>
      </c>
      <c r="J112" s="800" t="s">
        <v>10397</v>
      </c>
      <c r="K112" s="800">
        <v>1</v>
      </c>
      <c r="L112" s="802" t="s">
        <v>10398</v>
      </c>
      <c r="M112" s="802" t="s">
        <v>10999</v>
      </c>
      <c r="N112" s="802" t="s">
        <v>10596</v>
      </c>
      <c r="O112" s="802" t="s">
        <v>11000</v>
      </c>
      <c r="P112" s="807" t="s">
        <v>11001</v>
      </c>
    </row>
    <row r="113" spans="1:16" s="341" customFormat="1" ht="15" customHeight="1">
      <c r="A113" s="806" t="s">
        <v>6473</v>
      </c>
      <c r="B113" s="800" t="s">
        <v>1969</v>
      </c>
      <c r="C113" s="800" t="s">
        <v>2067</v>
      </c>
      <c r="D113" s="800" t="s">
        <v>11002</v>
      </c>
      <c r="E113" s="801">
        <v>43018</v>
      </c>
      <c r="F113" s="800" t="s">
        <v>10985</v>
      </c>
      <c r="G113" s="800" t="s">
        <v>11003</v>
      </c>
      <c r="H113" s="800" t="s">
        <v>10433</v>
      </c>
      <c r="I113" s="800" t="s">
        <v>10433</v>
      </c>
      <c r="J113" s="800" t="s">
        <v>10447</v>
      </c>
      <c r="K113" s="800">
        <v>1</v>
      </c>
      <c r="L113" s="802" t="s">
        <v>10398</v>
      </c>
      <c r="M113" s="802" t="s">
        <v>11004</v>
      </c>
      <c r="N113" s="802" t="s">
        <v>11005</v>
      </c>
      <c r="O113" s="802" t="s">
        <v>11006</v>
      </c>
      <c r="P113" s="807" t="s">
        <v>32</v>
      </c>
    </row>
    <row r="114" spans="1:16" s="341" customFormat="1" ht="15" customHeight="1">
      <c r="A114" s="806" t="s">
        <v>6473</v>
      </c>
      <c r="B114" s="800" t="s">
        <v>1969</v>
      </c>
      <c r="C114" s="800" t="s">
        <v>2067</v>
      </c>
      <c r="D114" s="800" t="s">
        <v>11007</v>
      </c>
      <c r="E114" s="801">
        <v>43018</v>
      </c>
      <c r="F114" s="800" t="s">
        <v>10985</v>
      </c>
      <c r="G114" s="800" t="s">
        <v>11008</v>
      </c>
      <c r="H114" s="800" t="s">
        <v>10433</v>
      </c>
      <c r="I114" s="800" t="s">
        <v>10433</v>
      </c>
      <c r="J114" s="800" t="s">
        <v>10447</v>
      </c>
      <c r="K114" s="800">
        <v>1</v>
      </c>
      <c r="L114" s="802" t="s">
        <v>10398</v>
      </c>
      <c r="M114" s="802" t="s">
        <v>11009</v>
      </c>
      <c r="N114" s="802" t="s">
        <v>11010</v>
      </c>
      <c r="O114" s="802" t="s">
        <v>11011</v>
      </c>
      <c r="P114" s="807" t="s">
        <v>11012</v>
      </c>
    </row>
    <row r="115" spans="1:16" s="341" customFormat="1" ht="38.25" customHeight="1">
      <c r="A115" s="806" t="s">
        <v>6473</v>
      </c>
      <c r="B115" s="800" t="s">
        <v>1969</v>
      </c>
      <c r="C115" s="800" t="s">
        <v>2067</v>
      </c>
      <c r="D115" s="800" t="s">
        <v>11013</v>
      </c>
      <c r="E115" s="801">
        <v>43018</v>
      </c>
      <c r="F115" s="800" t="s">
        <v>10985</v>
      </c>
      <c r="G115" s="800" t="s">
        <v>11014</v>
      </c>
      <c r="H115" s="800" t="s">
        <v>10396</v>
      </c>
      <c r="I115" s="800" t="s">
        <v>10396</v>
      </c>
      <c r="J115" s="800" t="s">
        <v>10664</v>
      </c>
      <c r="K115" s="800">
        <v>1</v>
      </c>
      <c r="L115" s="802" t="s">
        <v>10398</v>
      </c>
      <c r="M115" s="802" t="s">
        <v>11015</v>
      </c>
      <c r="N115" s="802" t="s">
        <v>10868</v>
      </c>
      <c r="O115" s="802" t="s">
        <v>11016</v>
      </c>
      <c r="P115" s="807" t="s">
        <v>32</v>
      </c>
    </row>
    <row r="116" spans="1:16" s="341" customFormat="1" ht="25.5" customHeight="1">
      <c r="A116" s="806" t="s">
        <v>6473</v>
      </c>
      <c r="B116" s="800" t="s">
        <v>1969</v>
      </c>
      <c r="C116" s="800" t="s">
        <v>2067</v>
      </c>
      <c r="D116" s="800" t="s">
        <v>11017</v>
      </c>
      <c r="E116" s="801">
        <v>43033</v>
      </c>
      <c r="F116" s="800" t="s">
        <v>10985</v>
      </c>
      <c r="G116" s="800" t="s">
        <v>11018</v>
      </c>
      <c r="H116" s="800" t="s">
        <v>10433</v>
      </c>
      <c r="I116" s="800" t="s">
        <v>10433</v>
      </c>
      <c r="J116" s="800" t="s">
        <v>10447</v>
      </c>
      <c r="K116" s="800">
        <v>1</v>
      </c>
      <c r="L116" s="802" t="s">
        <v>10398</v>
      </c>
      <c r="M116" s="802" t="s">
        <v>11019</v>
      </c>
      <c r="N116" s="802" t="s">
        <v>11020</v>
      </c>
      <c r="O116" s="802" t="s">
        <v>11021</v>
      </c>
      <c r="P116" s="807" t="s">
        <v>11022</v>
      </c>
    </row>
    <row r="117" spans="1:16" s="341" customFormat="1" ht="25.5" customHeight="1">
      <c r="A117" s="806" t="s">
        <v>6473</v>
      </c>
      <c r="B117" s="800" t="s">
        <v>1969</v>
      </c>
      <c r="C117" s="800" t="s">
        <v>2067</v>
      </c>
      <c r="D117" s="800" t="s">
        <v>11023</v>
      </c>
      <c r="E117" s="801">
        <v>43033</v>
      </c>
      <c r="F117" s="800" t="s">
        <v>11024</v>
      </c>
      <c r="G117" s="800" t="s">
        <v>11025</v>
      </c>
      <c r="H117" s="800" t="s">
        <v>10531</v>
      </c>
      <c r="I117" s="800" t="s">
        <v>10531</v>
      </c>
      <c r="J117" s="800" t="s">
        <v>10447</v>
      </c>
      <c r="K117" s="800">
        <v>1</v>
      </c>
      <c r="L117" s="802" t="s">
        <v>11026</v>
      </c>
      <c r="M117" s="802" t="s">
        <v>11027</v>
      </c>
      <c r="N117" s="802" t="s">
        <v>11028</v>
      </c>
      <c r="O117" s="802" t="s">
        <v>11029</v>
      </c>
      <c r="P117" s="807" t="s">
        <v>11030</v>
      </c>
    </row>
    <row r="118" spans="1:16" s="341" customFormat="1" ht="25.5" customHeight="1">
      <c r="A118" s="806" t="s">
        <v>6473</v>
      </c>
      <c r="B118" s="800" t="s">
        <v>1969</v>
      </c>
      <c r="C118" s="800" t="s">
        <v>2067</v>
      </c>
      <c r="D118" s="800" t="s">
        <v>11031</v>
      </c>
      <c r="E118" s="801">
        <v>43028</v>
      </c>
      <c r="F118" s="800" t="s">
        <v>2067</v>
      </c>
      <c r="G118" s="800" t="s">
        <v>11032</v>
      </c>
      <c r="H118" s="800" t="s">
        <v>10433</v>
      </c>
      <c r="I118" s="800" t="s">
        <v>10433</v>
      </c>
      <c r="J118" s="800" t="s">
        <v>4342</v>
      </c>
      <c r="K118" s="800">
        <v>1</v>
      </c>
      <c r="L118" s="802" t="s">
        <v>10398</v>
      </c>
      <c r="M118" s="802" t="s">
        <v>11033</v>
      </c>
      <c r="N118" s="802" t="s">
        <v>11034</v>
      </c>
      <c r="O118" s="802" t="s">
        <v>11035</v>
      </c>
      <c r="P118" s="807" t="s">
        <v>11036</v>
      </c>
    </row>
    <row r="119" spans="1:16" s="341" customFormat="1" ht="25.5">
      <c r="A119" s="806" t="s">
        <v>6473</v>
      </c>
      <c r="B119" s="800" t="s">
        <v>1969</v>
      </c>
      <c r="C119" s="800" t="s">
        <v>2067</v>
      </c>
      <c r="D119" s="800" t="s">
        <v>11037</v>
      </c>
      <c r="E119" s="801">
        <v>43018</v>
      </c>
      <c r="F119" s="800" t="s">
        <v>11038</v>
      </c>
      <c r="G119" s="800" t="s">
        <v>11039</v>
      </c>
      <c r="H119" s="800" t="s">
        <v>10433</v>
      </c>
      <c r="I119" s="800" t="s">
        <v>10433</v>
      </c>
      <c r="J119" s="800" t="s">
        <v>10447</v>
      </c>
      <c r="K119" s="800">
        <v>1</v>
      </c>
      <c r="L119" s="802" t="s">
        <v>10398</v>
      </c>
      <c r="M119" s="802" t="s">
        <v>11040</v>
      </c>
      <c r="N119" s="802" t="s">
        <v>11041</v>
      </c>
      <c r="O119" s="802" t="s">
        <v>11042</v>
      </c>
      <c r="P119" s="807" t="s">
        <v>11012</v>
      </c>
    </row>
    <row r="120" spans="1:16" s="341" customFormat="1" ht="25.5">
      <c r="A120" s="806" t="s">
        <v>6473</v>
      </c>
      <c r="B120" s="800" t="s">
        <v>1969</v>
      </c>
      <c r="C120" s="800" t="s">
        <v>2067</v>
      </c>
      <c r="D120" s="800" t="s">
        <v>11043</v>
      </c>
      <c r="E120" s="801">
        <v>43033</v>
      </c>
      <c r="F120" s="800" t="s">
        <v>10985</v>
      </c>
      <c r="G120" s="800" t="s">
        <v>11044</v>
      </c>
      <c r="H120" s="800" t="s">
        <v>10531</v>
      </c>
      <c r="I120" s="800" t="s">
        <v>10531</v>
      </c>
      <c r="J120" s="800" t="s">
        <v>10447</v>
      </c>
      <c r="K120" s="800">
        <v>1</v>
      </c>
      <c r="L120" s="802" t="s">
        <v>11045</v>
      </c>
      <c r="M120" s="802" t="s">
        <v>11027</v>
      </c>
      <c r="N120" s="802" t="s">
        <v>11028</v>
      </c>
      <c r="O120" s="802" t="s">
        <v>11046</v>
      </c>
      <c r="P120" s="807" t="s">
        <v>11047</v>
      </c>
    </row>
    <row r="121" spans="1:16" s="341" customFormat="1" ht="25.5" customHeight="1">
      <c r="A121" s="806" t="s">
        <v>6473</v>
      </c>
      <c r="B121" s="800" t="s">
        <v>1969</v>
      </c>
      <c r="C121" s="800" t="s">
        <v>2067</v>
      </c>
      <c r="D121" s="800" t="s">
        <v>11048</v>
      </c>
      <c r="E121" s="801">
        <v>43035</v>
      </c>
      <c r="F121" s="800" t="s">
        <v>11049</v>
      </c>
      <c r="G121" s="800" t="s">
        <v>11050</v>
      </c>
      <c r="H121" s="800" t="s">
        <v>10433</v>
      </c>
      <c r="I121" s="800" t="s">
        <v>10433</v>
      </c>
      <c r="J121" s="800" t="s">
        <v>10447</v>
      </c>
      <c r="K121" s="800">
        <v>1</v>
      </c>
      <c r="L121" s="802" t="s">
        <v>10398</v>
      </c>
      <c r="M121" s="802" t="s">
        <v>11051</v>
      </c>
      <c r="N121" s="802" t="s">
        <v>11052</v>
      </c>
      <c r="O121" s="802" t="s">
        <v>11053</v>
      </c>
      <c r="P121" s="807" t="s">
        <v>11054</v>
      </c>
    </row>
    <row r="122" spans="1:16" s="341" customFormat="1" ht="15" customHeight="1">
      <c r="A122" s="806" t="s">
        <v>6473</v>
      </c>
      <c r="B122" s="800" t="s">
        <v>1969</v>
      </c>
      <c r="C122" s="800" t="s">
        <v>2020</v>
      </c>
      <c r="D122" s="800" t="s">
        <v>11055</v>
      </c>
      <c r="E122" s="801">
        <v>43027</v>
      </c>
      <c r="F122" s="800" t="s">
        <v>11056</v>
      </c>
      <c r="G122" s="800" t="s">
        <v>11057</v>
      </c>
      <c r="H122" s="800" t="s">
        <v>10433</v>
      </c>
      <c r="I122" s="800" t="s">
        <v>10433</v>
      </c>
      <c r="J122" s="800" t="s">
        <v>10447</v>
      </c>
      <c r="K122" s="800">
        <v>1</v>
      </c>
      <c r="L122" s="802" t="s">
        <v>10398</v>
      </c>
      <c r="M122" s="802" t="s">
        <v>11058</v>
      </c>
      <c r="N122" s="802" t="s">
        <v>11059</v>
      </c>
      <c r="O122" s="802" t="s">
        <v>11060</v>
      </c>
      <c r="P122" s="807" t="s">
        <v>11061</v>
      </c>
    </row>
    <row r="123" spans="1:16" s="341" customFormat="1" ht="25.5" customHeight="1">
      <c r="A123" s="806" t="s">
        <v>6473</v>
      </c>
      <c r="B123" s="800" t="s">
        <v>1969</v>
      </c>
      <c r="C123" s="800" t="s">
        <v>2020</v>
      </c>
      <c r="D123" s="800" t="s">
        <v>11062</v>
      </c>
      <c r="E123" s="801">
        <v>43047</v>
      </c>
      <c r="F123" s="800" t="s">
        <v>10477</v>
      </c>
      <c r="G123" s="800" t="s">
        <v>11063</v>
      </c>
      <c r="H123" s="800" t="s">
        <v>10433</v>
      </c>
      <c r="I123" s="800" t="s">
        <v>10433</v>
      </c>
      <c r="J123" s="800" t="s">
        <v>10447</v>
      </c>
      <c r="K123" s="800">
        <v>1</v>
      </c>
      <c r="L123" s="802" t="s">
        <v>10398</v>
      </c>
      <c r="M123" s="802" t="s">
        <v>11064</v>
      </c>
      <c r="N123" s="802" t="s">
        <v>11065</v>
      </c>
      <c r="O123" s="802" t="s">
        <v>11066</v>
      </c>
      <c r="P123" s="807" t="s">
        <v>32</v>
      </c>
    </row>
    <row r="124" spans="1:16" s="341" customFormat="1" ht="25.5" customHeight="1">
      <c r="A124" s="806" t="s">
        <v>6473</v>
      </c>
      <c r="B124" s="800" t="s">
        <v>1969</v>
      </c>
      <c r="C124" s="800" t="s">
        <v>2020</v>
      </c>
      <c r="D124" s="800" t="s">
        <v>11067</v>
      </c>
      <c r="E124" s="801">
        <v>43027</v>
      </c>
      <c r="F124" s="800" t="s">
        <v>11068</v>
      </c>
      <c r="G124" s="800" t="s">
        <v>11069</v>
      </c>
      <c r="H124" s="800" t="s">
        <v>10433</v>
      </c>
      <c r="I124" s="800" t="s">
        <v>10433</v>
      </c>
      <c r="J124" s="800" t="s">
        <v>10447</v>
      </c>
      <c r="K124" s="800">
        <v>1</v>
      </c>
      <c r="L124" s="802" t="s">
        <v>10398</v>
      </c>
      <c r="M124" s="802" t="s">
        <v>11070</v>
      </c>
      <c r="N124" s="802" t="s">
        <v>11071</v>
      </c>
      <c r="O124" s="802" t="s">
        <v>11072</v>
      </c>
      <c r="P124" s="807" t="s">
        <v>11073</v>
      </c>
    </row>
    <row r="125" spans="1:16" s="341" customFormat="1" ht="25.5" customHeight="1">
      <c r="A125" s="806" t="s">
        <v>6473</v>
      </c>
      <c r="B125" s="800" t="s">
        <v>1969</v>
      </c>
      <c r="C125" s="800" t="s">
        <v>2020</v>
      </c>
      <c r="D125" s="800" t="s">
        <v>11074</v>
      </c>
      <c r="E125" s="801">
        <v>43046</v>
      </c>
      <c r="F125" s="800" t="s">
        <v>11075</v>
      </c>
      <c r="G125" s="800" t="s">
        <v>11076</v>
      </c>
      <c r="H125" s="800" t="s">
        <v>10531</v>
      </c>
      <c r="I125" s="800" t="s">
        <v>10531</v>
      </c>
      <c r="J125" s="800" t="s">
        <v>10664</v>
      </c>
      <c r="K125" s="800">
        <v>1</v>
      </c>
      <c r="L125" s="802" t="s">
        <v>10398</v>
      </c>
      <c r="M125" s="802" t="s">
        <v>11077</v>
      </c>
      <c r="N125" s="802" t="s">
        <v>11078</v>
      </c>
      <c r="O125" s="802" t="s">
        <v>11079</v>
      </c>
      <c r="P125" s="807" t="s">
        <v>11080</v>
      </c>
    </row>
    <row r="126" spans="1:16" s="341" customFormat="1" ht="15" customHeight="1">
      <c r="A126" s="806" t="s">
        <v>6473</v>
      </c>
      <c r="B126" s="800" t="s">
        <v>1969</v>
      </c>
      <c r="C126" s="800" t="s">
        <v>2020</v>
      </c>
      <c r="D126" s="800" t="s">
        <v>11081</v>
      </c>
      <c r="E126" s="801">
        <v>43063</v>
      </c>
      <c r="F126" s="800" t="s">
        <v>11082</v>
      </c>
      <c r="G126" s="800" t="s">
        <v>11083</v>
      </c>
      <c r="H126" s="800" t="s">
        <v>10433</v>
      </c>
      <c r="I126" s="800" t="s">
        <v>10433</v>
      </c>
      <c r="J126" s="800" t="s">
        <v>10664</v>
      </c>
      <c r="K126" s="800">
        <v>1</v>
      </c>
      <c r="L126" s="802" t="s">
        <v>10398</v>
      </c>
      <c r="M126" s="802" t="s">
        <v>11084</v>
      </c>
      <c r="N126" s="802" t="s">
        <v>11085</v>
      </c>
      <c r="O126" s="802" t="s">
        <v>11086</v>
      </c>
      <c r="P126" s="807" t="s">
        <v>11087</v>
      </c>
    </row>
    <row r="127" spans="1:16" s="341" customFormat="1" ht="25.5" customHeight="1">
      <c r="A127" s="806" t="s">
        <v>6473</v>
      </c>
      <c r="B127" s="800" t="s">
        <v>1969</v>
      </c>
      <c r="C127" s="800" t="s">
        <v>2020</v>
      </c>
      <c r="D127" s="800" t="s">
        <v>11088</v>
      </c>
      <c r="E127" s="801">
        <v>43063</v>
      </c>
      <c r="F127" s="800" t="s">
        <v>1169</v>
      </c>
      <c r="G127" s="800" t="s">
        <v>11089</v>
      </c>
      <c r="H127" s="800" t="s">
        <v>10433</v>
      </c>
      <c r="I127" s="800" t="s">
        <v>10433</v>
      </c>
      <c r="J127" s="800" t="s">
        <v>10664</v>
      </c>
      <c r="K127" s="800">
        <v>1</v>
      </c>
      <c r="L127" s="802" t="s">
        <v>10398</v>
      </c>
      <c r="M127" s="802" t="s">
        <v>11090</v>
      </c>
      <c r="N127" s="802" t="s">
        <v>11091</v>
      </c>
      <c r="O127" s="802" t="s">
        <v>11092</v>
      </c>
      <c r="P127" s="807" t="s">
        <v>32</v>
      </c>
    </row>
    <row r="128" spans="1:16" s="341" customFormat="1" ht="25.5" customHeight="1">
      <c r="A128" s="806" t="s">
        <v>6473</v>
      </c>
      <c r="B128" s="800" t="s">
        <v>1969</v>
      </c>
      <c r="C128" s="800" t="s">
        <v>2020</v>
      </c>
      <c r="D128" s="800" t="s">
        <v>11093</v>
      </c>
      <c r="E128" s="801">
        <v>43021</v>
      </c>
      <c r="F128" s="800" t="s">
        <v>11094</v>
      </c>
      <c r="G128" s="800" t="s">
        <v>11095</v>
      </c>
      <c r="H128" s="800" t="s">
        <v>10531</v>
      </c>
      <c r="I128" s="800" t="s">
        <v>10531</v>
      </c>
      <c r="J128" s="800" t="s">
        <v>10447</v>
      </c>
      <c r="K128" s="800">
        <v>1</v>
      </c>
      <c r="L128" s="802" t="s">
        <v>10398</v>
      </c>
      <c r="M128" s="802" t="s">
        <v>11096</v>
      </c>
      <c r="N128" s="802" t="s">
        <v>11097</v>
      </c>
      <c r="O128" s="802" t="s">
        <v>11098</v>
      </c>
      <c r="P128" s="807" t="s">
        <v>32</v>
      </c>
    </row>
    <row r="129" spans="1:16" s="341" customFormat="1" ht="15" customHeight="1">
      <c r="A129" s="806" t="s">
        <v>6473</v>
      </c>
      <c r="B129" s="800" t="s">
        <v>1969</v>
      </c>
      <c r="C129" s="800" t="s">
        <v>2020</v>
      </c>
      <c r="D129" s="800" t="s">
        <v>11099</v>
      </c>
      <c r="E129" s="801">
        <v>43021</v>
      </c>
      <c r="F129" s="800" t="s">
        <v>11094</v>
      </c>
      <c r="G129" s="800" t="s">
        <v>11100</v>
      </c>
      <c r="H129" s="800" t="s">
        <v>10433</v>
      </c>
      <c r="I129" s="800" t="s">
        <v>10433</v>
      </c>
      <c r="J129" s="800" t="s">
        <v>10447</v>
      </c>
      <c r="K129" s="800">
        <v>1</v>
      </c>
      <c r="L129" s="802" t="s">
        <v>10398</v>
      </c>
      <c r="M129" s="802" t="s">
        <v>11101</v>
      </c>
      <c r="N129" s="802" t="s">
        <v>11102</v>
      </c>
      <c r="O129" s="802" t="s">
        <v>11103</v>
      </c>
      <c r="P129" s="807" t="s">
        <v>32</v>
      </c>
    </row>
    <row r="130" spans="1:16" s="341" customFormat="1" ht="25.5" customHeight="1">
      <c r="A130" s="806" t="s">
        <v>6473</v>
      </c>
      <c r="B130" s="800" t="s">
        <v>1969</v>
      </c>
      <c r="C130" s="800" t="s">
        <v>2020</v>
      </c>
      <c r="D130" s="800" t="s">
        <v>11104</v>
      </c>
      <c r="E130" s="801">
        <v>43020</v>
      </c>
      <c r="F130" s="800" t="s">
        <v>11105</v>
      </c>
      <c r="G130" s="800" t="s">
        <v>32</v>
      </c>
      <c r="H130" s="800" t="s">
        <v>10433</v>
      </c>
      <c r="I130" s="800" t="s">
        <v>10433</v>
      </c>
      <c r="J130" s="800" t="s">
        <v>10447</v>
      </c>
      <c r="K130" s="800">
        <v>1</v>
      </c>
      <c r="L130" s="802" t="s">
        <v>10398</v>
      </c>
      <c r="M130" s="802" t="s">
        <v>11106</v>
      </c>
      <c r="N130" s="802" t="s">
        <v>11107</v>
      </c>
      <c r="O130" s="802" t="s">
        <v>11108</v>
      </c>
      <c r="P130" s="807" t="s">
        <v>32</v>
      </c>
    </row>
    <row r="131" spans="1:16" s="341" customFormat="1" ht="25.5">
      <c r="A131" s="806" t="s">
        <v>6473</v>
      </c>
      <c r="B131" s="800" t="s">
        <v>1969</v>
      </c>
      <c r="C131" s="800" t="s">
        <v>2020</v>
      </c>
      <c r="D131" s="800" t="s">
        <v>11109</v>
      </c>
      <c r="E131" s="801">
        <v>43020</v>
      </c>
      <c r="F131" s="800" t="s">
        <v>2020</v>
      </c>
      <c r="G131" s="800" t="s">
        <v>32</v>
      </c>
      <c r="H131" s="800" t="s">
        <v>10404</v>
      </c>
      <c r="I131" s="800" t="s">
        <v>10404</v>
      </c>
      <c r="J131" s="800" t="s">
        <v>10426</v>
      </c>
      <c r="K131" s="800">
        <v>1</v>
      </c>
      <c r="L131" s="802" t="s">
        <v>10398</v>
      </c>
      <c r="M131" s="802" t="s">
        <v>32</v>
      </c>
      <c r="N131" s="802" t="s">
        <v>32</v>
      </c>
      <c r="O131" s="802" t="s">
        <v>32</v>
      </c>
      <c r="P131" s="807" t="s">
        <v>32</v>
      </c>
    </row>
    <row r="132" spans="1:16" s="341" customFormat="1" ht="15" customHeight="1">
      <c r="A132" s="806" t="s">
        <v>6473</v>
      </c>
      <c r="B132" s="800" t="s">
        <v>1969</v>
      </c>
      <c r="C132" s="800" t="s">
        <v>2020</v>
      </c>
      <c r="D132" s="800" t="s">
        <v>11110</v>
      </c>
      <c r="E132" s="801">
        <v>43020</v>
      </c>
      <c r="F132" s="800" t="s">
        <v>11111</v>
      </c>
      <c r="G132" s="800" t="s">
        <v>32</v>
      </c>
      <c r="H132" s="800" t="s">
        <v>10404</v>
      </c>
      <c r="I132" s="800" t="s">
        <v>10404</v>
      </c>
      <c r="J132" s="800" t="s">
        <v>10397</v>
      </c>
      <c r="K132" s="800">
        <v>1</v>
      </c>
      <c r="L132" s="802" t="s">
        <v>10398</v>
      </c>
      <c r="M132" s="802" t="s">
        <v>32</v>
      </c>
      <c r="N132" s="802" t="s">
        <v>32</v>
      </c>
      <c r="O132" s="802" t="s">
        <v>32</v>
      </c>
      <c r="P132" s="807" t="s">
        <v>32</v>
      </c>
    </row>
    <row r="133" spans="1:16" s="341" customFormat="1" ht="25.5" customHeight="1">
      <c r="A133" s="806" t="s">
        <v>6473</v>
      </c>
      <c r="B133" s="800" t="s">
        <v>1969</v>
      </c>
      <c r="C133" s="800" t="s">
        <v>2020</v>
      </c>
      <c r="D133" s="800" t="s">
        <v>11112</v>
      </c>
      <c r="E133" s="801">
        <v>43020</v>
      </c>
      <c r="F133" s="800" t="s">
        <v>2265</v>
      </c>
      <c r="G133" s="800" t="s">
        <v>32</v>
      </c>
      <c r="H133" s="800" t="s">
        <v>10531</v>
      </c>
      <c r="I133" s="800" t="s">
        <v>10531</v>
      </c>
      <c r="J133" s="800" t="s">
        <v>10397</v>
      </c>
      <c r="K133" s="800">
        <v>1</v>
      </c>
      <c r="L133" s="802" t="s">
        <v>10398</v>
      </c>
      <c r="M133" s="802" t="s">
        <v>32</v>
      </c>
      <c r="N133" s="802" t="s">
        <v>32</v>
      </c>
      <c r="O133" s="802" t="s">
        <v>32</v>
      </c>
      <c r="P133" s="807" t="s">
        <v>11080</v>
      </c>
    </row>
    <row r="134" spans="1:16" s="341" customFormat="1" ht="25.5" customHeight="1">
      <c r="A134" s="806" t="s">
        <v>6473</v>
      </c>
      <c r="B134" s="800" t="s">
        <v>1969</v>
      </c>
      <c r="C134" s="800" t="s">
        <v>2020</v>
      </c>
      <c r="D134" s="800" t="s">
        <v>11113</v>
      </c>
      <c r="E134" s="801">
        <v>43020</v>
      </c>
      <c r="F134" s="800" t="s">
        <v>4122</v>
      </c>
      <c r="G134" s="800" t="s">
        <v>11114</v>
      </c>
      <c r="H134" s="800" t="s">
        <v>10433</v>
      </c>
      <c r="I134" s="800" t="s">
        <v>10433</v>
      </c>
      <c r="J134" s="800" t="s">
        <v>10397</v>
      </c>
      <c r="K134" s="800">
        <v>1</v>
      </c>
      <c r="L134" s="802" t="s">
        <v>10398</v>
      </c>
      <c r="M134" s="802" t="s">
        <v>32</v>
      </c>
      <c r="N134" s="802" t="s">
        <v>32</v>
      </c>
      <c r="O134" s="802" t="s">
        <v>32</v>
      </c>
      <c r="P134" s="807" t="s">
        <v>32</v>
      </c>
    </row>
    <row r="135" spans="1:16" s="341" customFormat="1" ht="25.5" customHeight="1">
      <c r="A135" s="806" t="s">
        <v>6473</v>
      </c>
      <c r="B135" s="800" t="s">
        <v>1969</v>
      </c>
      <c r="C135" s="800" t="s">
        <v>1989</v>
      </c>
      <c r="D135" s="800" t="s">
        <v>11115</v>
      </c>
      <c r="E135" s="801">
        <v>43027</v>
      </c>
      <c r="F135" s="800" t="s">
        <v>11116</v>
      </c>
      <c r="G135" s="800" t="s">
        <v>11117</v>
      </c>
      <c r="H135" s="800" t="s">
        <v>10433</v>
      </c>
      <c r="I135" s="800" t="s">
        <v>10433</v>
      </c>
      <c r="J135" s="800" t="s">
        <v>4342</v>
      </c>
      <c r="K135" s="800">
        <v>1</v>
      </c>
      <c r="L135" s="802" t="s">
        <v>10398</v>
      </c>
      <c r="M135" s="802" t="s">
        <v>11118</v>
      </c>
      <c r="N135" s="802" t="s">
        <v>11119</v>
      </c>
      <c r="O135" s="802" t="s">
        <v>11120</v>
      </c>
      <c r="P135" s="807" t="s">
        <v>11121</v>
      </c>
    </row>
    <row r="136" spans="1:16" s="341" customFormat="1" ht="25.5" customHeight="1">
      <c r="A136" s="806" t="s">
        <v>6473</v>
      </c>
      <c r="B136" s="800" t="s">
        <v>1969</v>
      </c>
      <c r="C136" s="800" t="s">
        <v>1989</v>
      </c>
      <c r="D136" s="800" t="s">
        <v>11122</v>
      </c>
      <c r="E136" s="801">
        <v>43027</v>
      </c>
      <c r="F136" s="800" t="s">
        <v>11123</v>
      </c>
      <c r="G136" s="800" t="s">
        <v>11124</v>
      </c>
      <c r="H136" s="800" t="s">
        <v>10433</v>
      </c>
      <c r="I136" s="800" t="s">
        <v>10433</v>
      </c>
      <c r="J136" s="800" t="s">
        <v>10447</v>
      </c>
      <c r="K136" s="800">
        <v>1</v>
      </c>
      <c r="L136" s="802" t="s">
        <v>10398</v>
      </c>
      <c r="M136" s="802" t="s">
        <v>11125</v>
      </c>
      <c r="N136" s="802" t="s">
        <v>11126</v>
      </c>
      <c r="O136" s="802" t="s">
        <v>11127</v>
      </c>
      <c r="P136" s="807" t="s">
        <v>11128</v>
      </c>
    </row>
    <row r="137" spans="1:16" s="341" customFormat="1" ht="25.5" customHeight="1">
      <c r="A137" s="806" t="s">
        <v>6473</v>
      </c>
      <c r="B137" s="800" t="s">
        <v>1969</v>
      </c>
      <c r="C137" s="800" t="s">
        <v>1989</v>
      </c>
      <c r="D137" s="800" t="s">
        <v>11129</v>
      </c>
      <c r="E137" s="801">
        <v>43027</v>
      </c>
      <c r="F137" s="800" t="s">
        <v>5444</v>
      </c>
      <c r="G137" s="800" t="s">
        <v>11130</v>
      </c>
      <c r="H137" s="800" t="s">
        <v>10396</v>
      </c>
      <c r="I137" s="800" t="s">
        <v>10396</v>
      </c>
      <c r="J137" s="800" t="s">
        <v>10447</v>
      </c>
      <c r="K137" s="800">
        <v>1</v>
      </c>
      <c r="L137" s="802" t="s">
        <v>10398</v>
      </c>
      <c r="M137" s="802" t="s">
        <v>11131</v>
      </c>
      <c r="N137" s="802" t="s">
        <v>10533</v>
      </c>
      <c r="O137" s="802" t="s">
        <v>11132</v>
      </c>
      <c r="P137" s="807" t="s">
        <v>11133</v>
      </c>
    </row>
    <row r="138" spans="1:16" s="341" customFormat="1" ht="25.5" customHeight="1">
      <c r="A138" s="806" t="s">
        <v>6473</v>
      </c>
      <c r="B138" s="800" t="s">
        <v>1969</v>
      </c>
      <c r="C138" s="800" t="s">
        <v>1989</v>
      </c>
      <c r="D138" s="800" t="s">
        <v>11134</v>
      </c>
      <c r="E138" s="801">
        <v>43027</v>
      </c>
      <c r="F138" s="800" t="s">
        <v>11116</v>
      </c>
      <c r="G138" s="800" t="s">
        <v>11135</v>
      </c>
      <c r="H138" s="800" t="s">
        <v>10433</v>
      </c>
      <c r="I138" s="800" t="s">
        <v>10433</v>
      </c>
      <c r="J138" s="800" t="s">
        <v>4342</v>
      </c>
      <c r="K138" s="800">
        <v>1</v>
      </c>
      <c r="L138" s="802" t="s">
        <v>10398</v>
      </c>
      <c r="M138" s="802" t="s">
        <v>11136</v>
      </c>
      <c r="N138" s="802" t="s">
        <v>11137</v>
      </c>
      <c r="O138" s="802" t="s">
        <v>11138</v>
      </c>
      <c r="P138" s="807" t="s">
        <v>11139</v>
      </c>
    </row>
    <row r="139" spans="1:16" s="341" customFormat="1" ht="38.25" customHeight="1">
      <c r="A139" s="806" t="s">
        <v>6473</v>
      </c>
      <c r="B139" s="800" t="s">
        <v>1969</v>
      </c>
      <c r="C139" s="800" t="s">
        <v>1989</v>
      </c>
      <c r="D139" s="800" t="s">
        <v>11140</v>
      </c>
      <c r="E139" s="801">
        <v>43027</v>
      </c>
      <c r="F139" s="800" t="s">
        <v>11141</v>
      </c>
      <c r="G139" s="800" t="s">
        <v>11142</v>
      </c>
      <c r="H139" s="800" t="s">
        <v>10433</v>
      </c>
      <c r="I139" s="800" t="s">
        <v>10433</v>
      </c>
      <c r="J139" s="800" t="s">
        <v>10447</v>
      </c>
      <c r="K139" s="800">
        <v>1</v>
      </c>
      <c r="L139" s="802" t="s">
        <v>10398</v>
      </c>
      <c r="M139" s="802" t="s">
        <v>11143</v>
      </c>
      <c r="N139" s="802" t="s">
        <v>11144</v>
      </c>
      <c r="O139" s="802" t="s">
        <v>11145</v>
      </c>
      <c r="P139" s="807" t="s">
        <v>11146</v>
      </c>
    </row>
    <row r="140" spans="1:16" s="341" customFormat="1" ht="38.25" customHeight="1">
      <c r="A140" s="806" t="s">
        <v>6473</v>
      </c>
      <c r="B140" s="800" t="s">
        <v>1969</v>
      </c>
      <c r="C140" s="800" t="s">
        <v>1989</v>
      </c>
      <c r="D140" s="800" t="s">
        <v>11147</v>
      </c>
      <c r="E140" s="801">
        <v>43026</v>
      </c>
      <c r="F140" s="800" t="s">
        <v>11116</v>
      </c>
      <c r="G140" s="800" t="s">
        <v>11148</v>
      </c>
      <c r="H140" s="800" t="s">
        <v>10433</v>
      </c>
      <c r="I140" s="800" t="s">
        <v>10433</v>
      </c>
      <c r="J140" s="800" t="s">
        <v>4342</v>
      </c>
      <c r="K140" s="800">
        <v>1</v>
      </c>
      <c r="L140" s="802" t="s">
        <v>10398</v>
      </c>
      <c r="M140" s="802" t="s">
        <v>11149</v>
      </c>
      <c r="N140" s="802" t="s">
        <v>11059</v>
      </c>
      <c r="O140" s="802" t="s">
        <v>11150</v>
      </c>
      <c r="P140" s="807" t="s">
        <v>11151</v>
      </c>
    </row>
    <row r="141" spans="1:16" s="341" customFormat="1" ht="15" customHeight="1">
      <c r="A141" s="806" t="s">
        <v>6473</v>
      </c>
      <c r="B141" s="800" t="s">
        <v>1969</v>
      </c>
      <c r="C141" s="800" t="s">
        <v>1989</v>
      </c>
      <c r="D141" s="800" t="s">
        <v>11152</v>
      </c>
      <c r="E141" s="801">
        <v>43026</v>
      </c>
      <c r="F141" s="800" t="s">
        <v>11116</v>
      </c>
      <c r="G141" s="800" t="s">
        <v>11153</v>
      </c>
      <c r="H141" s="800" t="s">
        <v>10396</v>
      </c>
      <c r="I141" s="800" t="s">
        <v>10396</v>
      </c>
      <c r="J141" s="800" t="s">
        <v>10397</v>
      </c>
      <c r="K141" s="800">
        <v>1</v>
      </c>
      <c r="L141" s="802" t="s">
        <v>10398</v>
      </c>
      <c r="M141" s="802" t="s">
        <v>11154</v>
      </c>
      <c r="N141" s="802" t="s">
        <v>11155</v>
      </c>
      <c r="O141" s="802" t="s">
        <v>11156</v>
      </c>
      <c r="P141" s="807" t="s">
        <v>11157</v>
      </c>
    </row>
    <row r="142" spans="1:16" s="341" customFormat="1" ht="51" customHeight="1">
      <c r="A142" s="806" t="s">
        <v>6473</v>
      </c>
      <c r="B142" s="800" t="s">
        <v>1969</v>
      </c>
      <c r="C142" s="800" t="s">
        <v>1989</v>
      </c>
      <c r="D142" s="800" t="s">
        <v>11158</v>
      </c>
      <c r="E142" s="801">
        <v>43026</v>
      </c>
      <c r="F142" s="800" t="s">
        <v>11116</v>
      </c>
      <c r="G142" s="800" t="s">
        <v>11159</v>
      </c>
      <c r="H142" s="800" t="s">
        <v>10433</v>
      </c>
      <c r="I142" s="800" t="s">
        <v>10433</v>
      </c>
      <c r="J142" s="800" t="s">
        <v>10447</v>
      </c>
      <c r="K142" s="800">
        <v>1</v>
      </c>
      <c r="L142" s="802" t="s">
        <v>10398</v>
      </c>
      <c r="M142" s="802" t="s">
        <v>11160</v>
      </c>
      <c r="N142" s="802" t="s">
        <v>11161</v>
      </c>
      <c r="O142" s="802" t="s">
        <v>10910</v>
      </c>
      <c r="P142" s="807" t="s">
        <v>11162</v>
      </c>
    </row>
    <row r="143" spans="1:16" s="341" customFormat="1" ht="51" customHeight="1">
      <c r="A143" s="806" t="s">
        <v>6473</v>
      </c>
      <c r="B143" s="800" t="s">
        <v>1969</v>
      </c>
      <c r="C143" s="800" t="s">
        <v>1989</v>
      </c>
      <c r="D143" s="800" t="s">
        <v>11163</v>
      </c>
      <c r="E143" s="801">
        <v>43026</v>
      </c>
      <c r="F143" s="800" t="s">
        <v>11141</v>
      </c>
      <c r="G143" s="800" t="s">
        <v>11164</v>
      </c>
      <c r="H143" s="800" t="s">
        <v>10433</v>
      </c>
      <c r="I143" s="800" t="s">
        <v>10433</v>
      </c>
      <c r="J143" s="800" t="s">
        <v>10447</v>
      </c>
      <c r="K143" s="800">
        <v>1</v>
      </c>
      <c r="L143" s="802" t="s">
        <v>10398</v>
      </c>
      <c r="M143" s="802" t="s">
        <v>11165</v>
      </c>
      <c r="N143" s="802" t="s">
        <v>11166</v>
      </c>
      <c r="O143" s="802" t="s">
        <v>11167</v>
      </c>
      <c r="P143" s="807" t="s">
        <v>11168</v>
      </c>
    </row>
    <row r="144" spans="1:16" s="341" customFormat="1" ht="25.5" customHeight="1">
      <c r="A144" s="806" t="s">
        <v>6473</v>
      </c>
      <c r="B144" s="800" t="s">
        <v>1969</v>
      </c>
      <c r="C144" s="800" t="s">
        <v>1989</v>
      </c>
      <c r="D144" s="800" t="s">
        <v>11169</v>
      </c>
      <c r="E144" s="801">
        <v>43026</v>
      </c>
      <c r="F144" s="800" t="s">
        <v>11141</v>
      </c>
      <c r="G144" s="800" t="s">
        <v>32</v>
      </c>
      <c r="H144" s="800" t="s">
        <v>10433</v>
      </c>
      <c r="I144" s="800" t="s">
        <v>10433</v>
      </c>
      <c r="J144" s="800" t="s">
        <v>10397</v>
      </c>
      <c r="K144" s="800">
        <v>1</v>
      </c>
      <c r="L144" s="802" t="s">
        <v>10398</v>
      </c>
      <c r="M144" s="802" t="s">
        <v>11170</v>
      </c>
      <c r="N144" s="802" t="s">
        <v>11171</v>
      </c>
      <c r="O144" s="802" t="s">
        <v>11172</v>
      </c>
      <c r="P144" s="807" t="s">
        <v>32</v>
      </c>
    </row>
    <row r="145" spans="1:16" s="341" customFormat="1" ht="25.5" customHeight="1">
      <c r="A145" s="806" t="s">
        <v>6473</v>
      </c>
      <c r="B145" s="800" t="s">
        <v>1969</v>
      </c>
      <c r="C145" s="800" t="s">
        <v>1989</v>
      </c>
      <c r="D145" s="800" t="s">
        <v>11173</v>
      </c>
      <c r="E145" s="801">
        <v>43026</v>
      </c>
      <c r="F145" s="800" t="s">
        <v>11116</v>
      </c>
      <c r="G145" s="800" t="s">
        <v>11174</v>
      </c>
      <c r="H145" s="800" t="s">
        <v>10433</v>
      </c>
      <c r="I145" s="800" t="s">
        <v>10433</v>
      </c>
      <c r="J145" s="800" t="s">
        <v>10447</v>
      </c>
      <c r="K145" s="800">
        <v>1</v>
      </c>
      <c r="L145" s="802" t="s">
        <v>10398</v>
      </c>
      <c r="M145" s="802" t="s">
        <v>11175</v>
      </c>
      <c r="N145" s="802" t="s">
        <v>11176</v>
      </c>
      <c r="O145" s="802" t="s">
        <v>11177</v>
      </c>
      <c r="P145" s="807" t="s">
        <v>11178</v>
      </c>
    </row>
    <row r="146" spans="1:16" s="341" customFormat="1" ht="15" customHeight="1">
      <c r="A146" s="806" t="s">
        <v>6473</v>
      </c>
      <c r="B146" s="800" t="s">
        <v>1969</v>
      </c>
      <c r="C146" s="800" t="s">
        <v>1989</v>
      </c>
      <c r="D146" s="800" t="s">
        <v>11179</v>
      </c>
      <c r="E146" s="801">
        <v>43025</v>
      </c>
      <c r="F146" s="800" t="s">
        <v>32</v>
      </c>
      <c r="G146" s="800" t="s">
        <v>11180</v>
      </c>
      <c r="H146" s="800" t="s">
        <v>10396</v>
      </c>
      <c r="I146" s="800" t="s">
        <v>10396</v>
      </c>
      <c r="J146" s="800" t="s">
        <v>10426</v>
      </c>
      <c r="K146" s="800">
        <v>1</v>
      </c>
      <c r="L146" s="802" t="s">
        <v>10398</v>
      </c>
      <c r="M146" s="802" t="s">
        <v>11181</v>
      </c>
      <c r="N146" s="802" t="s">
        <v>11182</v>
      </c>
      <c r="O146" s="802" t="s">
        <v>11183</v>
      </c>
      <c r="P146" s="807" t="s">
        <v>11184</v>
      </c>
    </row>
    <row r="147" spans="1:16" s="341" customFormat="1" ht="25.5" customHeight="1">
      <c r="A147" s="806" t="s">
        <v>6473</v>
      </c>
      <c r="B147" s="800" t="s">
        <v>1969</v>
      </c>
      <c r="C147" s="800" t="s">
        <v>1989</v>
      </c>
      <c r="D147" s="800" t="s">
        <v>11185</v>
      </c>
      <c r="E147" s="801">
        <v>43035</v>
      </c>
      <c r="F147" s="800" t="s">
        <v>5444</v>
      </c>
      <c r="G147" s="800" t="s">
        <v>11186</v>
      </c>
      <c r="H147" s="800" t="s">
        <v>10433</v>
      </c>
      <c r="I147" s="800" t="s">
        <v>10433</v>
      </c>
      <c r="J147" s="800" t="s">
        <v>10447</v>
      </c>
      <c r="K147" s="800">
        <v>1</v>
      </c>
      <c r="L147" s="802" t="s">
        <v>10398</v>
      </c>
      <c r="M147" s="802" t="s">
        <v>11187</v>
      </c>
      <c r="N147" s="802" t="s">
        <v>11188</v>
      </c>
      <c r="O147" s="802" t="s">
        <v>11189</v>
      </c>
      <c r="P147" s="807" t="s">
        <v>11190</v>
      </c>
    </row>
    <row r="148" spans="1:16" s="341" customFormat="1" ht="25.5" customHeight="1">
      <c r="A148" s="806" t="s">
        <v>6473</v>
      </c>
      <c r="B148" s="800" t="s">
        <v>1969</v>
      </c>
      <c r="C148" s="800" t="s">
        <v>1989</v>
      </c>
      <c r="D148" s="800" t="s">
        <v>11191</v>
      </c>
      <c r="E148" s="801">
        <v>43033</v>
      </c>
      <c r="F148" s="800" t="s">
        <v>11192</v>
      </c>
      <c r="G148" s="800" t="s">
        <v>11193</v>
      </c>
      <c r="H148" s="800" t="s">
        <v>10404</v>
      </c>
      <c r="I148" s="800" t="s">
        <v>10404</v>
      </c>
      <c r="J148" s="800" t="s">
        <v>10447</v>
      </c>
      <c r="K148" s="800">
        <v>1</v>
      </c>
      <c r="L148" s="802" t="s">
        <v>10398</v>
      </c>
      <c r="M148" s="802" t="s">
        <v>11194</v>
      </c>
      <c r="N148" s="802" t="s">
        <v>11195</v>
      </c>
      <c r="O148" s="802" t="s">
        <v>11196</v>
      </c>
      <c r="P148" s="807" t="s">
        <v>11197</v>
      </c>
    </row>
    <row r="149" spans="1:16" s="341" customFormat="1" ht="25.5" customHeight="1">
      <c r="A149" s="806" t="s">
        <v>6473</v>
      </c>
      <c r="B149" s="800" t="s">
        <v>1969</v>
      </c>
      <c r="C149" s="800" t="s">
        <v>1989</v>
      </c>
      <c r="D149" s="800" t="s">
        <v>11198</v>
      </c>
      <c r="E149" s="801">
        <v>43033</v>
      </c>
      <c r="F149" s="800" t="s">
        <v>11199</v>
      </c>
      <c r="G149" s="800" t="s">
        <v>11200</v>
      </c>
      <c r="H149" s="800" t="s">
        <v>10396</v>
      </c>
      <c r="I149" s="800" t="s">
        <v>10396</v>
      </c>
      <c r="J149" s="800" t="s">
        <v>10397</v>
      </c>
      <c r="K149" s="800">
        <v>1</v>
      </c>
      <c r="L149" s="802" t="s">
        <v>10398</v>
      </c>
      <c r="M149" s="802" t="s">
        <v>11201</v>
      </c>
      <c r="N149" s="802" t="s">
        <v>11202</v>
      </c>
      <c r="O149" s="802" t="s">
        <v>11203</v>
      </c>
      <c r="P149" s="807" t="s">
        <v>11204</v>
      </c>
    </row>
    <row r="150" spans="1:16" s="341" customFormat="1" ht="25.5" customHeight="1">
      <c r="A150" s="806" t="s">
        <v>6473</v>
      </c>
      <c r="B150" s="800" t="s">
        <v>1969</v>
      </c>
      <c r="C150" s="800" t="s">
        <v>1989</v>
      </c>
      <c r="D150" s="800" t="s">
        <v>11205</v>
      </c>
      <c r="E150" s="801">
        <v>43033</v>
      </c>
      <c r="F150" s="800" t="s">
        <v>11192</v>
      </c>
      <c r="G150" s="800" t="s">
        <v>11206</v>
      </c>
      <c r="H150" s="800" t="s">
        <v>10404</v>
      </c>
      <c r="I150" s="800" t="s">
        <v>10404</v>
      </c>
      <c r="J150" s="800" t="s">
        <v>10426</v>
      </c>
      <c r="K150" s="800">
        <v>1</v>
      </c>
      <c r="L150" s="802" t="s">
        <v>10398</v>
      </c>
      <c r="M150" s="802" t="s">
        <v>11207</v>
      </c>
      <c r="N150" s="802" t="s">
        <v>10922</v>
      </c>
      <c r="O150" s="802" t="s">
        <v>11208</v>
      </c>
      <c r="P150" s="807" t="s">
        <v>11209</v>
      </c>
    </row>
    <row r="151" spans="1:16" s="341" customFormat="1" ht="15" customHeight="1">
      <c r="A151" s="806" t="s">
        <v>6473</v>
      </c>
      <c r="B151" s="800" t="s">
        <v>1969</v>
      </c>
      <c r="C151" s="800" t="s">
        <v>1989</v>
      </c>
      <c r="D151" s="800" t="s">
        <v>11210</v>
      </c>
      <c r="E151" s="801">
        <v>43033</v>
      </c>
      <c r="F151" s="800" t="s">
        <v>11211</v>
      </c>
      <c r="G151" s="800" t="s">
        <v>11212</v>
      </c>
      <c r="H151" s="800" t="s">
        <v>10404</v>
      </c>
      <c r="I151" s="800" t="s">
        <v>10404</v>
      </c>
      <c r="J151" s="800" t="s">
        <v>4342</v>
      </c>
      <c r="K151" s="800">
        <v>1</v>
      </c>
      <c r="L151" s="802" t="s">
        <v>10398</v>
      </c>
      <c r="M151" s="802" t="s">
        <v>11213</v>
      </c>
      <c r="N151" s="802" t="s">
        <v>11214</v>
      </c>
      <c r="O151" s="802" t="s">
        <v>11215</v>
      </c>
      <c r="P151" s="807" t="s">
        <v>11216</v>
      </c>
    </row>
    <row r="152" spans="1:16" s="341" customFormat="1" ht="38.25" customHeight="1">
      <c r="A152" s="806" t="s">
        <v>6473</v>
      </c>
      <c r="B152" s="800" t="s">
        <v>1969</v>
      </c>
      <c r="C152" s="800" t="s">
        <v>1989</v>
      </c>
      <c r="D152" s="800" t="s">
        <v>11217</v>
      </c>
      <c r="E152" s="801">
        <v>43033</v>
      </c>
      <c r="F152" s="800" t="s">
        <v>11192</v>
      </c>
      <c r="G152" s="800" t="s">
        <v>11218</v>
      </c>
      <c r="H152" s="800" t="s">
        <v>10404</v>
      </c>
      <c r="I152" s="800" t="s">
        <v>10404</v>
      </c>
      <c r="J152" s="800" t="s">
        <v>10397</v>
      </c>
      <c r="K152" s="800">
        <v>1</v>
      </c>
      <c r="L152" s="802" t="s">
        <v>10398</v>
      </c>
      <c r="M152" s="802" t="s">
        <v>11219</v>
      </c>
      <c r="N152" s="802" t="s">
        <v>11220</v>
      </c>
      <c r="O152" s="802" t="s">
        <v>11221</v>
      </c>
      <c r="P152" s="807" t="s">
        <v>11222</v>
      </c>
    </row>
    <row r="153" spans="1:16" s="341" customFormat="1" ht="15" customHeight="1">
      <c r="A153" s="806" t="s">
        <v>6473</v>
      </c>
      <c r="B153" s="800" t="s">
        <v>1969</v>
      </c>
      <c r="C153" s="800" t="s">
        <v>1989</v>
      </c>
      <c r="D153" s="800" t="s">
        <v>11223</v>
      </c>
      <c r="E153" s="801">
        <v>43033</v>
      </c>
      <c r="F153" s="800" t="s">
        <v>11224</v>
      </c>
      <c r="G153" s="800" t="s">
        <v>11225</v>
      </c>
      <c r="H153" s="800" t="s">
        <v>10404</v>
      </c>
      <c r="I153" s="800" t="s">
        <v>10404</v>
      </c>
      <c r="J153" s="800" t="s">
        <v>10447</v>
      </c>
      <c r="K153" s="800">
        <v>1</v>
      </c>
      <c r="L153" s="802" t="s">
        <v>10398</v>
      </c>
      <c r="M153" s="802" t="s">
        <v>11226</v>
      </c>
      <c r="N153" s="802" t="s">
        <v>10902</v>
      </c>
      <c r="O153" s="802" t="s">
        <v>11227</v>
      </c>
      <c r="P153" s="807" t="s">
        <v>11228</v>
      </c>
    </row>
    <row r="154" spans="1:16" s="341" customFormat="1" ht="15" customHeight="1">
      <c r="A154" s="806" t="s">
        <v>6473</v>
      </c>
      <c r="B154" s="800" t="s">
        <v>1969</v>
      </c>
      <c r="C154" s="800" t="s">
        <v>1989</v>
      </c>
      <c r="D154" s="800" t="s">
        <v>11229</v>
      </c>
      <c r="E154" s="801">
        <v>43033</v>
      </c>
      <c r="F154" s="800" t="s">
        <v>11224</v>
      </c>
      <c r="G154" s="800" t="s">
        <v>11230</v>
      </c>
      <c r="H154" s="800" t="s">
        <v>10404</v>
      </c>
      <c r="I154" s="800" t="s">
        <v>10404</v>
      </c>
      <c r="J154" s="800" t="s">
        <v>10426</v>
      </c>
      <c r="K154" s="800">
        <v>1</v>
      </c>
      <c r="L154" s="802" t="s">
        <v>10398</v>
      </c>
      <c r="M154" s="802" t="s">
        <v>11231</v>
      </c>
      <c r="N154" s="802" t="s">
        <v>11232</v>
      </c>
      <c r="O154" s="802" t="s">
        <v>11233</v>
      </c>
      <c r="P154" s="807" t="s">
        <v>11234</v>
      </c>
    </row>
    <row r="155" spans="1:16" s="341" customFormat="1" ht="15" customHeight="1">
      <c r="A155" s="806" t="s">
        <v>6473</v>
      </c>
      <c r="B155" s="800" t="s">
        <v>1969</v>
      </c>
      <c r="C155" s="800" t="s">
        <v>1989</v>
      </c>
      <c r="D155" s="800" t="s">
        <v>11235</v>
      </c>
      <c r="E155" s="801">
        <v>43047</v>
      </c>
      <c r="F155" s="800" t="s">
        <v>11236</v>
      </c>
      <c r="G155" s="800" t="s">
        <v>11237</v>
      </c>
      <c r="H155" s="800" t="s">
        <v>10433</v>
      </c>
      <c r="I155" s="800" t="s">
        <v>10433</v>
      </c>
      <c r="J155" s="800" t="s">
        <v>10447</v>
      </c>
      <c r="K155" s="800">
        <v>1</v>
      </c>
      <c r="L155" s="802" t="s">
        <v>10398</v>
      </c>
      <c r="M155" s="802" t="s">
        <v>11238</v>
      </c>
      <c r="N155" s="802" t="s">
        <v>11239</v>
      </c>
      <c r="O155" s="802" t="s">
        <v>10803</v>
      </c>
      <c r="P155" s="807" t="s">
        <v>11240</v>
      </c>
    </row>
    <row r="156" spans="1:16" s="341" customFormat="1" ht="15" customHeight="1">
      <c r="A156" s="806" t="s">
        <v>6473</v>
      </c>
      <c r="B156" s="800" t="s">
        <v>1969</v>
      </c>
      <c r="C156" s="800" t="s">
        <v>1989</v>
      </c>
      <c r="D156" s="800" t="s">
        <v>11241</v>
      </c>
      <c r="E156" s="801">
        <v>43074</v>
      </c>
      <c r="F156" s="800" t="s">
        <v>11242</v>
      </c>
      <c r="G156" s="800" t="s">
        <v>11243</v>
      </c>
      <c r="H156" s="800" t="s">
        <v>10404</v>
      </c>
      <c r="I156" s="800" t="s">
        <v>10404</v>
      </c>
      <c r="J156" s="800" t="s">
        <v>10397</v>
      </c>
      <c r="K156" s="800">
        <v>1</v>
      </c>
      <c r="L156" s="802" t="s">
        <v>10398</v>
      </c>
      <c r="M156" s="802" t="s">
        <v>11244</v>
      </c>
      <c r="N156" s="802" t="s">
        <v>11245</v>
      </c>
      <c r="O156" s="802" t="s">
        <v>11246</v>
      </c>
      <c r="P156" s="807" t="s">
        <v>11247</v>
      </c>
    </row>
    <row r="157" spans="1:16" s="341" customFormat="1" ht="15" customHeight="1">
      <c r="A157" s="806" t="s">
        <v>6473</v>
      </c>
      <c r="B157" s="800" t="s">
        <v>1969</v>
      </c>
      <c r="C157" s="800" t="s">
        <v>1989</v>
      </c>
      <c r="D157" s="800" t="s">
        <v>11248</v>
      </c>
      <c r="E157" s="801">
        <v>43032</v>
      </c>
      <c r="F157" s="800" t="s">
        <v>11249</v>
      </c>
      <c r="G157" s="800" t="s">
        <v>11250</v>
      </c>
      <c r="H157" s="800" t="s">
        <v>10404</v>
      </c>
      <c r="I157" s="800" t="s">
        <v>10404</v>
      </c>
      <c r="J157" s="800" t="s">
        <v>10664</v>
      </c>
      <c r="K157" s="800">
        <v>1</v>
      </c>
      <c r="L157" s="802" t="s">
        <v>10398</v>
      </c>
      <c r="M157" s="802" t="s">
        <v>11251</v>
      </c>
      <c r="N157" s="802" t="s">
        <v>11252</v>
      </c>
      <c r="O157" s="802" t="s">
        <v>11253</v>
      </c>
      <c r="P157" s="807" t="s">
        <v>11254</v>
      </c>
    </row>
    <row r="158" spans="1:16" s="341" customFormat="1" ht="15" customHeight="1">
      <c r="A158" s="806" t="s">
        <v>6473</v>
      </c>
      <c r="B158" s="800" t="s">
        <v>1969</v>
      </c>
      <c r="C158" s="800" t="s">
        <v>1989</v>
      </c>
      <c r="D158" s="800" t="s">
        <v>11255</v>
      </c>
      <c r="E158" s="801">
        <v>43032</v>
      </c>
      <c r="F158" s="800" t="s">
        <v>1658</v>
      </c>
      <c r="G158" s="800" t="s">
        <v>11256</v>
      </c>
      <c r="H158" s="800" t="s">
        <v>10531</v>
      </c>
      <c r="I158" s="800" t="s">
        <v>10531</v>
      </c>
      <c r="J158" s="800" t="s">
        <v>10447</v>
      </c>
      <c r="K158" s="800">
        <v>1</v>
      </c>
      <c r="L158" s="802" t="s">
        <v>10398</v>
      </c>
      <c r="M158" s="802" t="s">
        <v>11257</v>
      </c>
      <c r="N158" s="802" t="s">
        <v>11258</v>
      </c>
      <c r="O158" s="802" t="s">
        <v>11259</v>
      </c>
      <c r="P158" s="807" t="s">
        <v>11260</v>
      </c>
    </row>
    <row r="159" spans="1:16" s="341" customFormat="1" ht="25.5" customHeight="1">
      <c r="A159" s="806" t="s">
        <v>6473</v>
      </c>
      <c r="B159" s="800" t="s">
        <v>1969</v>
      </c>
      <c r="C159" s="800" t="s">
        <v>1989</v>
      </c>
      <c r="D159" s="800" t="s">
        <v>11261</v>
      </c>
      <c r="E159" s="801">
        <v>43032</v>
      </c>
      <c r="F159" s="800" t="s">
        <v>1658</v>
      </c>
      <c r="G159" s="800" t="s">
        <v>11262</v>
      </c>
      <c r="H159" s="800" t="s">
        <v>10433</v>
      </c>
      <c r="I159" s="800" t="s">
        <v>10433</v>
      </c>
      <c r="J159" s="800" t="s">
        <v>10447</v>
      </c>
      <c r="K159" s="800">
        <v>1</v>
      </c>
      <c r="L159" s="802" t="s">
        <v>10398</v>
      </c>
      <c r="M159" s="802" t="s">
        <v>11263</v>
      </c>
      <c r="N159" s="802" t="s">
        <v>11264</v>
      </c>
      <c r="O159" s="802" t="s">
        <v>11265</v>
      </c>
      <c r="P159" s="807" t="s">
        <v>32</v>
      </c>
    </row>
    <row r="160" spans="1:16" s="341" customFormat="1" ht="25.5" customHeight="1">
      <c r="A160" s="806" t="s">
        <v>6473</v>
      </c>
      <c r="B160" s="800" t="s">
        <v>1969</v>
      </c>
      <c r="C160" s="800" t="s">
        <v>1989</v>
      </c>
      <c r="D160" s="800" t="s">
        <v>11266</v>
      </c>
      <c r="E160" s="801">
        <v>43032</v>
      </c>
      <c r="F160" s="800" t="s">
        <v>1658</v>
      </c>
      <c r="G160" s="800" t="s">
        <v>11267</v>
      </c>
      <c r="H160" s="800" t="s">
        <v>10396</v>
      </c>
      <c r="I160" s="800" t="s">
        <v>10396</v>
      </c>
      <c r="J160" s="800" t="s">
        <v>10426</v>
      </c>
      <c r="K160" s="800">
        <v>1</v>
      </c>
      <c r="L160" s="802" t="s">
        <v>10398</v>
      </c>
      <c r="M160" s="802" t="s">
        <v>11268</v>
      </c>
      <c r="N160" s="802" t="s">
        <v>11269</v>
      </c>
      <c r="O160" s="802" t="s">
        <v>11270</v>
      </c>
      <c r="P160" s="807" t="s">
        <v>11271</v>
      </c>
    </row>
    <row r="161" spans="1:16" s="341" customFormat="1" ht="15" customHeight="1">
      <c r="A161" s="806" t="s">
        <v>6473</v>
      </c>
      <c r="B161" s="800" t="s">
        <v>1969</v>
      </c>
      <c r="C161" s="800" t="s">
        <v>1989</v>
      </c>
      <c r="D161" s="800" t="s">
        <v>11272</v>
      </c>
      <c r="E161" s="801">
        <v>43032</v>
      </c>
      <c r="F161" s="800" t="s">
        <v>1658</v>
      </c>
      <c r="G161" s="800" t="s">
        <v>11273</v>
      </c>
      <c r="H161" s="800" t="s">
        <v>10531</v>
      </c>
      <c r="I161" s="800" t="s">
        <v>10531</v>
      </c>
      <c r="J161" s="800" t="s">
        <v>10447</v>
      </c>
      <c r="K161" s="800">
        <v>1</v>
      </c>
      <c r="L161" s="802" t="s">
        <v>10398</v>
      </c>
      <c r="M161" s="802" t="s">
        <v>11274</v>
      </c>
      <c r="N161" s="802" t="s">
        <v>11275</v>
      </c>
      <c r="O161" s="802" t="s">
        <v>11276</v>
      </c>
      <c r="P161" s="807" t="s">
        <v>11277</v>
      </c>
    </row>
    <row r="162" spans="1:16" s="341" customFormat="1" ht="25.5" customHeight="1">
      <c r="A162" s="806" t="s">
        <v>6473</v>
      </c>
      <c r="B162" s="800" t="s">
        <v>1969</v>
      </c>
      <c r="C162" s="800" t="s">
        <v>1989</v>
      </c>
      <c r="D162" s="800" t="s">
        <v>11278</v>
      </c>
      <c r="E162" s="801">
        <v>43032</v>
      </c>
      <c r="F162" s="800" t="s">
        <v>1658</v>
      </c>
      <c r="G162" s="800" t="s">
        <v>11279</v>
      </c>
      <c r="H162" s="800" t="s">
        <v>10433</v>
      </c>
      <c r="I162" s="800" t="s">
        <v>10433</v>
      </c>
      <c r="J162" s="800" t="s">
        <v>10447</v>
      </c>
      <c r="K162" s="800">
        <v>1</v>
      </c>
      <c r="L162" s="802" t="s">
        <v>10398</v>
      </c>
      <c r="M162" s="802" t="s">
        <v>11280</v>
      </c>
      <c r="N162" s="802" t="s">
        <v>11281</v>
      </c>
      <c r="O162" s="802" t="s">
        <v>11282</v>
      </c>
      <c r="P162" s="807" t="s">
        <v>11283</v>
      </c>
    </row>
    <row r="163" spans="1:16" s="341" customFormat="1" ht="15" customHeight="1">
      <c r="A163" s="806" t="s">
        <v>6473</v>
      </c>
      <c r="B163" s="800" t="s">
        <v>1969</v>
      </c>
      <c r="C163" s="800" t="s">
        <v>1989</v>
      </c>
      <c r="D163" s="800" t="s">
        <v>11284</v>
      </c>
      <c r="E163" s="801">
        <v>43032</v>
      </c>
      <c r="F163" s="800" t="s">
        <v>1658</v>
      </c>
      <c r="G163" s="800" t="s">
        <v>11285</v>
      </c>
      <c r="H163" s="800" t="s">
        <v>10404</v>
      </c>
      <c r="I163" s="800" t="s">
        <v>10404</v>
      </c>
      <c r="J163" s="800" t="s">
        <v>10426</v>
      </c>
      <c r="K163" s="800">
        <v>1</v>
      </c>
      <c r="L163" s="802" t="s">
        <v>10398</v>
      </c>
      <c r="M163" s="802" t="s">
        <v>11286</v>
      </c>
      <c r="N163" s="802" t="s">
        <v>11252</v>
      </c>
      <c r="O163" s="802" t="s">
        <v>11253</v>
      </c>
      <c r="P163" s="807" t="s">
        <v>11254</v>
      </c>
    </row>
    <row r="164" spans="1:16" s="341" customFormat="1" ht="25.5" customHeight="1">
      <c r="A164" s="806" t="s">
        <v>6473</v>
      </c>
      <c r="B164" s="800" t="s">
        <v>1969</v>
      </c>
      <c r="C164" s="800" t="s">
        <v>1989</v>
      </c>
      <c r="D164" s="800" t="s">
        <v>11287</v>
      </c>
      <c r="E164" s="801">
        <v>43033</v>
      </c>
      <c r="F164" s="800" t="s">
        <v>1658</v>
      </c>
      <c r="G164" s="800" t="s">
        <v>11288</v>
      </c>
      <c r="H164" s="800" t="s">
        <v>10404</v>
      </c>
      <c r="I164" s="800" t="s">
        <v>10404</v>
      </c>
      <c r="J164" s="800" t="s">
        <v>10426</v>
      </c>
      <c r="K164" s="800">
        <v>1</v>
      </c>
      <c r="L164" s="802" t="s">
        <v>10398</v>
      </c>
      <c r="M164" s="802" t="s">
        <v>11289</v>
      </c>
      <c r="N164" s="802" t="s">
        <v>11290</v>
      </c>
      <c r="O164" s="802" t="s">
        <v>11291</v>
      </c>
      <c r="P164" s="807" t="s">
        <v>11292</v>
      </c>
    </row>
    <row r="165" spans="1:16" s="341" customFormat="1" ht="25.5" customHeight="1">
      <c r="A165" s="806" t="s">
        <v>6473</v>
      </c>
      <c r="B165" s="800" t="s">
        <v>1969</v>
      </c>
      <c r="C165" s="800" t="s">
        <v>1989</v>
      </c>
      <c r="D165" s="800" t="s">
        <v>11293</v>
      </c>
      <c r="E165" s="801">
        <v>43032</v>
      </c>
      <c r="F165" s="800" t="s">
        <v>1658</v>
      </c>
      <c r="G165" s="800" t="s">
        <v>11262</v>
      </c>
      <c r="H165" s="800" t="s">
        <v>10531</v>
      </c>
      <c r="I165" s="800" t="s">
        <v>10531</v>
      </c>
      <c r="J165" s="800" t="s">
        <v>10447</v>
      </c>
      <c r="K165" s="800">
        <v>1</v>
      </c>
      <c r="L165" s="802" t="s">
        <v>10398</v>
      </c>
      <c r="M165" s="802" t="s">
        <v>11294</v>
      </c>
      <c r="N165" s="802" t="s">
        <v>11295</v>
      </c>
      <c r="O165" s="802" t="s">
        <v>11296</v>
      </c>
      <c r="P165" s="807" t="s">
        <v>11297</v>
      </c>
    </row>
    <row r="166" spans="1:16" s="341" customFormat="1" ht="25.5" customHeight="1">
      <c r="A166" s="806" t="s">
        <v>6473</v>
      </c>
      <c r="B166" s="800" t="s">
        <v>1969</v>
      </c>
      <c r="C166" s="800" t="s">
        <v>1989</v>
      </c>
      <c r="D166" s="800" t="s">
        <v>11298</v>
      </c>
      <c r="E166" s="801">
        <v>43032</v>
      </c>
      <c r="F166" s="800" t="s">
        <v>1658</v>
      </c>
      <c r="G166" s="800" t="s">
        <v>11299</v>
      </c>
      <c r="H166" s="800" t="s">
        <v>10396</v>
      </c>
      <c r="I166" s="800" t="s">
        <v>10396</v>
      </c>
      <c r="J166" s="800" t="s">
        <v>10447</v>
      </c>
      <c r="K166" s="800">
        <v>1</v>
      </c>
      <c r="L166" s="802" t="s">
        <v>10398</v>
      </c>
      <c r="M166" s="802" t="s">
        <v>11300</v>
      </c>
      <c r="N166" s="802" t="s">
        <v>11301</v>
      </c>
      <c r="O166" s="802" t="s">
        <v>11302</v>
      </c>
      <c r="P166" s="807" t="s">
        <v>11303</v>
      </c>
    </row>
    <row r="167" spans="1:16" s="341" customFormat="1" ht="15" customHeight="1">
      <c r="A167" s="806" t="s">
        <v>6473</v>
      </c>
      <c r="B167" s="800" t="s">
        <v>1969</v>
      </c>
      <c r="C167" s="800" t="s">
        <v>1989</v>
      </c>
      <c r="D167" s="800" t="s">
        <v>11304</v>
      </c>
      <c r="E167" s="801">
        <v>43029</v>
      </c>
      <c r="F167" s="800" t="s">
        <v>1658</v>
      </c>
      <c r="G167" s="800" t="s">
        <v>11305</v>
      </c>
      <c r="H167" s="800" t="s">
        <v>10433</v>
      </c>
      <c r="I167" s="800" t="s">
        <v>10433</v>
      </c>
      <c r="J167" s="800" t="s">
        <v>10426</v>
      </c>
      <c r="K167" s="800">
        <v>1</v>
      </c>
      <c r="L167" s="802" t="s">
        <v>10398</v>
      </c>
      <c r="M167" s="802" t="s">
        <v>11306</v>
      </c>
      <c r="N167" s="802" t="s">
        <v>11307</v>
      </c>
      <c r="O167" s="802" t="s">
        <v>11308</v>
      </c>
      <c r="P167" s="807" t="s">
        <v>11309</v>
      </c>
    </row>
    <row r="168" spans="1:16" s="341" customFormat="1" ht="15" customHeight="1">
      <c r="A168" s="806" t="s">
        <v>6473</v>
      </c>
      <c r="B168" s="800" t="s">
        <v>1969</v>
      </c>
      <c r="C168" s="800" t="s">
        <v>1989</v>
      </c>
      <c r="D168" s="800" t="s">
        <v>11310</v>
      </c>
      <c r="E168" s="801">
        <v>43045</v>
      </c>
      <c r="F168" s="800" t="s">
        <v>1989</v>
      </c>
      <c r="G168" s="800" t="s">
        <v>11311</v>
      </c>
      <c r="H168" s="800" t="s">
        <v>10433</v>
      </c>
      <c r="I168" s="800" t="s">
        <v>10433</v>
      </c>
      <c r="J168" s="800" t="s">
        <v>10397</v>
      </c>
      <c r="K168" s="800">
        <v>1</v>
      </c>
      <c r="L168" s="802" t="s">
        <v>10398</v>
      </c>
      <c r="M168" s="802" t="s">
        <v>11312</v>
      </c>
      <c r="N168" s="802" t="s">
        <v>11258</v>
      </c>
      <c r="O168" s="802" t="s">
        <v>11313</v>
      </c>
      <c r="P168" s="807" t="s">
        <v>11314</v>
      </c>
    </row>
    <row r="169" spans="1:16" s="341" customFormat="1" ht="25.5" customHeight="1">
      <c r="A169" s="806" t="s">
        <v>6473</v>
      </c>
      <c r="B169" s="800" t="s">
        <v>1969</v>
      </c>
      <c r="C169" s="800" t="s">
        <v>1989</v>
      </c>
      <c r="D169" s="800" t="s">
        <v>11315</v>
      </c>
      <c r="E169" s="801">
        <v>43020</v>
      </c>
      <c r="F169" s="800" t="s">
        <v>1998</v>
      </c>
      <c r="G169" s="800" t="s">
        <v>32</v>
      </c>
      <c r="H169" s="800" t="s">
        <v>10433</v>
      </c>
      <c r="I169" s="800" t="s">
        <v>10433</v>
      </c>
      <c r="J169" s="800" t="s">
        <v>4342</v>
      </c>
      <c r="K169" s="800">
        <v>1</v>
      </c>
      <c r="L169" s="802" t="s">
        <v>10398</v>
      </c>
      <c r="M169" s="802" t="s">
        <v>11316</v>
      </c>
      <c r="N169" s="802" t="s">
        <v>11317</v>
      </c>
      <c r="O169" s="802" t="s">
        <v>11318</v>
      </c>
      <c r="P169" s="807" t="s">
        <v>32</v>
      </c>
    </row>
    <row r="170" spans="1:16" s="341" customFormat="1" ht="25.5" customHeight="1">
      <c r="A170" s="806" t="s">
        <v>6473</v>
      </c>
      <c r="B170" s="800" t="s">
        <v>1969</v>
      </c>
      <c r="C170" s="800" t="s">
        <v>1989</v>
      </c>
      <c r="D170" s="800" t="s">
        <v>11319</v>
      </c>
      <c r="E170" s="801">
        <v>43020</v>
      </c>
      <c r="F170" s="800" t="s">
        <v>1998</v>
      </c>
      <c r="G170" s="800" t="s">
        <v>11320</v>
      </c>
      <c r="H170" s="800" t="s">
        <v>10433</v>
      </c>
      <c r="I170" s="800" t="s">
        <v>10433</v>
      </c>
      <c r="J170" s="800" t="s">
        <v>10426</v>
      </c>
      <c r="K170" s="800">
        <v>1</v>
      </c>
      <c r="L170" s="802" t="s">
        <v>10398</v>
      </c>
      <c r="M170" s="802" t="s">
        <v>32</v>
      </c>
      <c r="N170" s="802" t="s">
        <v>11321</v>
      </c>
      <c r="O170" s="802" t="s">
        <v>11322</v>
      </c>
      <c r="P170" s="807" t="s">
        <v>32</v>
      </c>
    </row>
    <row r="171" spans="1:16" s="341" customFormat="1" ht="25.5">
      <c r="A171" s="806" t="s">
        <v>6473</v>
      </c>
      <c r="B171" s="800" t="s">
        <v>1969</v>
      </c>
      <c r="C171" s="800" t="s">
        <v>1989</v>
      </c>
      <c r="D171" s="800" t="s">
        <v>11323</v>
      </c>
      <c r="E171" s="801">
        <v>43020</v>
      </c>
      <c r="F171" s="800" t="s">
        <v>1998</v>
      </c>
      <c r="G171" s="800" t="s">
        <v>11324</v>
      </c>
      <c r="H171" s="800" t="s">
        <v>10404</v>
      </c>
      <c r="I171" s="800" t="s">
        <v>10404</v>
      </c>
      <c r="J171" s="800" t="s">
        <v>10664</v>
      </c>
      <c r="K171" s="800">
        <v>1</v>
      </c>
      <c r="L171" s="802" t="s">
        <v>10398</v>
      </c>
      <c r="M171" s="802" t="s">
        <v>11325</v>
      </c>
      <c r="N171" s="802" t="s">
        <v>11326</v>
      </c>
      <c r="O171" s="802" t="s">
        <v>11327</v>
      </c>
      <c r="P171" s="807" t="s">
        <v>32</v>
      </c>
    </row>
    <row r="172" spans="1:16" s="341" customFormat="1" ht="25.5" customHeight="1">
      <c r="A172" s="806" t="s">
        <v>6473</v>
      </c>
      <c r="B172" s="800" t="s">
        <v>1969</v>
      </c>
      <c r="C172" s="800" t="s">
        <v>1989</v>
      </c>
      <c r="D172" s="800" t="s">
        <v>11328</v>
      </c>
      <c r="E172" s="801">
        <v>43020</v>
      </c>
      <c r="F172" s="800" t="s">
        <v>1998</v>
      </c>
      <c r="G172" s="800" t="s">
        <v>11329</v>
      </c>
      <c r="H172" s="800" t="s">
        <v>10433</v>
      </c>
      <c r="I172" s="800" t="s">
        <v>10433</v>
      </c>
      <c r="J172" s="800" t="s">
        <v>10397</v>
      </c>
      <c r="K172" s="800">
        <v>1</v>
      </c>
      <c r="L172" s="802" t="s">
        <v>10398</v>
      </c>
      <c r="M172" s="802" t="s">
        <v>32</v>
      </c>
      <c r="N172" s="802" t="s">
        <v>11330</v>
      </c>
      <c r="O172" s="802" t="s">
        <v>11331</v>
      </c>
      <c r="P172" s="807" t="s">
        <v>32</v>
      </c>
    </row>
    <row r="173" spans="1:16" s="341" customFormat="1" ht="51" customHeight="1">
      <c r="A173" s="806" t="s">
        <v>6473</v>
      </c>
      <c r="B173" s="800" t="s">
        <v>1969</v>
      </c>
      <c r="C173" s="800" t="s">
        <v>1989</v>
      </c>
      <c r="D173" s="800" t="s">
        <v>11332</v>
      </c>
      <c r="E173" s="801">
        <v>43020</v>
      </c>
      <c r="F173" s="800" t="s">
        <v>1998</v>
      </c>
      <c r="G173" s="800" t="s">
        <v>11333</v>
      </c>
      <c r="H173" s="800" t="s">
        <v>10433</v>
      </c>
      <c r="I173" s="800" t="s">
        <v>10433</v>
      </c>
      <c r="J173" s="800" t="s">
        <v>10397</v>
      </c>
      <c r="K173" s="800">
        <v>1</v>
      </c>
      <c r="L173" s="802" t="s">
        <v>10398</v>
      </c>
      <c r="M173" s="802" t="s">
        <v>11334</v>
      </c>
      <c r="N173" s="802" t="s">
        <v>11335</v>
      </c>
      <c r="O173" s="802" t="s">
        <v>11336</v>
      </c>
      <c r="P173" s="807" t="s">
        <v>32</v>
      </c>
    </row>
    <row r="174" spans="1:16" s="341" customFormat="1" ht="25.5" customHeight="1">
      <c r="A174" s="806" t="s">
        <v>6473</v>
      </c>
      <c r="B174" s="800" t="s">
        <v>1969</v>
      </c>
      <c r="C174" s="800" t="s">
        <v>1989</v>
      </c>
      <c r="D174" s="800" t="s">
        <v>11337</v>
      </c>
      <c r="E174" s="801">
        <v>43020</v>
      </c>
      <c r="F174" s="800" t="s">
        <v>1989</v>
      </c>
      <c r="G174" s="800" t="s">
        <v>11333</v>
      </c>
      <c r="H174" s="800" t="s">
        <v>10433</v>
      </c>
      <c r="I174" s="800" t="s">
        <v>10433</v>
      </c>
      <c r="J174" s="800" t="s">
        <v>4342</v>
      </c>
      <c r="K174" s="800">
        <v>1</v>
      </c>
      <c r="L174" s="802" t="s">
        <v>10398</v>
      </c>
      <c r="M174" s="802" t="s">
        <v>11338</v>
      </c>
      <c r="N174" s="802" t="s">
        <v>11339</v>
      </c>
      <c r="O174" s="802" t="s">
        <v>11340</v>
      </c>
      <c r="P174" s="807" t="s">
        <v>32</v>
      </c>
    </row>
    <row r="175" spans="1:16" s="341" customFormat="1" ht="15" customHeight="1">
      <c r="A175" s="806" t="s">
        <v>6473</v>
      </c>
      <c r="B175" s="800" t="s">
        <v>1969</v>
      </c>
      <c r="C175" s="800" t="s">
        <v>1989</v>
      </c>
      <c r="D175" s="800" t="s">
        <v>11341</v>
      </c>
      <c r="E175" s="801">
        <v>43020</v>
      </c>
      <c r="F175" s="800" t="s">
        <v>1998</v>
      </c>
      <c r="G175" s="800" t="s">
        <v>11342</v>
      </c>
      <c r="H175" s="800" t="s">
        <v>10433</v>
      </c>
      <c r="I175" s="800" t="s">
        <v>10433</v>
      </c>
      <c r="J175" s="800" t="s">
        <v>10447</v>
      </c>
      <c r="K175" s="800">
        <v>1</v>
      </c>
      <c r="L175" s="802" t="s">
        <v>10398</v>
      </c>
      <c r="M175" s="802" t="s">
        <v>32</v>
      </c>
      <c r="N175" s="802" t="s">
        <v>32</v>
      </c>
      <c r="O175" s="802" t="s">
        <v>32</v>
      </c>
      <c r="P175" s="807" t="s">
        <v>32</v>
      </c>
    </row>
    <row r="176" spans="1:16" s="341" customFormat="1" ht="15" customHeight="1">
      <c r="A176" s="806" t="s">
        <v>6473</v>
      </c>
      <c r="B176" s="800" t="s">
        <v>1969</v>
      </c>
      <c r="C176" s="800" t="s">
        <v>2005</v>
      </c>
      <c r="D176" s="800" t="s">
        <v>11343</v>
      </c>
      <c r="E176" s="801">
        <v>43033</v>
      </c>
      <c r="F176" s="800" t="s">
        <v>11344</v>
      </c>
      <c r="G176" s="800" t="s">
        <v>11345</v>
      </c>
      <c r="H176" s="800" t="s">
        <v>10433</v>
      </c>
      <c r="I176" s="800" t="s">
        <v>10433</v>
      </c>
      <c r="J176" s="800" t="s">
        <v>10447</v>
      </c>
      <c r="K176" s="800">
        <v>1</v>
      </c>
      <c r="L176" s="802" t="s">
        <v>10398</v>
      </c>
      <c r="M176" s="802" t="s">
        <v>11346</v>
      </c>
      <c r="N176" s="802" t="s">
        <v>11347</v>
      </c>
      <c r="O176" s="802" t="s">
        <v>11348</v>
      </c>
      <c r="P176" s="807" t="s">
        <v>11349</v>
      </c>
    </row>
    <row r="177" spans="1:16" s="341" customFormat="1" ht="38.25" customHeight="1">
      <c r="A177" s="806" t="s">
        <v>6473</v>
      </c>
      <c r="B177" s="800" t="s">
        <v>1969</v>
      </c>
      <c r="C177" s="800" t="s">
        <v>2005</v>
      </c>
      <c r="D177" s="800" t="s">
        <v>11350</v>
      </c>
      <c r="E177" s="801">
        <v>43033</v>
      </c>
      <c r="F177" s="800" t="s">
        <v>11351</v>
      </c>
      <c r="G177" s="800" t="s">
        <v>11352</v>
      </c>
      <c r="H177" s="800" t="s">
        <v>10404</v>
      </c>
      <c r="I177" s="800" t="s">
        <v>10404</v>
      </c>
      <c r="J177" s="800" t="s">
        <v>10447</v>
      </c>
      <c r="K177" s="800">
        <v>1</v>
      </c>
      <c r="L177" s="802"/>
      <c r="M177" s="802"/>
      <c r="N177" s="802"/>
      <c r="O177" s="802"/>
      <c r="P177" s="807" t="s">
        <v>11353</v>
      </c>
    </row>
    <row r="178" spans="1:16" s="341" customFormat="1" ht="38.25" customHeight="1">
      <c r="A178" s="806" t="s">
        <v>6473</v>
      </c>
      <c r="B178" s="800" t="s">
        <v>1969</v>
      </c>
      <c r="C178" s="800" t="s">
        <v>2005</v>
      </c>
      <c r="D178" s="800" t="s">
        <v>11354</v>
      </c>
      <c r="E178" s="801">
        <v>43064</v>
      </c>
      <c r="F178" s="800" t="s">
        <v>32</v>
      </c>
      <c r="G178" s="800" t="s">
        <v>11355</v>
      </c>
      <c r="H178" s="800" t="s">
        <v>10433</v>
      </c>
      <c r="I178" s="800" t="s">
        <v>10433</v>
      </c>
      <c r="J178" s="800" t="s">
        <v>10447</v>
      </c>
      <c r="K178" s="800">
        <v>1</v>
      </c>
      <c r="L178" s="802" t="s">
        <v>10398</v>
      </c>
      <c r="M178" s="802" t="s">
        <v>11356</v>
      </c>
      <c r="N178" s="802" t="s">
        <v>11357</v>
      </c>
      <c r="O178" s="802" t="s">
        <v>11358</v>
      </c>
      <c r="P178" s="807" t="s">
        <v>11359</v>
      </c>
    </row>
    <row r="179" spans="1:16" s="341" customFormat="1" ht="15" customHeight="1">
      <c r="A179" s="806" t="s">
        <v>6473</v>
      </c>
      <c r="B179" s="800" t="s">
        <v>1969</v>
      </c>
      <c r="C179" s="800" t="s">
        <v>2005</v>
      </c>
      <c r="D179" s="800" t="s">
        <v>11360</v>
      </c>
      <c r="E179" s="801">
        <v>43032</v>
      </c>
      <c r="F179" s="800" t="s">
        <v>11361</v>
      </c>
      <c r="G179" s="800" t="s">
        <v>11362</v>
      </c>
      <c r="H179" s="800" t="s">
        <v>10404</v>
      </c>
      <c r="I179" s="800" t="s">
        <v>10404</v>
      </c>
      <c r="J179" s="800" t="s">
        <v>10426</v>
      </c>
      <c r="K179" s="800">
        <v>1</v>
      </c>
      <c r="L179" s="802" t="s">
        <v>10398</v>
      </c>
      <c r="M179" s="802" t="s">
        <v>11363</v>
      </c>
      <c r="N179" s="802" t="s">
        <v>11364</v>
      </c>
      <c r="O179" s="802" t="s">
        <v>11365</v>
      </c>
      <c r="P179" s="807" t="s">
        <v>11366</v>
      </c>
    </row>
    <row r="180" spans="1:16" s="341" customFormat="1" ht="25.5" customHeight="1">
      <c r="A180" s="806" t="s">
        <v>6473</v>
      </c>
      <c r="B180" s="800" t="s">
        <v>1969</v>
      </c>
      <c r="C180" s="800" t="s">
        <v>2005</v>
      </c>
      <c r="D180" s="800" t="s">
        <v>11367</v>
      </c>
      <c r="E180" s="801">
        <v>43047</v>
      </c>
      <c r="F180" s="800" t="s">
        <v>11368</v>
      </c>
      <c r="G180" s="800" t="s">
        <v>11369</v>
      </c>
      <c r="H180" s="800" t="s">
        <v>10433</v>
      </c>
      <c r="I180" s="800" t="s">
        <v>10433</v>
      </c>
      <c r="J180" s="800" t="s">
        <v>10447</v>
      </c>
      <c r="K180" s="800">
        <v>1</v>
      </c>
      <c r="L180" s="802" t="s">
        <v>10398</v>
      </c>
      <c r="M180" s="802" t="s">
        <v>11370</v>
      </c>
      <c r="N180" s="802" t="s">
        <v>11371</v>
      </c>
      <c r="O180" s="802" t="s">
        <v>11372</v>
      </c>
      <c r="P180" s="807" t="s">
        <v>11373</v>
      </c>
    </row>
    <row r="181" spans="1:16" s="341" customFormat="1" ht="25.5" customHeight="1">
      <c r="A181" s="806" t="s">
        <v>6473</v>
      </c>
      <c r="B181" s="800" t="s">
        <v>1969</v>
      </c>
      <c r="C181" s="800" t="s">
        <v>2005</v>
      </c>
      <c r="D181" s="800" t="s">
        <v>11374</v>
      </c>
      <c r="E181" s="801">
        <v>43025</v>
      </c>
      <c r="F181" s="800" t="s">
        <v>11375</v>
      </c>
      <c r="G181" s="800" t="s">
        <v>11376</v>
      </c>
      <c r="H181" s="800" t="s">
        <v>10396</v>
      </c>
      <c r="I181" s="800" t="s">
        <v>10396</v>
      </c>
      <c r="J181" s="800" t="s">
        <v>10447</v>
      </c>
      <c r="K181" s="800">
        <v>1</v>
      </c>
      <c r="L181" s="802" t="s">
        <v>10398</v>
      </c>
      <c r="M181" s="802" t="s">
        <v>11377</v>
      </c>
      <c r="N181" s="802" t="s">
        <v>11378</v>
      </c>
      <c r="O181" s="802" t="s">
        <v>11379</v>
      </c>
      <c r="P181" s="807" t="s">
        <v>11380</v>
      </c>
    </row>
    <row r="182" spans="1:16" s="341" customFormat="1" ht="25.5" customHeight="1">
      <c r="A182" s="806" t="s">
        <v>6473</v>
      </c>
      <c r="B182" s="800" t="s">
        <v>1969</v>
      </c>
      <c r="C182" s="800" t="s">
        <v>2005</v>
      </c>
      <c r="D182" s="800" t="s">
        <v>11381</v>
      </c>
      <c r="E182" s="801">
        <v>43025</v>
      </c>
      <c r="F182" s="800" t="s">
        <v>11375</v>
      </c>
      <c r="G182" s="800" t="s">
        <v>11376</v>
      </c>
      <c r="H182" s="800" t="s">
        <v>10396</v>
      </c>
      <c r="I182" s="800" t="s">
        <v>10396</v>
      </c>
      <c r="J182" s="800" t="s">
        <v>10447</v>
      </c>
      <c r="K182" s="800">
        <v>1</v>
      </c>
      <c r="L182" s="802" t="s">
        <v>10398</v>
      </c>
      <c r="M182" s="802" t="s">
        <v>11382</v>
      </c>
      <c r="N182" s="802" t="s">
        <v>11383</v>
      </c>
      <c r="O182" s="802" t="s">
        <v>11384</v>
      </c>
      <c r="P182" s="807" t="s">
        <v>11385</v>
      </c>
    </row>
    <row r="183" spans="1:16" s="341" customFormat="1" ht="25.5" customHeight="1">
      <c r="A183" s="806" t="s">
        <v>6473</v>
      </c>
      <c r="B183" s="800" t="s">
        <v>1969</v>
      </c>
      <c r="C183" s="800" t="s">
        <v>2005</v>
      </c>
      <c r="D183" s="800" t="s">
        <v>11386</v>
      </c>
      <c r="E183" s="801">
        <v>43025</v>
      </c>
      <c r="F183" s="800" t="s">
        <v>11387</v>
      </c>
      <c r="G183" s="800" t="s">
        <v>11388</v>
      </c>
      <c r="H183" s="800" t="s">
        <v>10396</v>
      </c>
      <c r="I183" s="800" t="s">
        <v>10396</v>
      </c>
      <c r="J183" s="800" t="s">
        <v>10447</v>
      </c>
      <c r="K183" s="800">
        <v>1</v>
      </c>
      <c r="L183" s="802" t="s">
        <v>10398</v>
      </c>
      <c r="M183" s="802" t="s">
        <v>11389</v>
      </c>
      <c r="N183" s="802" t="s">
        <v>11390</v>
      </c>
      <c r="O183" s="802" t="s">
        <v>11384</v>
      </c>
      <c r="P183" s="807" t="s">
        <v>32</v>
      </c>
    </row>
    <row r="184" spans="1:16" s="341" customFormat="1" ht="25.5" customHeight="1">
      <c r="A184" s="806" t="s">
        <v>6473</v>
      </c>
      <c r="B184" s="800" t="s">
        <v>1969</v>
      </c>
      <c r="C184" s="800" t="s">
        <v>2005</v>
      </c>
      <c r="D184" s="800" t="s">
        <v>11391</v>
      </c>
      <c r="E184" s="801">
        <v>43025</v>
      </c>
      <c r="F184" s="800" t="s">
        <v>11375</v>
      </c>
      <c r="G184" s="800" t="s">
        <v>11392</v>
      </c>
      <c r="H184" s="800" t="s">
        <v>10531</v>
      </c>
      <c r="I184" s="800" t="s">
        <v>10531</v>
      </c>
      <c r="J184" s="800" t="s">
        <v>10664</v>
      </c>
      <c r="K184" s="800">
        <v>1</v>
      </c>
      <c r="L184" s="802" t="s">
        <v>10398</v>
      </c>
      <c r="M184" s="802" t="s">
        <v>11393</v>
      </c>
      <c r="N184" s="802" t="s">
        <v>11394</v>
      </c>
      <c r="O184" s="802" t="s">
        <v>11395</v>
      </c>
      <c r="P184" s="807" t="s">
        <v>32</v>
      </c>
    </row>
    <row r="185" spans="1:16" s="341" customFormat="1" ht="38.25" customHeight="1">
      <c r="A185" s="806" t="s">
        <v>6473</v>
      </c>
      <c r="B185" s="800" t="s">
        <v>1969</v>
      </c>
      <c r="C185" s="800" t="s">
        <v>2005</v>
      </c>
      <c r="D185" s="800" t="s">
        <v>11396</v>
      </c>
      <c r="E185" s="801">
        <v>43035</v>
      </c>
      <c r="F185" s="800" t="s">
        <v>11351</v>
      </c>
      <c r="G185" s="800" t="s">
        <v>11397</v>
      </c>
      <c r="H185" s="800" t="s">
        <v>10404</v>
      </c>
      <c r="I185" s="800" t="s">
        <v>10404</v>
      </c>
      <c r="J185" s="800" t="s">
        <v>10426</v>
      </c>
      <c r="K185" s="800">
        <v>1</v>
      </c>
      <c r="L185" s="802" t="s">
        <v>10398</v>
      </c>
      <c r="M185" s="802" t="s">
        <v>11398</v>
      </c>
      <c r="N185" s="802" t="s">
        <v>11399</v>
      </c>
      <c r="O185" s="802" t="s">
        <v>11227</v>
      </c>
      <c r="P185" s="807" t="s">
        <v>11353</v>
      </c>
    </row>
    <row r="186" spans="1:16" s="341" customFormat="1" ht="38.25" customHeight="1">
      <c r="A186" s="806" t="s">
        <v>6473</v>
      </c>
      <c r="B186" s="800" t="s">
        <v>1969</v>
      </c>
      <c r="C186" s="800" t="s">
        <v>2005</v>
      </c>
      <c r="D186" s="800" t="s">
        <v>11400</v>
      </c>
      <c r="E186" s="801">
        <v>43033</v>
      </c>
      <c r="F186" s="800" t="s">
        <v>11401</v>
      </c>
      <c r="G186" s="800" t="s">
        <v>11402</v>
      </c>
      <c r="H186" s="800" t="s">
        <v>10404</v>
      </c>
      <c r="I186" s="800" t="s">
        <v>10404</v>
      </c>
      <c r="J186" s="800" t="s">
        <v>10664</v>
      </c>
      <c r="K186" s="800">
        <v>1</v>
      </c>
      <c r="L186" s="802" t="s">
        <v>10398</v>
      </c>
      <c r="M186" s="802" t="s">
        <v>11403</v>
      </c>
      <c r="N186" s="802" t="s">
        <v>11404</v>
      </c>
      <c r="O186" s="802" t="s">
        <v>11405</v>
      </c>
      <c r="P186" s="807" t="s">
        <v>11406</v>
      </c>
    </row>
    <row r="187" spans="1:16" s="341" customFormat="1" ht="25.5" customHeight="1">
      <c r="A187" s="806" t="s">
        <v>6473</v>
      </c>
      <c r="B187" s="800" t="s">
        <v>1969</v>
      </c>
      <c r="C187" s="800" t="s">
        <v>2005</v>
      </c>
      <c r="D187" s="800" t="s">
        <v>11407</v>
      </c>
      <c r="E187" s="801">
        <v>43047</v>
      </c>
      <c r="F187" s="800" t="s">
        <v>11408</v>
      </c>
      <c r="G187" s="800" t="s">
        <v>11409</v>
      </c>
      <c r="H187" s="800" t="s">
        <v>10531</v>
      </c>
      <c r="I187" s="800" t="s">
        <v>10531</v>
      </c>
      <c r="J187" s="800" t="s">
        <v>10397</v>
      </c>
      <c r="K187" s="800">
        <v>1</v>
      </c>
      <c r="L187" s="802" t="s">
        <v>10398</v>
      </c>
      <c r="M187" s="802" t="s">
        <v>11410</v>
      </c>
      <c r="N187" s="802" t="s">
        <v>11411</v>
      </c>
      <c r="O187" s="802" t="s">
        <v>11412</v>
      </c>
      <c r="P187" s="807" t="s">
        <v>11413</v>
      </c>
    </row>
    <row r="188" spans="1:16" s="341" customFormat="1" ht="25.5" customHeight="1">
      <c r="A188" s="806" t="s">
        <v>6473</v>
      </c>
      <c r="B188" s="800" t="s">
        <v>1969</v>
      </c>
      <c r="C188" s="800" t="s">
        <v>2005</v>
      </c>
      <c r="D188" s="800" t="s">
        <v>11414</v>
      </c>
      <c r="E188" s="801">
        <v>43047</v>
      </c>
      <c r="F188" s="800" t="s">
        <v>11415</v>
      </c>
      <c r="G188" s="800" t="s">
        <v>11416</v>
      </c>
      <c r="H188" s="800" t="s">
        <v>10433</v>
      </c>
      <c r="I188" s="800" t="s">
        <v>10433</v>
      </c>
      <c r="J188" s="800" t="s">
        <v>10397</v>
      </c>
      <c r="K188" s="800">
        <v>1</v>
      </c>
      <c r="L188" s="802" t="s">
        <v>10398</v>
      </c>
      <c r="M188" s="802" t="s">
        <v>11417</v>
      </c>
      <c r="N188" s="802" t="s">
        <v>11418</v>
      </c>
      <c r="O188" s="802" t="s">
        <v>11419</v>
      </c>
      <c r="P188" s="807" t="s">
        <v>32</v>
      </c>
    </row>
    <row r="189" spans="1:16" s="341" customFormat="1" ht="25.5" customHeight="1">
      <c r="A189" s="806" t="s">
        <v>6473</v>
      </c>
      <c r="B189" s="800" t="s">
        <v>1969</v>
      </c>
      <c r="C189" s="800" t="s">
        <v>2005</v>
      </c>
      <c r="D189" s="800" t="s">
        <v>11420</v>
      </c>
      <c r="E189" s="801">
        <v>43047</v>
      </c>
      <c r="F189" s="800" t="s">
        <v>11421</v>
      </c>
      <c r="G189" s="800" t="s">
        <v>11422</v>
      </c>
      <c r="H189" s="800" t="s">
        <v>10433</v>
      </c>
      <c r="I189" s="800" t="s">
        <v>10433</v>
      </c>
      <c r="J189" s="800" t="s">
        <v>10664</v>
      </c>
      <c r="K189" s="800">
        <v>1</v>
      </c>
      <c r="L189" s="802" t="s">
        <v>10398</v>
      </c>
      <c r="M189" s="802" t="s">
        <v>11423</v>
      </c>
      <c r="N189" s="802" t="s">
        <v>11424</v>
      </c>
      <c r="O189" s="802" t="s">
        <v>11425</v>
      </c>
      <c r="P189" s="807" t="s">
        <v>11426</v>
      </c>
    </row>
    <row r="190" spans="1:16" s="341" customFormat="1" ht="15" customHeight="1">
      <c r="A190" s="806" t="s">
        <v>6473</v>
      </c>
      <c r="B190" s="800" t="s">
        <v>1969</v>
      </c>
      <c r="C190" s="800" t="s">
        <v>2005</v>
      </c>
      <c r="D190" s="800" t="s">
        <v>11427</v>
      </c>
      <c r="E190" s="801">
        <v>43070</v>
      </c>
      <c r="F190" s="800" t="s">
        <v>11428</v>
      </c>
      <c r="G190" s="800" t="s">
        <v>11429</v>
      </c>
      <c r="H190" s="800" t="s">
        <v>10433</v>
      </c>
      <c r="I190" s="800" t="s">
        <v>10433</v>
      </c>
      <c r="J190" s="800" t="s">
        <v>10447</v>
      </c>
      <c r="K190" s="800">
        <v>1</v>
      </c>
      <c r="L190" s="802" t="s">
        <v>10398</v>
      </c>
      <c r="M190" s="802" t="s">
        <v>11430</v>
      </c>
      <c r="N190" s="802" t="s">
        <v>11431</v>
      </c>
      <c r="O190" s="802" t="s">
        <v>11432</v>
      </c>
      <c r="P190" s="807" t="s">
        <v>32</v>
      </c>
    </row>
    <row r="191" spans="1:16" s="341" customFormat="1" ht="25.5" customHeight="1">
      <c r="A191" s="806" t="s">
        <v>6473</v>
      </c>
      <c r="B191" s="800" t="s">
        <v>1969</v>
      </c>
      <c r="C191" s="800" t="s">
        <v>2005</v>
      </c>
      <c r="D191" s="800" t="s">
        <v>11433</v>
      </c>
      <c r="E191" s="801">
        <v>43062</v>
      </c>
      <c r="F191" s="800" t="s">
        <v>11434</v>
      </c>
      <c r="G191" s="800" t="s">
        <v>11435</v>
      </c>
      <c r="H191" s="800" t="s">
        <v>10433</v>
      </c>
      <c r="I191" s="800" t="s">
        <v>10433</v>
      </c>
      <c r="J191" s="800" t="s">
        <v>10664</v>
      </c>
      <c r="K191" s="800">
        <v>1</v>
      </c>
      <c r="L191" s="802" t="s">
        <v>10398</v>
      </c>
      <c r="M191" s="802" t="s">
        <v>11436</v>
      </c>
      <c r="N191" s="802" t="s">
        <v>11437</v>
      </c>
      <c r="O191" s="802" t="s">
        <v>11438</v>
      </c>
      <c r="P191" s="807" t="s">
        <v>11439</v>
      </c>
    </row>
    <row r="192" spans="1:16" s="341" customFormat="1" ht="25.5" customHeight="1">
      <c r="A192" s="806" t="s">
        <v>6473</v>
      </c>
      <c r="B192" s="800" t="s">
        <v>1969</v>
      </c>
      <c r="C192" s="800" t="s">
        <v>2005</v>
      </c>
      <c r="D192" s="800" t="s">
        <v>11440</v>
      </c>
      <c r="E192" s="801">
        <v>43062</v>
      </c>
      <c r="F192" s="800" t="s">
        <v>11434</v>
      </c>
      <c r="G192" s="800" t="s">
        <v>11441</v>
      </c>
      <c r="H192" s="800" t="s">
        <v>10404</v>
      </c>
      <c r="I192" s="800" t="s">
        <v>10404</v>
      </c>
      <c r="J192" s="800" t="s">
        <v>10426</v>
      </c>
      <c r="K192" s="800">
        <v>1</v>
      </c>
      <c r="L192" s="802" t="s">
        <v>10398</v>
      </c>
      <c r="M192" s="802" t="s">
        <v>11442</v>
      </c>
      <c r="N192" s="802" t="s">
        <v>11443</v>
      </c>
      <c r="O192" s="802" t="s">
        <v>11444</v>
      </c>
      <c r="P192" s="807" t="s">
        <v>11445</v>
      </c>
    </row>
    <row r="193" spans="1:16" s="341" customFormat="1" ht="15" customHeight="1">
      <c r="A193" s="806" t="s">
        <v>6473</v>
      </c>
      <c r="B193" s="800" t="s">
        <v>1969</v>
      </c>
      <c r="C193" s="800" t="s">
        <v>2005</v>
      </c>
      <c r="D193" s="800" t="s">
        <v>11446</v>
      </c>
      <c r="E193" s="801">
        <v>43062</v>
      </c>
      <c r="F193" s="800" t="s">
        <v>11434</v>
      </c>
      <c r="G193" s="800" t="s">
        <v>11447</v>
      </c>
      <c r="H193" s="800" t="s">
        <v>10433</v>
      </c>
      <c r="I193" s="800" t="s">
        <v>10433</v>
      </c>
      <c r="J193" s="800" t="s">
        <v>10664</v>
      </c>
      <c r="K193" s="800">
        <v>1</v>
      </c>
      <c r="L193" s="802" t="s">
        <v>10398</v>
      </c>
      <c r="M193" s="802" t="s">
        <v>11448</v>
      </c>
      <c r="N193" s="802" t="s">
        <v>11449</v>
      </c>
      <c r="O193" s="802" t="s">
        <v>11450</v>
      </c>
      <c r="P193" s="807" t="s">
        <v>11451</v>
      </c>
    </row>
    <row r="194" spans="1:16" s="341" customFormat="1" ht="25.5" customHeight="1">
      <c r="A194" s="806" t="s">
        <v>6473</v>
      </c>
      <c r="B194" s="800" t="s">
        <v>1969</v>
      </c>
      <c r="C194" s="800" t="s">
        <v>2005</v>
      </c>
      <c r="D194" s="800" t="s">
        <v>11452</v>
      </c>
      <c r="E194" s="801">
        <v>43062</v>
      </c>
      <c r="F194" s="800" t="s">
        <v>11434</v>
      </c>
      <c r="G194" s="800" t="s">
        <v>11453</v>
      </c>
      <c r="H194" s="800" t="s">
        <v>10404</v>
      </c>
      <c r="I194" s="800" t="s">
        <v>10404</v>
      </c>
      <c r="J194" s="800" t="s">
        <v>10426</v>
      </c>
      <c r="K194" s="800">
        <v>1</v>
      </c>
      <c r="L194" s="802" t="s">
        <v>10398</v>
      </c>
      <c r="M194" s="802" t="s">
        <v>11454</v>
      </c>
      <c r="N194" s="802" t="s">
        <v>11455</v>
      </c>
      <c r="O194" s="802" t="s">
        <v>11456</v>
      </c>
      <c r="P194" s="807" t="s">
        <v>11457</v>
      </c>
    </row>
    <row r="195" spans="1:16" s="341" customFormat="1" ht="25.5" customHeight="1">
      <c r="A195" s="806" t="s">
        <v>6473</v>
      </c>
      <c r="B195" s="800" t="s">
        <v>1969</v>
      </c>
      <c r="C195" s="800" t="s">
        <v>2005</v>
      </c>
      <c r="D195" s="800" t="s">
        <v>11458</v>
      </c>
      <c r="E195" s="801">
        <v>43062</v>
      </c>
      <c r="F195" s="800" t="s">
        <v>2053</v>
      </c>
      <c r="G195" s="800" t="s">
        <v>11459</v>
      </c>
      <c r="H195" s="800" t="s">
        <v>10531</v>
      </c>
      <c r="I195" s="800" t="s">
        <v>10531</v>
      </c>
      <c r="J195" s="800" t="s">
        <v>10664</v>
      </c>
      <c r="K195" s="800">
        <v>1</v>
      </c>
      <c r="L195" s="802" t="s">
        <v>10398</v>
      </c>
      <c r="M195" s="802" t="s">
        <v>11460</v>
      </c>
      <c r="N195" s="802" t="s">
        <v>11461</v>
      </c>
      <c r="O195" s="802" t="s">
        <v>11462</v>
      </c>
      <c r="P195" s="807" t="s">
        <v>11463</v>
      </c>
    </row>
    <row r="196" spans="1:16" s="341" customFormat="1" ht="38.25" customHeight="1">
      <c r="A196" s="806" t="s">
        <v>6473</v>
      </c>
      <c r="B196" s="800" t="s">
        <v>1969</v>
      </c>
      <c r="C196" s="800" t="s">
        <v>2005</v>
      </c>
      <c r="D196" s="800" t="s">
        <v>11464</v>
      </c>
      <c r="E196" s="801">
        <v>43062</v>
      </c>
      <c r="F196" s="800" t="s">
        <v>2053</v>
      </c>
      <c r="G196" s="800" t="s">
        <v>11465</v>
      </c>
      <c r="H196" s="800" t="s">
        <v>10531</v>
      </c>
      <c r="I196" s="800" t="s">
        <v>10531</v>
      </c>
      <c r="J196" s="800" t="s">
        <v>10664</v>
      </c>
      <c r="K196" s="800">
        <v>1</v>
      </c>
      <c r="L196" s="802" t="s">
        <v>10398</v>
      </c>
      <c r="M196" s="802" t="s">
        <v>11466</v>
      </c>
      <c r="N196" s="802" t="s">
        <v>11467</v>
      </c>
      <c r="O196" s="802" t="s">
        <v>11468</v>
      </c>
      <c r="P196" s="807" t="s">
        <v>11469</v>
      </c>
    </row>
    <row r="197" spans="1:16" s="341" customFormat="1" ht="25.5" customHeight="1">
      <c r="A197" s="806" t="s">
        <v>6473</v>
      </c>
      <c r="B197" s="800" t="s">
        <v>1969</v>
      </c>
      <c r="C197" s="800" t="s">
        <v>2005</v>
      </c>
      <c r="D197" s="800" t="s">
        <v>11470</v>
      </c>
      <c r="E197" s="801">
        <v>43033</v>
      </c>
      <c r="F197" s="800" t="s">
        <v>11471</v>
      </c>
      <c r="G197" s="800" t="s">
        <v>11472</v>
      </c>
      <c r="H197" s="800" t="s">
        <v>10396</v>
      </c>
      <c r="I197" s="800" t="s">
        <v>10396</v>
      </c>
      <c r="J197" s="800" t="s">
        <v>10664</v>
      </c>
      <c r="K197" s="800">
        <v>1</v>
      </c>
      <c r="L197" s="802" t="s">
        <v>10398</v>
      </c>
      <c r="M197" s="802" t="s">
        <v>11473</v>
      </c>
      <c r="N197" s="802" t="s">
        <v>11474</v>
      </c>
      <c r="O197" s="802" t="s">
        <v>11475</v>
      </c>
      <c r="P197" s="807" t="s">
        <v>11476</v>
      </c>
    </row>
    <row r="198" spans="1:16" s="341" customFormat="1" ht="25.5" customHeight="1">
      <c r="A198" s="806" t="s">
        <v>6473</v>
      </c>
      <c r="B198" s="800" t="s">
        <v>1969</v>
      </c>
      <c r="C198" s="800" t="s">
        <v>2005</v>
      </c>
      <c r="D198" s="800" t="s">
        <v>11477</v>
      </c>
      <c r="E198" s="801">
        <v>43069</v>
      </c>
      <c r="F198" s="800" t="s">
        <v>2118</v>
      </c>
      <c r="G198" s="800" t="s">
        <v>11478</v>
      </c>
      <c r="H198" s="800" t="s">
        <v>10433</v>
      </c>
      <c r="I198" s="800" t="s">
        <v>10433</v>
      </c>
      <c r="J198" s="800" t="s">
        <v>10447</v>
      </c>
      <c r="K198" s="800">
        <v>1</v>
      </c>
      <c r="L198" s="802" t="s">
        <v>10398</v>
      </c>
      <c r="M198" s="802" t="s">
        <v>11479</v>
      </c>
      <c r="N198" s="802" t="s">
        <v>11480</v>
      </c>
      <c r="O198" s="802" t="s">
        <v>11481</v>
      </c>
      <c r="P198" s="807" t="s">
        <v>11482</v>
      </c>
    </row>
    <row r="199" spans="1:16" s="341" customFormat="1" ht="15" customHeight="1">
      <c r="A199" s="806" t="s">
        <v>6473</v>
      </c>
      <c r="B199" s="800" t="s">
        <v>1969</v>
      </c>
      <c r="C199" s="800" t="s">
        <v>2005</v>
      </c>
      <c r="D199" s="800" t="s">
        <v>11483</v>
      </c>
      <c r="E199" s="801">
        <v>43069</v>
      </c>
      <c r="F199" s="800" t="s">
        <v>2118</v>
      </c>
      <c r="G199" s="800" t="s">
        <v>11484</v>
      </c>
      <c r="H199" s="800" t="s">
        <v>10404</v>
      </c>
      <c r="I199" s="800" t="s">
        <v>10404</v>
      </c>
      <c r="J199" s="800" t="s">
        <v>10447</v>
      </c>
      <c r="K199" s="800">
        <v>1</v>
      </c>
      <c r="L199" s="802" t="s">
        <v>10398</v>
      </c>
      <c r="M199" s="802" t="s">
        <v>11485</v>
      </c>
      <c r="N199" s="802" t="s">
        <v>11486</v>
      </c>
      <c r="O199" s="802" t="s">
        <v>11487</v>
      </c>
      <c r="P199" s="807" t="s">
        <v>11488</v>
      </c>
    </row>
    <row r="200" spans="1:16" s="341" customFormat="1" ht="15" customHeight="1">
      <c r="A200" s="806" t="s">
        <v>6473</v>
      </c>
      <c r="B200" s="800" t="s">
        <v>1969</v>
      </c>
      <c r="C200" s="800" t="s">
        <v>2005</v>
      </c>
      <c r="D200" s="800" t="s">
        <v>11489</v>
      </c>
      <c r="E200" s="801">
        <v>43069</v>
      </c>
      <c r="F200" s="800" t="s">
        <v>2118</v>
      </c>
      <c r="G200" s="800" t="s">
        <v>11490</v>
      </c>
      <c r="H200" s="800" t="s">
        <v>10404</v>
      </c>
      <c r="I200" s="800" t="s">
        <v>10404</v>
      </c>
      <c r="J200" s="800" t="s">
        <v>10447</v>
      </c>
      <c r="K200" s="800">
        <v>1</v>
      </c>
      <c r="L200" s="802" t="s">
        <v>10605</v>
      </c>
      <c r="M200" s="802" t="s">
        <v>32</v>
      </c>
      <c r="N200" s="802" t="s">
        <v>11491</v>
      </c>
      <c r="O200" s="802" t="s">
        <v>32</v>
      </c>
      <c r="P200" s="807" t="s">
        <v>11492</v>
      </c>
    </row>
    <row r="201" spans="1:16" s="341" customFormat="1" ht="15" customHeight="1">
      <c r="A201" s="806" t="s">
        <v>6473</v>
      </c>
      <c r="B201" s="800" t="s">
        <v>1969</v>
      </c>
      <c r="C201" s="800" t="s">
        <v>2005</v>
      </c>
      <c r="D201" s="800" t="s">
        <v>11493</v>
      </c>
      <c r="E201" s="801">
        <v>43069</v>
      </c>
      <c r="F201" s="800" t="s">
        <v>2188</v>
      </c>
      <c r="G201" s="800" t="s">
        <v>11494</v>
      </c>
      <c r="H201" s="800" t="s">
        <v>10433</v>
      </c>
      <c r="I201" s="800" t="s">
        <v>10433</v>
      </c>
      <c r="J201" s="800" t="s">
        <v>10447</v>
      </c>
      <c r="K201" s="800">
        <v>1</v>
      </c>
      <c r="L201" s="802" t="s">
        <v>10398</v>
      </c>
      <c r="M201" s="802" t="s">
        <v>11495</v>
      </c>
      <c r="N201" s="802" t="s">
        <v>11496</v>
      </c>
      <c r="O201" s="802" t="s">
        <v>11497</v>
      </c>
      <c r="P201" s="807" t="s">
        <v>11385</v>
      </c>
    </row>
    <row r="202" spans="1:16" s="341" customFormat="1" ht="25.5" customHeight="1">
      <c r="A202" s="806" t="s">
        <v>6473</v>
      </c>
      <c r="B202" s="800" t="s">
        <v>1969</v>
      </c>
      <c r="C202" s="800" t="s">
        <v>2005</v>
      </c>
      <c r="D202" s="800" t="s">
        <v>11498</v>
      </c>
      <c r="E202" s="801">
        <v>43069</v>
      </c>
      <c r="F202" s="800" t="s">
        <v>2118</v>
      </c>
      <c r="G202" s="800" t="s">
        <v>11499</v>
      </c>
      <c r="H202" s="800" t="s">
        <v>10404</v>
      </c>
      <c r="I202" s="800" t="s">
        <v>10404</v>
      </c>
      <c r="J202" s="800" t="s">
        <v>10447</v>
      </c>
      <c r="K202" s="800">
        <v>1</v>
      </c>
      <c r="L202" s="802" t="s">
        <v>10398</v>
      </c>
      <c r="M202" s="802" t="s">
        <v>11500</v>
      </c>
      <c r="N202" s="802" t="s">
        <v>11501</v>
      </c>
      <c r="O202" s="802" t="s">
        <v>11502</v>
      </c>
      <c r="P202" s="807" t="s">
        <v>11503</v>
      </c>
    </row>
    <row r="203" spans="1:16" s="341" customFormat="1" ht="25.5" customHeight="1">
      <c r="A203" s="806" t="s">
        <v>6473</v>
      </c>
      <c r="B203" s="800" t="s">
        <v>1969</v>
      </c>
      <c r="C203" s="800" t="s">
        <v>2005</v>
      </c>
      <c r="D203" s="800" t="s">
        <v>11504</v>
      </c>
      <c r="E203" s="801">
        <v>43069</v>
      </c>
      <c r="F203" s="800" t="s">
        <v>2188</v>
      </c>
      <c r="G203" s="800" t="s">
        <v>11505</v>
      </c>
      <c r="H203" s="800" t="s">
        <v>10404</v>
      </c>
      <c r="I203" s="800" t="s">
        <v>10404</v>
      </c>
      <c r="J203" s="800" t="s">
        <v>10447</v>
      </c>
      <c r="K203" s="800">
        <v>1</v>
      </c>
      <c r="L203" s="802" t="s">
        <v>10398</v>
      </c>
      <c r="M203" s="802" t="s">
        <v>11506</v>
      </c>
      <c r="N203" s="802" t="s">
        <v>11507</v>
      </c>
      <c r="O203" s="802" t="s">
        <v>11508</v>
      </c>
      <c r="P203" s="807" t="s">
        <v>11509</v>
      </c>
    </row>
    <row r="204" spans="1:16" s="341" customFormat="1" ht="25.5" customHeight="1">
      <c r="A204" s="806" t="s">
        <v>6473</v>
      </c>
      <c r="B204" s="800" t="s">
        <v>1969</v>
      </c>
      <c r="C204" s="800" t="s">
        <v>2005</v>
      </c>
      <c r="D204" s="800" t="s">
        <v>11510</v>
      </c>
      <c r="E204" s="801">
        <v>43069</v>
      </c>
      <c r="F204" s="800" t="s">
        <v>2188</v>
      </c>
      <c r="G204" s="800" t="s">
        <v>11511</v>
      </c>
      <c r="H204" s="800" t="s">
        <v>10404</v>
      </c>
      <c r="I204" s="800" t="s">
        <v>10404</v>
      </c>
      <c r="J204" s="800" t="s">
        <v>10447</v>
      </c>
      <c r="K204" s="800">
        <v>1</v>
      </c>
      <c r="L204" s="802" t="s">
        <v>10398</v>
      </c>
      <c r="M204" s="802" t="s">
        <v>11512</v>
      </c>
      <c r="N204" s="802" t="s">
        <v>11437</v>
      </c>
      <c r="O204" s="802" t="s">
        <v>11513</v>
      </c>
      <c r="P204" s="807" t="s">
        <v>11514</v>
      </c>
    </row>
    <row r="205" spans="1:16" s="341" customFormat="1" ht="25.5" customHeight="1">
      <c r="A205" s="806" t="s">
        <v>6473</v>
      </c>
      <c r="B205" s="800" t="s">
        <v>1969</v>
      </c>
      <c r="C205" s="800" t="s">
        <v>2005</v>
      </c>
      <c r="D205" s="800" t="s">
        <v>11515</v>
      </c>
      <c r="E205" s="801">
        <v>43069</v>
      </c>
      <c r="F205" s="800" t="s">
        <v>2118</v>
      </c>
      <c r="G205" s="800" t="s">
        <v>11516</v>
      </c>
      <c r="H205" s="800" t="s">
        <v>10404</v>
      </c>
      <c r="I205" s="800" t="s">
        <v>10404</v>
      </c>
      <c r="J205" s="800" t="s">
        <v>10447</v>
      </c>
      <c r="K205" s="800">
        <v>1</v>
      </c>
      <c r="L205" s="802" t="s">
        <v>10398</v>
      </c>
      <c r="M205" s="802" t="s">
        <v>11517</v>
      </c>
      <c r="N205" s="802" t="s">
        <v>11518</v>
      </c>
      <c r="O205" s="802" t="s">
        <v>11519</v>
      </c>
      <c r="P205" s="807" t="s">
        <v>11520</v>
      </c>
    </row>
    <row r="206" spans="1:16" s="341" customFormat="1" ht="25.5" customHeight="1">
      <c r="A206" s="806" t="s">
        <v>6473</v>
      </c>
      <c r="B206" s="800" t="s">
        <v>1969</v>
      </c>
      <c r="C206" s="800" t="s">
        <v>2005</v>
      </c>
      <c r="D206" s="800" t="s">
        <v>11521</v>
      </c>
      <c r="E206" s="801">
        <v>43069</v>
      </c>
      <c r="F206" s="800" t="s">
        <v>2118</v>
      </c>
      <c r="G206" s="800" t="s">
        <v>11522</v>
      </c>
      <c r="H206" s="800" t="s">
        <v>10404</v>
      </c>
      <c r="I206" s="800" t="s">
        <v>10404</v>
      </c>
      <c r="J206" s="800" t="s">
        <v>10447</v>
      </c>
      <c r="K206" s="800">
        <v>1</v>
      </c>
      <c r="L206" s="802" t="s">
        <v>10398</v>
      </c>
      <c r="M206" s="802" t="s">
        <v>11523</v>
      </c>
      <c r="N206" s="802" t="s">
        <v>11524</v>
      </c>
      <c r="O206" s="802" t="s">
        <v>11513</v>
      </c>
      <c r="P206" s="807" t="s">
        <v>32</v>
      </c>
    </row>
    <row r="207" spans="1:16" s="341" customFormat="1" ht="25.5" customHeight="1">
      <c r="A207" s="806" t="s">
        <v>6473</v>
      </c>
      <c r="B207" s="800" t="s">
        <v>1969</v>
      </c>
      <c r="C207" s="800" t="s">
        <v>2005</v>
      </c>
      <c r="D207" s="800" t="s">
        <v>11525</v>
      </c>
      <c r="E207" s="801">
        <v>43069</v>
      </c>
      <c r="F207" s="800" t="s">
        <v>2118</v>
      </c>
      <c r="G207" s="800" t="s">
        <v>11526</v>
      </c>
      <c r="H207" s="800" t="s">
        <v>10404</v>
      </c>
      <c r="I207" s="800" t="s">
        <v>10404</v>
      </c>
      <c r="J207" s="800" t="s">
        <v>10447</v>
      </c>
      <c r="K207" s="800">
        <v>1</v>
      </c>
      <c r="L207" s="802" t="s">
        <v>10398</v>
      </c>
      <c r="M207" s="802" t="s">
        <v>11527</v>
      </c>
      <c r="N207" s="802" t="s">
        <v>11528</v>
      </c>
      <c r="O207" s="802" t="s">
        <v>11529</v>
      </c>
      <c r="P207" s="807" t="s">
        <v>32</v>
      </c>
    </row>
    <row r="208" spans="1:16" s="341" customFormat="1" ht="25.5" customHeight="1">
      <c r="A208" s="806" t="s">
        <v>6473</v>
      </c>
      <c r="B208" s="800" t="s">
        <v>1969</v>
      </c>
      <c r="C208" s="800" t="s">
        <v>2005</v>
      </c>
      <c r="D208" s="800" t="s">
        <v>11530</v>
      </c>
      <c r="E208" s="801">
        <v>43069</v>
      </c>
      <c r="F208" s="800" t="s">
        <v>2118</v>
      </c>
      <c r="G208" s="800" t="s">
        <v>11531</v>
      </c>
      <c r="H208" s="800" t="s">
        <v>10404</v>
      </c>
      <c r="I208" s="800" t="s">
        <v>10404</v>
      </c>
      <c r="J208" s="800" t="s">
        <v>10447</v>
      </c>
      <c r="K208" s="800">
        <v>1</v>
      </c>
      <c r="L208" s="802" t="s">
        <v>10398</v>
      </c>
      <c r="M208" s="802" t="s">
        <v>11532</v>
      </c>
      <c r="N208" s="802" t="s">
        <v>11533</v>
      </c>
      <c r="O208" s="802" t="s">
        <v>11513</v>
      </c>
      <c r="P208" s="807" t="s">
        <v>11534</v>
      </c>
    </row>
    <row r="209" spans="1:16" s="341" customFormat="1" ht="25.5" customHeight="1">
      <c r="A209" s="806" t="s">
        <v>6473</v>
      </c>
      <c r="B209" s="800" t="s">
        <v>1969</v>
      </c>
      <c r="C209" s="800" t="s">
        <v>2005</v>
      </c>
      <c r="D209" s="800" t="s">
        <v>11535</v>
      </c>
      <c r="E209" s="801">
        <v>43069</v>
      </c>
      <c r="F209" s="800" t="s">
        <v>2118</v>
      </c>
      <c r="G209" s="800" t="s">
        <v>11536</v>
      </c>
      <c r="H209" s="800" t="s">
        <v>10404</v>
      </c>
      <c r="I209" s="800" t="s">
        <v>10404</v>
      </c>
      <c r="J209" s="800" t="s">
        <v>10447</v>
      </c>
      <c r="K209" s="800">
        <v>1</v>
      </c>
      <c r="L209" s="802" t="s">
        <v>10398</v>
      </c>
      <c r="M209" s="802" t="s">
        <v>11537</v>
      </c>
      <c r="N209" s="802" t="s">
        <v>11538</v>
      </c>
      <c r="O209" s="802" t="s">
        <v>11539</v>
      </c>
      <c r="P209" s="807" t="s">
        <v>32</v>
      </c>
    </row>
    <row r="210" spans="1:16" s="341" customFormat="1" ht="25.5" customHeight="1">
      <c r="A210" s="806" t="s">
        <v>6473</v>
      </c>
      <c r="B210" s="800" t="s">
        <v>1969</v>
      </c>
      <c r="C210" s="800" t="s">
        <v>2005</v>
      </c>
      <c r="D210" s="800" t="s">
        <v>11540</v>
      </c>
      <c r="E210" s="801">
        <v>43037</v>
      </c>
      <c r="F210" s="800" t="s">
        <v>2042</v>
      </c>
      <c r="G210" s="800" t="s">
        <v>11541</v>
      </c>
      <c r="H210" s="800" t="s">
        <v>10404</v>
      </c>
      <c r="I210" s="800" t="s">
        <v>10404</v>
      </c>
      <c r="J210" s="800" t="s">
        <v>10664</v>
      </c>
      <c r="K210" s="800">
        <v>1</v>
      </c>
      <c r="L210" s="802" t="s">
        <v>10398</v>
      </c>
      <c r="M210" s="802" t="s">
        <v>11542</v>
      </c>
      <c r="N210" s="802" t="s">
        <v>11543</v>
      </c>
      <c r="O210" s="802" t="s">
        <v>11544</v>
      </c>
      <c r="P210" s="807" t="s">
        <v>11545</v>
      </c>
    </row>
    <row r="211" spans="1:16" s="341" customFormat="1" ht="25.5" customHeight="1">
      <c r="A211" s="806" t="s">
        <v>6473</v>
      </c>
      <c r="B211" s="800" t="s">
        <v>1969</v>
      </c>
      <c r="C211" s="800" t="s">
        <v>2005</v>
      </c>
      <c r="D211" s="800" t="s">
        <v>11546</v>
      </c>
      <c r="E211" s="801">
        <v>43021</v>
      </c>
      <c r="F211" s="800" t="s">
        <v>1249</v>
      </c>
      <c r="G211" s="800" t="s">
        <v>11547</v>
      </c>
      <c r="H211" s="800" t="s">
        <v>10404</v>
      </c>
      <c r="I211" s="800" t="s">
        <v>10404</v>
      </c>
      <c r="J211" s="800" t="s">
        <v>10447</v>
      </c>
      <c r="K211" s="800">
        <v>1</v>
      </c>
      <c r="L211" s="802" t="s">
        <v>10398</v>
      </c>
      <c r="M211" s="802" t="s">
        <v>11548</v>
      </c>
      <c r="N211" s="802" t="s">
        <v>11549</v>
      </c>
      <c r="O211" s="802" t="s">
        <v>11550</v>
      </c>
      <c r="P211" s="807" t="s">
        <v>32</v>
      </c>
    </row>
    <row r="212" spans="1:16" s="341" customFormat="1" ht="15" customHeight="1">
      <c r="A212" s="806" t="s">
        <v>6473</v>
      </c>
      <c r="B212" s="800" t="s">
        <v>1969</v>
      </c>
      <c r="C212" s="800" t="s">
        <v>2005</v>
      </c>
      <c r="D212" s="800" t="s">
        <v>11551</v>
      </c>
      <c r="E212" s="801">
        <v>43021</v>
      </c>
      <c r="F212" s="800" t="s">
        <v>1249</v>
      </c>
      <c r="G212" s="800" t="s">
        <v>11552</v>
      </c>
      <c r="H212" s="800" t="s">
        <v>10404</v>
      </c>
      <c r="I212" s="800" t="s">
        <v>10404</v>
      </c>
      <c r="J212" s="800" t="s">
        <v>10664</v>
      </c>
      <c r="K212" s="800">
        <v>1</v>
      </c>
      <c r="L212" s="802" t="s">
        <v>10398</v>
      </c>
      <c r="M212" s="802" t="s">
        <v>11553</v>
      </c>
      <c r="N212" s="802" t="s">
        <v>11554</v>
      </c>
      <c r="O212" s="802" t="s">
        <v>11555</v>
      </c>
      <c r="P212" s="807" t="s">
        <v>32</v>
      </c>
    </row>
    <row r="213" spans="1:16" s="341" customFormat="1" ht="25.5" customHeight="1">
      <c r="A213" s="806" t="s">
        <v>6473</v>
      </c>
      <c r="B213" s="800" t="s">
        <v>4070</v>
      </c>
      <c r="C213" s="800" t="s">
        <v>4070</v>
      </c>
      <c r="D213" s="800" t="s">
        <v>11556</v>
      </c>
      <c r="E213" s="801">
        <v>43067</v>
      </c>
      <c r="F213" s="800" t="s">
        <v>11557</v>
      </c>
      <c r="G213" s="800" t="s">
        <v>11558</v>
      </c>
      <c r="H213" s="800" t="s">
        <v>10404</v>
      </c>
      <c r="I213" s="800" t="s">
        <v>10404</v>
      </c>
      <c r="J213" s="800" t="s">
        <v>10405</v>
      </c>
      <c r="K213" s="800">
        <v>1</v>
      </c>
      <c r="L213" s="802" t="s">
        <v>10398</v>
      </c>
      <c r="M213" s="802" t="s">
        <v>32</v>
      </c>
      <c r="N213" s="802" t="s">
        <v>10776</v>
      </c>
      <c r="O213" s="802" t="s">
        <v>11559</v>
      </c>
      <c r="P213" s="807" t="s">
        <v>11560</v>
      </c>
    </row>
    <row r="214" spans="1:16" s="341" customFormat="1" ht="25.5" customHeight="1">
      <c r="A214" s="806" t="s">
        <v>6473</v>
      </c>
      <c r="B214" s="800" t="s">
        <v>4070</v>
      </c>
      <c r="C214" s="800" t="s">
        <v>2826</v>
      </c>
      <c r="D214" s="800" t="s">
        <v>11561</v>
      </c>
      <c r="E214" s="801">
        <v>43057</v>
      </c>
      <c r="F214" s="800" t="s">
        <v>11155</v>
      </c>
      <c r="G214" s="800" t="s">
        <v>11562</v>
      </c>
      <c r="H214" s="800" t="s">
        <v>10404</v>
      </c>
      <c r="I214" s="800" t="s">
        <v>10404</v>
      </c>
      <c r="J214" s="800" t="s">
        <v>10426</v>
      </c>
      <c r="K214" s="800">
        <v>1</v>
      </c>
      <c r="L214" s="802" t="s">
        <v>10398</v>
      </c>
      <c r="M214" s="802" t="s">
        <v>11563</v>
      </c>
      <c r="N214" s="802" t="s">
        <v>11564</v>
      </c>
      <c r="O214" s="802" t="s">
        <v>11565</v>
      </c>
      <c r="P214" s="807" t="s">
        <v>11566</v>
      </c>
    </row>
    <row r="215" spans="1:16" s="341" customFormat="1" ht="25.5" customHeight="1">
      <c r="A215" s="806" t="s">
        <v>6473</v>
      </c>
      <c r="B215" s="800" t="s">
        <v>4070</v>
      </c>
      <c r="C215" s="800" t="s">
        <v>2826</v>
      </c>
      <c r="D215" s="800" t="s">
        <v>11567</v>
      </c>
      <c r="E215" s="801">
        <v>43067</v>
      </c>
      <c r="F215" s="800" t="s">
        <v>11568</v>
      </c>
      <c r="G215" s="800" t="s">
        <v>11569</v>
      </c>
      <c r="H215" s="800" t="s">
        <v>10404</v>
      </c>
      <c r="I215" s="800" t="s">
        <v>10404</v>
      </c>
      <c r="J215" s="800" t="s">
        <v>10426</v>
      </c>
      <c r="K215" s="800">
        <v>1</v>
      </c>
      <c r="L215" s="802" t="s">
        <v>10398</v>
      </c>
      <c r="M215" s="802" t="s">
        <v>11570</v>
      </c>
      <c r="N215" s="802" t="s">
        <v>11571</v>
      </c>
      <c r="O215" s="802" t="s">
        <v>11572</v>
      </c>
      <c r="P215" s="807" t="s">
        <v>11573</v>
      </c>
    </row>
    <row r="216" spans="1:16" s="341" customFormat="1" ht="25.5" customHeight="1">
      <c r="A216" s="806" t="s">
        <v>6473</v>
      </c>
      <c r="B216" s="800" t="s">
        <v>4070</v>
      </c>
      <c r="C216" s="800" t="s">
        <v>2826</v>
      </c>
      <c r="D216" s="800" t="s">
        <v>11574</v>
      </c>
      <c r="E216" s="801">
        <v>43067</v>
      </c>
      <c r="F216" s="800" t="s">
        <v>11575</v>
      </c>
      <c r="G216" s="800" t="s">
        <v>11576</v>
      </c>
      <c r="H216" s="800" t="s">
        <v>10396</v>
      </c>
      <c r="I216" s="800" t="s">
        <v>10396</v>
      </c>
      <c r="J216" s="800" t="s">
        <v>10447</v>
      </c>
      <c r="K216" s="800">
        <v>1</v>
      </c>
      <c r="L216" s="802" t="s">
        <v>10398</v>
      </c>
      <c r="M216" s="802" t="s">
        <v>11577</v>
      </c>
      <c r="N216" s="802" t="s">
        <v>11578</v>
      </c>
      <c r="O216" s="802" t="s">
        <v>11579</v>
      </c>
      <c r="P216" s="807" t="s">
        <v>11580</v>
      </c>
    </row>
    <row r="217" spans="1:16" s="341" customFormat="1" ht="51" customHeight="1">
      <c r="A217" s="806" t="s">
        <v>6473</v>
      </c>
      <c r="B217" s="800" t="s">
        <v>4070</v>
      </c>
      <c r="C217" s="800" t="s">
        <v>3145</v>
      </c>
      <c r="D217" s="800" t="s">
        <v>11581</v>
      </c>
      <c r="E217" s="801">
        <v>43067</v>
      </c>
      <c r="F217" s="800" t="s">
        <v>11582</v>
      </c>
      <c r="G217" s="800" t="s">
        <v>11583</v>
      </c>
      <c r="H217" s="800" t="s">
        <v>10404</v>
      </c>
      <c r="I217" s="800" t="s">
        <v>10404</v>
      </c>
      <c r="J217" s="800" t="s">
        <v>10426</v>
      </c>
      <c r="K217" s="800">
        <v>1</v>
      </c>
      <c r="L217" s="802" t="s">
        <v>10398</v>
      </c>
      <c r="M217" s="802" t="s">
        <v>11584</v>
      </c>
      <c r="N217" s="802" t="s">
        <v>11585</v>
      </c>
      <c r="O217" s="802" t="s">
        <v>11586</v>
      </c>
      <c r="P217" s="807" t="s">
        <v>11587</v>
      </c>
    </row>
    <row r="218" spans="1:16" s="341" customFormat="1" ht="25.5" customHeight="1">
      <c r="A218" s="806" t="s">
        <v>6473</v>
      </c>
      <c r="B218" s="800" t="s">
        <v>4070</v>
      </c>
      <c r="C218" s="800" t="s">
        <v>2969</v>
      </c>
      <c r="D218" s="800" t="s">
        <v>11588</v>
      </c>
      <c r="E218" s="801">
        <v>43068</v>
      </c>
      <c r="F218" s="800" t="s">
        <v>11589</v>
      </c>
      <c r="G218" s="800" t="s">
        <v>11590</v>
      </c>
      <c r="H218" s="800" t="s">
        <v>10404</v>
      </c>
      <c r="I218" s="800" t="s">
        <v>10404</v>
      </c>
      <c r="J218" s="800" t="s">
        <v>10426</v>
      </c>
      <c r="K218" s="800">
        <v>1</v>
      </c>
      <c r="L218" s="802" t="s">
        <v>10398</v>
      </c>
      <c r="M218" s="802" t="s">
        <v>11591</v>
      </c>
      <c r="N218" s="802" t="s">
        <v>11592</v>
      </c>
      <c r="O218" s="802" t="s">
        <v>11593</v>
      </c>
      <c r="P218" s="807" t="s">
        <v>11594</v>
      </c>
    </row>
    <row r="219" spans="1:16" s="341" customFormat="1" ht="25.5" customHeight="1">
      <c r="A219" s="806" t="s">
        <v>6473</v>
      </c>
      <c r="B219" s="800" t="s">
        <v>4070</v>
      </c>
      <c r="C219" s="800" t="s">
        <v>2969</v>
      </c>
      <c r="D219" s="800" t="s">
        <v>11595</v>
      </c>
      <c r="E219" s="801">
        <v>43068</v>
      </c>
      <c r="F219" s="800" t="s">
        <v>11596</v>
      </c>
      <c r="G219" s="800" t="s">
        <v>11597</v>
      </c>
      <c r="H219" s="800" t="s">
        <v>10404</v>
      </c>
      <c r="I219" s="800" t="s">
        <v>10404</v>
      </c>
      <c r="J219" s="800" t="s">
        <v>10426</v>
      </c>
      <c r="K219" s="800">
        <v>1</v>
      </c>
      <c r="L219" s="802" t="s">
        <v>10398</v>
      </c>
      <c r="M219" s="802" t="s">
        <v>11598</v>
      </c>
      <c r="N219" s="802" t="s">
        <v>11599</v>
      </c>
      <c r="O219" s="802" t="s">
        <v>11593</v>
      </c>
      <c r="P219" s="807" t="s">
        <v>11600</v>
      </c>
    </row>
    <row r="220" spans="1:16" s="341" customFormat="1" ht="25.5" customHeight="1">
      <c r="A220" s="806" t="s">
        <v>6473</v>
      </c>
      <c r="B220" s="800" t="s">
        <v>4070</v>
      </c>
      <c r="C220" s="800" t="s">
        <v>2969</v>
      </c>
      <c r="D220" s="800" t="s">
        <v>11601</v>
      </c>
      <c r="E220" s="801">
        <v>43068</v>
      </c>
      <c r="F220" s="800" t="s">
        <v>11602</v>
      </c>
      <c r="G220" s="800" t="s">
        <v>11603</v>
      </c>
      <c r="H220" s="800" t="s">
        <v>10404</v>
      </c>
      <c r="I220" s="800" t="s">
        <v>10404</v>
      </c>
      <c r="J220" s="800" t="s">
        <v>10405</v>
      </c>
      <c r="K220" s="800">
        <v>1</v>
      </c>
      <c r="L220" s="802" t="s">
        <v>10398</v>
      </c>
      <c r="M220" s="802" t="s">
        <v>11604</v>
      </c>
      <c r="N220" s="802" t="s">
        <v>11605</v>
      </c>
      <c r="O220" s="802" t="s">
        <v>11606</v>
      </c>
      <c r="P220" s="807" t="s">
        <v>11607</v>
      </c>
    </row>
    <row r="221" spans="1:16" s="341" customFormat="1" ht="25.5" customHeight="1">
      <c r="A221" s="806" t="s">
        <v>6473</v>
      </c>
      <c r="B221" s="800" t="s">
        <v>4070</v>
      </c>
      <c r="C221" s="800" t="s">
        <v>1137</v>
      </c>
      <c r="D221" s="800" t="s">
        <v>11608</v>
      </c>
      <c r="E221" s="801">
        <v>43067</v>
      </c>
      <c r="F221" s="800" t="s">
        <v>7106</v>
      </c>
      <c r="G221" s="800" t="s">
        <v>11609</v>
      </c>
      <c r="H221" s="800" t="s">
        <v>10404</v>
      </c>
      <c r="I221" s="800" t="s">
        <v>10404</v>
      </c>
      <c r="J221" s="800" t="s">
        <v>10426</v>
      </c>
      <c r="K221" s="800">
        <v>1</v>
      </c>
      <c r="L221" s="802" t="s">
        <v>10398</v>
      </c>
      <c r="M221" s="802" t="s">
        <v>11610</v>
      </c>
      <c r="N221" s="802" t="s">
        <v>11611</v>
      </c>
      <c r="O221" s="802" t="s">
        <v>11612</v>
      </c>
      <c r="P221" s="807" t="s">
        <v>32</v>
      </c>
    </row>
    <row r="222" spans="1:16" s="341" customFormat="1" ht="38.25" customHeight="1">
      <c r="A222" s="806" t="s">
        <v>6473</v>
      </c>
      <c r="B222" s="800" t="s">
        <v>4156</v>
      </c>
      <c r="C222" s="800" t="s">
        <v>3494</v>
      </c>
      <c r="D222" s="800" t="s">
        <v>11613</v>
      </c>
      <c r="E222" s="801">
        <v>43040</v>
      </c>
      <c r="F222" s="800" t="s">
        <v>5220</v>
      </c>
      <c r="G222" s="800" t="s">
        <v>11614</v>
      </c>
      <c r="H222" s="800" t="s">
        <v>10433</v>
      </c>
      <c r="I222" s="800" t="s">
        <v>10433</v>
      </c>
      <c r="J222" s="800" t="s">
        <v>10447</v>
      </c>
      <c r="K222" s="800">
        <v>1</v>
      </c>
      <c r="L222" s="802" t="s">
        <v>10398</v>
      </c>
      <c r="M222" s="802" t="s">
        <v>11615</v>
      </c>
      <c r="N222" s="802" t="s">
        <v>11616</v>
      </c>
      <c r="O222" s="802" t="s">
        <v>11617</v>
      </c>
      <c r="P222" s="807" t="s">
        <v>11618</v>
      </c>
    </row>
    <row r="223" spans="1:16" s="341" customFormat="1" ht="38.25" customHeight="1">
      <c r="A223" s="806" t="s">
        <v>6473</v>
      </c>
      <c r="B223" s="800" t="s">
        <v>4156</v>
      </c>
      <c r="C223" s="800" t="s">
        <v>3494</v>
      </c>
      <c r="D223" s="800" t="s">
        <v>11619</v>
      </c>
      <c r="E223" s="801">
        <v>43040</v>
      </c>
      <c r="F223" s="800" t="s">
        <v>2620</v>
      </c>
      <c r="G223" s="800" t="s">
        <v>11620</v>
      </c>
      <c r="H223" s="800" t="s">
        <v>10433</v>
      </c>
      <c r="I223" s="800" t="s">
        <v>10433</v>
      </c>
      <c r="J223" s="800" t="s">
        <v>10447</v>
      </c>
      <c r="K223" s="800">
        <v>1</v>
      </c>
      <c r="L223" s="802" t="s">
        <v>10398</v>
      </c>
      <c r="M223" s="802" t="s">
        <v>11621</v>
      </c>
      <c r="N223" s="802" t="s">
        <v>11622</v>
      </c>
      <c r="O223" s="802" t="s">
        <v>11623</v>
      </c>
      <c r="P223" s="807" t="s">
        <v>11624</v>
      </c>
    </row>
    <row r="224" spans="1:16" s="341" customFormat="1" ht="25.5" customHeight="1">
      <c r="A224" s="806" t="s">
        <v>6473</v>
      </c>
      <c r="B224" s="800" t="s">
        <v>4156</v>
      </c>
      <c r="C224" s="800" t="s">
        <v>3494</v>
      </c>
      <c r="D224" s="800" t="s">
        <v>11625</v>
      </c>
      <c r="E224" s="801">
        <v>43042</v>
      </c>
      <c r="F224" s="800" t="s">
        <v>11626</v>
      </c>
      <c r="G224" s="800" t="s">
        <v>11627</v>
      </c>
      <c r="H224" s="800" t="s">
        <v>10433</v>
      </c>
      <c r="I224" s="800" t="s">
        <v>10433</v>
      </c>
      <c r="J224" s="800" t="s">
        <v>10447</v>
      </c>
      <c r="K224" s="800">
        <v>1</v>
      </c>
      <c r="L224" s="802" t="s">
        <v>10398</v>
      </c>
      <c r="M224" s="802" t="s">
        <v>11628</v>
      </c>
      <c r="N224" s="802" t="s">
        <v>11629</v>
      </c>
      <c r="O224" s="802" t="s">
        <v>11630</v>
      </c>
      <c r="P224" s="807" t="s">
        <v>11631</v>
      </c>
    </row>
    <row r="225" spans="1:16" s="341" customFormat="1" ht="25.5" customHeight="1">
      <c r="A225" s="806" t="s">
        <v>6473</v>
      </c>
      <c r="B225" s="800" t="s">
        <v>4156</v>
      </c>
      <c r="C225" s="800" t="s">
        <v>4196</v>
      </c>
      <c r="D225" s="800" t="s">
        <v>11632</v>
      </c>
      <c r="E225" s="801">
        <v>43042</v>
      </c>
      <c r="F225" s="800" t="s">
        <v>4196</v>
      </c>
      <c r="G225" s="800" t="s">
        <v>11633</v>
      </c>
      <c r="H225" s="800" t="s">
        <v>10433</v>
      </c>
      <c r="I225" s="800" t="s">
        <v>10433</v>
      </c>
      <c r="J225" s="800" t="s">
        <v>10447</v>
      </c>
      <c r="K225" s="800">
        <v>1</v>
      </c>
      <c r="L225" s="802" t="s">
        <v>10398</v>
      </c>
      <c r="M225" s="802" t="s">
        <v>11634</v>
      </c>
      <c r="N225" s="802" t="s">
        <v>11635</v>
      </c>
      <c r="O225" s="802" t="s">
        <v>11636</v>
      </c>
      <c r="P225" s="807" t="s">
        <v>11637</v>
      </c>
    </row>
    <row r="226" spans="1:16" s="341" customFormat="1" ht="25.5" customHeight="1">
      <c r="A226" s="806" t="s">
        <v>6473</v>
      </c>
      <c r="B226" s="800" t="s">
        <v>4156</v>
      </c>
      <c r="C226" s="800" t="s">
        <v>3475</v>
      </c>
      <c r="D226" s="800" t="s">
        <v>11638</v>
      </c>
      <c r="E226" s="801">
        <v>43040</v>
      </c>
      <c r="F226" s="800" t="s">
        <v>2053</v>
      </c>
      <c r="G226" s="800" t="s">
        <v>11639</v>
      </c>
      <c r="H226" s="800" t="s">
        <v>10404</v>
      </c>
      <c r="I226" s="800" t="s">
        <v>10404</v>
      </c>
      <c r="J226" s="800" t="s">
        <v>10426</v>
      </c>
      <c r="K226" s="800">
        <v>1</v>
      </c>
      <c r="L226" s="802" t="s">
        <v>10398</v>
      </c>
      <c r="M226" s="802" t="s">
        <v>11640</v>
      </c>
      <c r="N226" s="802" t="s">
        <v>11641</v>
      </c>
      <c r="O226" s="802" t="s">
        <v>11642</v>
      </c>
      <c r="P226" s="807" t="s">
        <v>11643</v>
      </c>
    </row>
    <row r="227" spans="1:16" s="341" customFormat="1" ht="25.5" customHeight="1">
      <c r="A227" s="806" t="s">
        <v>6473</v>
      </c>
      <c r="B227" s="800" t="s">
        <v>4156</v>
      </c>
      <c r="C227" s="800" t="s">
        <v>3475</v>
      </c>
      <c r="D227" s="800" t="s">
        <v>11644</v>
      </c>
      <c r="E227" s="801">
        <v>43040</v>
      </c>
      <c r="F227" s="800" t="s">
        <v>11645</v>
      </c>
      <c r="G227" s="800" t="s">
        <v>11646</v>
      </c>
      <c r="H227" s="800" t="s">
        <v>10396</v>
      </c>
      <c r="I227" s="800" t="s">
        <v>10396</v>
      </c>
      <c r="J227" s="800" t="s">
        <v>10447</v>
      </c>
      <c r="K227" s="800">
        <v>1</v>
      </c>
      <c r="L227" s="802" t="s">
        <v>10398</v>
      </c>
      <c r="M227" s="802" t="s">
        <v>11647</v>
      </c>
      <c r="N227" s="802" t="s">
        <v>11648</v>
      </c>
      <c r="O227" s="802" t="s">
        <v>11649</v>
      </c>
      <c r="P227" s="807" t="s">
        <v>11650</v>
      </c>
    </row>
    <row r="228" spans="1:16" s="341" customFormat="1" ht="25.5" customHeight="1">
      <c r="A228" s="806" t="s">
        <v>6473</v>
      </c>
      <c r="B228" s="800" t="s">
        <v>4156</v>
      </c>
      <c r="C228" s="800" t="s">
        <v>3475</v>
      </c>
      <c r="D228" s="800" t="s">
        <v>11651</v>
      </c>
      <c r="E228" s="801">
        <v>43040</v>
      </c>
      <c r="F228" s="800" t="s">
        <v>11652</v>
      </c>
      <c r="G228" s="800" t="s">
        <v>11653</v>
      </c>
      <c r="H228" s="800" t="s">
        <v>10404</v>
      </c>
      <c r="I228" s="800" t="s">
        <v>10404</v>
      </c>
      <c r="J228" s="800" t="s">
        <v>10426</v>
      </c>
      <c r="K228" s="800">
        <v>1</v>
      </c>
      <c r="L228" s="802" t="s">
        <v>10398</v>
      </c>
      <c r="M228" s="802" t="s">
        <v>32</v>
      </c>
      <c r="N228" s="802" t="s">
        <v>11654</v>
      </c>
      <c r="O228" s="802" t="s">
        <v>11655</v>
      </c>
      <c r="P228" s="807" t="s">
        <v>32</v>
      </c>
    </row>
    <row r="229" spans="1:16" s="341" customFormat="1" ht="25.5" customHeight="1">
      <c r="A229" s="806" t="s">
        <v>6473</v>
      </c>
      <c r="B229" s="800" t="s">
        <v>4156</v>
      </c>
      <c r="C229" s="800" t="s">
        <v>3475</v>
      </c>
      <c r="D229" s="800" t="s">
        <v>11656</v>
      </c>
      <c r="E229" s="801">
        <v>43040</v>
      </c>
      <c r="F229" s="800" t="s">
        <v>11652</v>
      </c>
      <c r="G229" s="800" t="s">
        <v>11657</v>
      </c>
      <c r="H229" s="800" t="s">
        <v>10404</v>
      </c>
      <c r="I229" s="800" t="s">
        <v>10404</v>
      </c>
      <c r="J229" s="800" t="s">
        <v>10426</v>
      </c>
      <c r="K229" s="800">
        <v>1</v>
      </c>
      <c r="L229" s="802" t="s">
        <v>10398</v>
      </c>
      <c r="M229" s="802" t="s">
        <v>11658</v>
      </c>
      <c r="N229" s="802" t="s">
        <v>11659</v>
      </c>
      <c r="O229" s="802" t="s">
        <v>11660</v>
      </c>
      <c r="P229" s="807" t="s">
        <v>11661</v>
      </c>
    </row>
    <row r="230" spans="1:16" s="341" customFormat="1" ht="25.5" customHeight="1">
      <c r="A230" s="806" t="s">
        <v>6473</v>
      </c>
      <c r="B230" s="800" t="s">
        <v>4156</v>
      </c>
      <c r="C230" s="800" t="s">
        <v>3475</v>
      </c>
      <c r="D230" s="800" t="s">
        <v>11662</v>
      </c>
      <c r="E230" s="801">
        <v>43040</v>
      </c>
      <c r="F230" s="800" t="s">
        <v>11652</v>
      </c>
      <c r="G230" s="800" t="s">
        <v>11663</v>
      </c>
      <c r="H230" s="800" t="s">
        <v>10404</v>
      </c>
      <c r="I230" s="800" t="s">
        <v>10404</v>
      </c>
      <c r="J230" s="800" t="s">
        <v>10426</v>
      </c>
      <c r="K230" s="800">
        <v>1</v>
      </c>
      <c r="L230" s="802" t="s">
        <v>10398</v>
      </c>
      <c r="M230" s="802" t="s">
        <v>11664</v>
      </c>
      <c r="N230" s="802" t="s">
        <v>11665</v>
      </c>
      <c r="O230" s="802" t="s">
        <v>11666</v>
      </c>
      <c r="P230" s="807" t="s">
        <v>11667</v>
      </c>
    </row>
    <row r="231" spans="1:16" s="341" customFormat="1" ht="25.5" customHeight="1">
      <c r="A231" s="806" t="s">
        <v>6473</v>
      </c>
      <c r="B231" s="800" t="s">
        <v>4156</v>
      </c>
      <c r="C231" s="800" t="s">
        <v>3475</v>
      </c>
      <c r="D231" s="800" t="s">
        <v>11668</v>
      </c>
      <c r="E231" s="801">
        <v>43040</v>
      </c>
      <c r="F231" s="800" t="s">
        <v>11669</v>
      </c>
      <c r="G231" s="800" t="s">
        <v>11670</v>
      </c>
      <c r="H231" s="800" t="s">
        <v>10396</v>
      </c>
      <c r="I231" s="800" t="s">
        <v>10396</v>
      </c>
      <c r="J231" s="800" t="s">
        <v>10426</v>
      </c>
      <c r="K231" s="800">
        <v>1</v>
      </c>
      <c r="L231" s="802" t="s">
        <v>10398</v>
      </c>
      <c r="M231" s="802" t="s">
        <v>11671</v>
      </c>
      <c r="N231" s="802" t="s">
        <v>11672</v>
      </c>
      <c r="O231" s="802" t="s">
        <v>11673</v>
      </c>
      <c r="P231" s="807" t="s">
        <v>11674</v>
      </c>
    </row>
    <row r="232" spans="1:16" s="341" customFormat="1" ht="25.5" customHeight="1">
      <c r="A232" s="806" t="s">
        <v>6473</v>
      </c>
      <c r="B232" s="800" t="s">
        <v>4156</v>
      </c>
      <c r="C232" s="800" t="s">
        <v>3475</v>
      </c>
      <c r="D232" s="800" t="s">
        <v>11675</v>
      </c>
      <c r="E232" s="801">
        <v>43040</v>
      </c>
      <c r="F232" s="800" t="s">
        <v>606</v>
      </c>
      <c r="G232" s="800" t="s">
        <v>11676</v>
      </c>
      <c r="H232" s="800" t="s">
        <v>10404</v>
      </c>
      <c r="I232" s="800" t="s">
        <v>10404</v>
      </c>
      <c r="J232" s="800" t="s">
        <v>10447</v>
      </c>
      <c r="K232" s="800">
        <v>1</v>
      </c>
      <c r="L232" s="802" t="s">
        <v>10398</v>
      </c>
      <c r="M232" s="802" t="s">
        <v>11677</v>
      </c>
      <c r="N232" s="802" t="s">
        <v>11678</v>
      </c>
      <c r="O232" s="802" t="s">
        <v>11679</v>
      </c>
      <c r="P232" s="807" t="s">
        <v>11680</v>
      </c>
    </row>
    <row r="233" spans="1:16" s="341" customFormat="1" ht="25.5" customHeight="1">
      <c r="A233" s="806" t="s">
        <v>6473</v>
      </c>
      <c r="B233" s="800" t="s">
        <v>4156</v>
      </c>
      <c r="C233" s="800" t="s">
        <v>3475</v>
      </c>
      <c r="D233" s="800" t="s">
        <v>11681</v>
      </c>
      <c r="E233" s="801">
        <v>43040</v>
      </c>
      <c r="F233" s="800" t="s">
        <v>606</v>
      </c>
      <c r="G233" s="800" t="s">
        <v>11682</v>
      </c>
      <c r="H233" s="800" t="s">
        <v>10404</v>
      </c>
      <c r="I233" s="800" t="s">
        <v>10404</v>
      </c>
      <c r="J233" s="800" t="s">
        <v>10447</v>
      </c>
      <c r="K233" s="800">
        <v>1</v>
      </c>
      <c r="L233" s="802" t="s">
        <v>10398</v>
      </c>
      <c r="M233" s="802" t="s">
        <v>11683</v>
      </c>
      <c r="N233" s="802" t="s">
        <v>11684</v>
      </c>
      <c r="O233" s="802" t="s">
        <v>11685</v>
      </c>
      <c r="P233" s="807" t="s">
        <v>11686</v>
      </c>
    </row>
    <row r="234" spans="1:16" s="341" customFormat="1" ht="25.5" customHeight="1">
      <c r="A234" s="806" t="s">
        <v>6473</v>
      </c>
      <c r="B234" s="800" t="s">
        <v>4156</v>
      </c>
      <c r="C234" s="800" t="s">
        <v>3475</v>
      </c>
      <c r="D234" s="800" t="s">
        <v>11687</v>
      </c>
      <c r="E234" s="801">
        <v>43040</v>
      </c>
      <c r="F234" s="800" t="s">
        <v>606</v>
      </c>
      <c r="G234" s="800" t="s">
        <v>11688</v>
      </c>
      <c r="H234" s="800" t="s">
        <v>10396</v>
      </c>
      <c r="I234" s="800" t="s">
        <v>10396</v>
      </c>
      <c r="J234" s="800" t="s">
        <v>10397</v>
      </c>
      <c r="K234" s="800">
        <v>1</v>
      </c>
      <c r="L234" s="802" t="s">
        <v>10398</v>
      </c>
      <c r="M234" s="802" t="s">
        <v>11689</v>
      </c>
      <c r="N234" s="802" t="s">
        <v>11635</v>
      </c>
      <c r="O234" s="802" t="s">
        <v>11690</v>
      </c>
      <c r="P234" s="807" t="s">
        <v>11691</v>
      </c>
    </row>
    <row r="235" spans="1:16" s="341" customFormat="1" ht="25.5" customHeight="1">
      <c r="A235" s="806" t="s">
        <v>6473</v>
      </c>
      <c r="B235" s="800" t="s">
        <v>4156</v>
      </c>
      <c r="C235" s="800" t="s">
        <v>3475</v>
      </c>
      <c r="D235" s="800" t="s">
        <v>11692</v>
      </c>
      <c r="E235" s="801">
        <v>43040</v>
      </c>
      <c r="F235" s="800" t="s">
        <v>606</v>
      </c>
      <c r="G235" s="800" t="s">
        <v>11693</v>
      </c>
      <c r="H235" s="800" t="s">
        <v>10531</v>
      </c>
      <c r="I235" s="800" t="s">
        <v>10531</v>
      </c>
      <c r="J235" s="800" t="s">
        <v>10447</v>
      </c>
      <c r="K235" s="800">
        <v>1</v>
      </c>
      <c r="L235" s="802" t="s">
        <v>10398</v>
      </c>
      <c r="M235" s="802"/>
      <c r="N235" s="802" t="s">
        <v>11648</v>
      </c>
      <c r="O235" s="802" t="s">
        <v>11694</v>
      </c>
      <c r="P235" s="807" t="s">
        <v>11695</v>
      </c>
    </row>
    <row r="236" spans="1:16" s="341" customFormat="1" ht="25.5" customHeight="1">
      <c r="A236" s="806" t="s">
        <v>6473</v>
      </c>
      <c r="B236" s="800" t="s">
        <v>4156</v>
      </c>
      <c r="C236" s="800" t="s">
        <v>3475</v>
      </c>
      <c r="D236" s="800" t="s">
        <v>11696</v>
      </c>
      <c r="E236" s="801">
        <v>43033</v>
      </c>
      <c r="F236" s="800" t="s">
        <v>1792</v>
      </c>
      <c r="G236" s="800" t="s">
        <v>11697</v>
      </c>
      <c r="H236" s="800" t="s">
        <v>10404</v>
      </c>
      <c r="I236" s="800" t="s">
        <v>10404</v>
      </c>
      <c r="J236" s="800" t="s">
        <v>10426</v>
      </c>
      <c r="K236" s="800">
        <v>1</v>
      </c>
      <c r="L236" s="802" t="s">
        <v>10398</v>
      </c>
      <c r="M236" s="802" t="s">
        <v>11698</v>
      </c>
      <c r="N236" s="802" t="s">
        <v>11699</v>
      </c>
      <c r="O236" s="802" t="s">
        <v>11700</v>
      </c>
      <c r="P236" s="807" t="s">
        <v>11701</v>
      </c>
    </row>
    <row r="237" spans="1:16" s="341" customFormat="1" ht="25.5" customHeight="1">
      <c r="A237" s="806" t="s">
        <v>6473</v>
      </c>
      <c r="B237" s="800" t="s">
        <v>4156</v>
      </c>
      <c r="C237" s="800" t="s">
        <v>3475</v>
      </c>
      <c r="D237" s="800" t="s">
        <v>11702</v>
      </c>
      <c r="E237" s="801">
        <v>43040</v>
      </c>
      <c r="F237" s="800" t="s">
        <v>606</v>
      </c>
      <c r="G237" s="800" t="s">
        <v>11703</v>
      </c>
      <c r="H237" s="800" t="s">
        <v>10404</v>
      </c>
      <c r="I237" s="800" t="s">
        <v>10404</v>
      </c>
      <c r="J237" s="800" t="s">
        <v>10426</v>
      </c>
      <c r="K237" s="800">
        <v>1</v>
      </c>
      <c r="L237" s="802" t="s">
        <v>10398</v>
      </c>
      <c r="M237" s="802" t="s">
        <v>11704</v>
      </c>
      <c r="N237" s="802" t="s">
        <v>11705</v>
      </c>
      <c r="O237" s="802" t="s">
        <v>11706</v>
      </c>
      <c r="P237" s="807" t="s">
        <v>11707</v>
      </c>
    </row>
    <row r="238" spans="1:16" s="341" customFormat="1" ht="25.5" customHeight="1">
      <c r="A238" s="806" t="s">
        <v>6473</v>
      </c>
      <c r="B238" s="800" t="s">
        <v>4156</v>
      </c>
      <c r="C238" s="800" t="s">
        <v>3475</v>
      </c>
      <c r="D238" s="800" t="s">
        <v>11708</v>
      </c>
      <c r="E238" s="801">
        <v>43040</v>
      </c>
      <c r="F238" s="800" t="s">
        <v>3484</v>
      </c>
      <c r="G238" s="800" t="s">
        <v>11709</v>
      </c>
      <c r="H238" s="800" t="s">
        <v>10531</v>
      </c>
      <c r="I238" s="800" t="s">
        <v>10531</v>
      </c>
      <c r="J238" s="800" t="s">
        <v>10397</v>
      </c>
      <c r="K238" s="800">
        <v>1</v>
      </c>
      <c r="L238" s="802" t="s">
        <v>10398</v>
      </c>
      <c r="M238" s="802" t="s">
        <v>11710</v>
      </c>
      <c r="N238" s="802" t="s">
        <v>11711</v>
      </c>
      <c r="O238" s="802" t="s">
        <v>11712</v>
      </c>
      <c r="P238" s="807" t="s">
        <v>11713</v>
      </c>
    </row>
    <row r="239" spans="1:16" s="341" customFormat="1" ht="25.5" customHeight="1">
      <c r="A239" s="806" t="s">
        <v>6473</v>
      </c>
      <c r="B239" s="800" t="s">
        <v>4156</v>
      </c>
      <c r="C239" s="800" t="s">
        <v>3475</v>
      </c>
      <c r="D239" s="800" t="s">
        <v>11714</v>
      </c>
      <c r="E239" s="801">
        <v>43033</v>
      </c>
      <c r="F239" s="800" t="s">
        <v>11715</v>
      </c>
      <c r="G239" s="800" t="s">
        <v>11716</v>
      </c>
      <c r="H239" s="800" t="s">
        <v>10396</v>
      </c>
      <c r="I239" s="800" t="s">
        <v>10396</v>
      </c>
      <c r="J239" s="800" t="s">
        <v>10447</v>
      </c>
      <c r="K239" s="800">
        <v>1</v>
      </c>
      <c r="L239" s="802" t="s">
        <v>10398</v>
      </c>
      <c r="M239" s="802" t="s">
        <v>11717</v>
      </c>
      <c r="N239" s="802" t="s">
        <v>11718</v>
      </c>
      <c r="O239" s="802" t="s">
        <v>11719</v>
      </c>
      <c r="P239" s="807" t="s">
        <v>11720</v>
      </c>
    </row>
    <row r="240" spans="1:16" s="341" customFormat="1" ht="38.25" customHeight="1">
      <c r="A240" s="806" t="s">
        <v>6473</v>
      </c>
      <c r="B240" s="800" t="s">
        <v>4156</v>
      </c>
      <c r="C240" s="800" t="s">
        <v>3475</v>
      </c>
      <c r="D240" s="800" t="s">
        <v>11721</v>
      </c>
      <c r="E240" s="801">
        <v>43033</v>
      </c>
      <c r="F240" s="800" t="s">
        <v>11722</v>
      </c>
      <c r="G240" s="800" t="s">
        <v>11723</v>
      </c>
      <c r="H240" s="800" t="s">
        <v>10531</v>
      </c>
      <c r="I240" s="800" t="s">
        <v>10531</v>
      </c>
      <c r="J240" s="800" t="s">
        <v>10447</v>
      </c>
      <c r="K240" s="800">
        <v>1</v>
      </c>
      <c r="L240" s="802" t="s">
        <v>10398</v>
      </c>
      <c r="M240" s="802" t="s">
        <v>11724</v>
      </c>
      <c r="N240" s="802" t="s">
        <v>11725</v>
      </c>
      <c r="O240" s="802" t="s">
        <v>11726</v>
      </c>
      <c r="P240" s="807" t="s">
        <v>11727</v>
      </c>
    </row>
    <row r="241" spans="1:16" s="341" customFormat="1" ht="25.5" customHeight="1">
      <c r="A241" s="806" t="s">
        <v>6473</v>
      </c>
      <c r="B241" s="800" t="s">
        <v>11728</v>
      </c>
      <c r="C241" s="800" t="s">
        <v>2621</v>
      </c>
      <c r="D241" s="800" t="s">
        <v>11729</v>
      </c>
      <c r="E241" s="801">
        <v>43034</v>
      </c>
      <c r="F241" s="800" t="s">
        <v>11730</v>
      </c>
      <c r="G241" s="800" t="s">
        <v>11731</v>
      </c>
      <c r="H241" s="800" t="s">
        <v>10531</v>
      </c>
      <c r="I241" s="800" t="s">
        <v>10531</v>
      </c>
      <c r="J241" s="800" t="s">
        <v>10447</v>
      </c>
      <c r="K241" s="800">
        <v>1</v>
      </c>
      <c r="L241" s="802" t="s">
        <v>10398</v>
      </c>
      <c r="M241" s="802" t="s">
        <v>11732</v>
      </c>
      <c r="N241" s="802" t="s">
        <v>11733</v>
      </c>
      <c r="O241" s="802" t="s">
        <v>11734</v>
      </c>
      <c r="P241" s="807" t="s">
        <v>11735</v>
      </c>
    </row>
    <row r="242" spans="1:16" s="341" customFormat="1" ht="25.5" customHeight="1">
      <c r="A242" s="806" t="s">
        <v>6473</v>
      </c>
      <c r="B242" s="800" t="s">
        <v>11728</v>
      </c>
      <c r="C242" s="800" t="s">
        <v>2621</v>
      </c>
      <c r="D242" s="800" t="s">
        <v>11736</v>
      </c>
      <c r="E242" s="801">
        <v>43034</v>
      </c>
      <c r="F242" s="800" t="s">
        <v>11730</v>
      </c>
      <c r="G242" s="800" t="s">
        <v>11737</v>
      </c>
      <c r="H242" s="800" t="s">
        <v>10404</v>
      </c>
      <c r="I242" s="800" t="s">
        <v>10404</v>
      </c>
      <c r="J242" s="800" t="s">
        <v>10447</v>
      </c>
      <c r="K242" s="800">
        <v>1</v>
      </c>
      <c r="L242" s="802" t="s">
        <v>10398</v>
      </c>
      <c r="M242" s="802" t="s">
        <v>11738</v>
      </c>
      <c r="N242" s="802" t="s">
        <v>11739</v>
      </c>
      <c r="O242" s="802" t="s">
        <v>11740</v>
      </c>
      <c r="P242" s="807" t="s">
        <v>11741</v>
      </c>
    </row>
    <row r="243" spans="1:16" s="341" customFormat="1" ht="25.5" customHeight="1">
      <c r="A243" s="806" t="s">
        <v>6473</v>
      </c>
      <c r="B243" s="800" t="s">
        <v>11728</v>
      </c>
      <c r="C243" s="800" t="s">
        <v>2621</v>
      </c>
      <c r="D243" s="800" t="s">
        <v>11742</v>
      </c>
      <c r="E243" s="801">
        <v>43034</v>
      </c>
      <c r="F243" s="800" t="s">
        <v>11743</v>
      </c>
      <c r="G243" s="800" t="s">
        <v>11744</v>
      </c>
      <c r="H243" s="800" t="s">
        <v>10396</v>
      </c>
      <c r="I243" s="800" t="s">
        <v>10396</v>
      </c>
      <c r="J243" s="800" t="s">
        <v>10447</v>
      </c>
      <c r="K243" s="800">
        <v>1</v>
      </c>
      <c r="L243" s="802" t="s">
        <v>10398</v>
      </c>
      <c r="M243" s="802" t="s">
        <v>11745</v>
      </c>
      <c r="N243" s="802" t="s">
        <v>11746</v>
      </c>
      <c r="O243" s="802" t="s">
        <v>11747</v>
      </c>
      <c r="P243" s="807" t="s">
        <v>11748</v>
      </c>
    </row>
    <row r="244" spans="1:16" s="341" customFormat="1" ht="15" customHeight="1">
      <c r="A244" s="806" t="s">
        <v>6473</v>
      </c>
      <c r="B244" s="800" t="s">
        <v>11728</v>
      </c>
      <c r="C244" s="800" t="s">
        <v>2621</v>
      </c>
      <c r="D244" s="800" t="s">
        <v>11749</v>
      </c>
      <c r="E244" s="801">
        <v>43028</v>
      </c>
      <c r="F244" s="800" t="s">
        <v>11750</v>
      </c>
      <c r="G244" s="800" t="s">
        <v>11751</v>
      </c>
      <c r="H244" s="800" t="s">
        <v>10396</v>
      </c>
      <c r="I244" s="800" t="s">
        <v>10396</v>
      </c>
      <c r="J244" s="800" t="s">
        <v>10426</v>
      </c>
      <c r="K244" s="800">
        <v>1</v>
      </c>
      <c r="L244" s="802" t="s">
        <v>10398</v>
      </c>
      <c r="M244" s="802" t="s">
        <v>11752</v>
      </c>
      <c r="N244" s="802" t="s">
        <v>11753</v>
      </c>
      <c r="O244" s="802" t="s">
        <v>11754</v>
      </c>
      <c r="P244" s="807" t="s">
        <v>11755</v>
      </c>
    </row>
    <row r="245" spans="1:16" s="341" customFormat="1" ht="25.5" customHeight="1">
      <c r="A245" s="806" t="s">
        <v>6473</v>
      </c>
      <c r="B245" s="800" t="s">
        <v>11728</v>
      </c>
      <c r="C245" s="800" t="s">
        <v>2621</v>
      </c>
      <c r="D245" s="800" t="s">
        <v>11756</v>
      </c>
      <c r="E245" s="801">
        <v>43018</v>
      </c>
      <c r="F245" s="800" t="s">
        <v>11757</v>
      </c>
      <c r="G245" s="800" t="s">
        <v>11758</v>
      </c>
      <c r="H245" s="800" t="s">
        <v>10531</v>
      </c>
      <c r="I245" s="800" t="s">
        <v>10531</v>
      </c>
      <c r="J245" s="800" t="s">
        <v>4342</v>
      </c>
      <c r="K245" s="800">
        <v>1</v>
      </c>
      <c r="L245" s="802" t="s">
        <v>10398</v>
      </c>
      <c r="M245" s="802" t="s">
        <v>11759</v>
      </c>
      <c r="N245" s="802" t="s">
        <v>11760</v>
      </c>
      <c r="O245" s="802" t="s">
        <v>11761</v>
      </c>
      <c r="P245" s="807" t="s">
        <v>11762</v>
      </c>
    </row>
    <row r="246" spans="1:16" s="341" customFormat="1" ht="25.5" customHeight="1">
      <c r="A246" s="806" t="s">
        <v>6473</v>
      </c>
      <c r="B246" s="800" t="s">
        <v>11728</v>
      </c>
      <c r="C246" s="800" t="s">
        <v>2621</v>
      </c>
      <c r="D246" s="800" t="s">
        <v>11763</v>
      </c>
      <c r="E246" s="801">
        <v>43018</v>
      </c>
      <c r="F246" s="800" t="s">
        <v>2020</v>
      </c>
      <c r="G246" s="800" t="s">
        <v>11764</v>
      </c>
      <c r="H246" s="800" t="s">
        <v>10396</v>
      </c>
      <c r="I246" s="800" t="s">
        <v>10396</v>
      </c>
      <c r="J246" s="800" t="s">
        <v>10426</v>
      </c>
      <c r="K246" s="800">
        <v>1</v>
      </c>
      <c r="L246" s="802" t="s">
        <v>10398</v>
      </c>
      <c r="M246" s="802" t="s">
        <v>11765</v>
      </c>
      <c r="N246" s="802" t="s">
        <v>11766</v>
      </c>
      <c r="O246" s="802" t="s">
        <v>11767</v>
      </c>
      <c r="P246" s="807" t="s">
        <v>11768</v>
      </c>
    </row>
    <row r="247" spans="1:16" s="341" customFormat="1" ht="25.5" customHeight="1">
      <c r="A247" s="806" t="s">
        <v>6473</v>
      </c>
      <c r="B247" s="800" t="s">
        <v>11728</v>
      </c>
      <c r="C247" s="800" t="s">
        <v>2621</v>
      </c>
      <c r="D247" s="800" t="s">
        <v>11769</v>
      </c>
      <c r="E247" s="801">
        <v>43026</v>
      </c>
      <c r="F247" s="800" t="s">
        <v>11730</v>
      </c>
      <c r="G247" s="800" t="s">
        <v>11770</v>
      </c>
      <c r="H247" s="800" t="s">
        <v>10404</v>
      </c>
      <c r="I247" s="800" t="s">
        <v>10404</v>
      </c>
      <c r="J247" s="800" t="s">
        <v>10426</v>
      </c>
      <c r="K247" s="800">
        <v>1</v>
      </c>
      <c r="L247" s="802" t="s">
        <v>10398</v>
      </c>
      <c r="M247" s="802" t="s">
        <v>11771</v>
      </c>
      <c r="N247" s="802" t="s">
        <v>11739</v>
      </c>
      <c r="O247" s="802" t="s">
        <v>11740</v>
      </c>
      <c r="P247" s="807" t="s">
        <v>11772</v>
      </c>
    </row>
    <row r="248" spans="1:16" s="341" customFormat="1" ht="38.25" customHeight="1">
      <c r="A248" s="806" t="s">
        <v>6473</v>
      </c>
      <c r="B248" s="800" t="s">
        <v>11728</v>
      </c>
      <c r="C248" s="800" t="s">
        <v>2621</v>
      </c>
      <c r="D248" s="800" t="s">
        <v>11773</v>
      </c>
      <c r="E248" s="801">
        <v>43041</v>
      </c>
      <c r="F248" s="800" t="s">
        <v>11743</v>
      </c>
      <c r="G248" s="800" t="s">
        <v>11774</v>
      </c>
      <c r="H248" s="800" t="s">
        <v>10531</v>
      </c>
      <c r="I248" s="800" t="s">
        <v>10531</v>
      </c>
      <c r="J248" s="800" t="s">
        <v>10447</v>
      </c>
      <c r="K248" s="800">
        <v>1</v>
      </c>
      <c r="L248" s="802" t="s">
        <v>10398</v>
      </c>
      <c r="M248" s="802" t="s">
        <v>11775</v>
      </c>
      <c r="N248" s="802" t="s">
        <v>10565</v>
      </c>
      <c r="O248" s="802" t="s">
        <v>11776</v>
      </c>
      <c r="P248" s="807" t="s">
        <v>11777</v>
      </c>
    </row>
    <row r="249" spans="1:16" s="341" customFormat="1" ht="63.75" customHeight="1">
      <c r="A249" s="806" t="s">
        <v>6473</v>
      </c>
      <c r="B249" s="800" t="s">
        <v>11728</v>
      </c>
      <c r="C249" s="800" t="s">
        <v>2621</v>
      </c>
      <c r="D249" s="800" t="s">
        <v>11778</v>
      </c>
      <c r="E249" s="801">
        <v>43040</v>
      </c>
      <c r="F249" s="800" t="s">
        <v>10557</v>
      </c>
      <c r="G249" s="800" t="s">
        <v>11779</v>
      </c>
      <c r="H249" s="800" t="s">
        <v>10404</v>
      </c>
      <c r="I249" s="800" t="s">
        <v>10404</v>
      </c>
      <c r="J249" s="800" t="s">
        <v>10447</v>
      </c>
      <c r="K249" s="800">
        <v>1</v>
      </c>
      <c r="L249" s="802" t="s">
        <v>10398</v>
      </c>
      <c r="M249" s="802" t="s">
        <v>11780</v>
      </c>
      <c r="N249" s="802" t="s">
        <v>11364</v>
      </c>
      <c r="O249" s="802" t="s">
        <v>11781</v>
      </c>
      <c r="P249" s="807" t="s">
        <v>11782</v>
      </c>
    </row>
    <row r="250" spans="1:16" s="341" customFormat="1" ht="25.5">
      <c r="A250" s="806" t="s">
        <v>6473</v>
      </c>
      <c r="B250" s="800" t="s">
        <v>11728</v>
      </c>
      <c r="C250" s="800" t="s">
        <v>2621</v>
      </c>
      <c r="D250" s="800" t="s">
        <v>11783</v>
      </c>
      <c r="E250" s="801">
        <v>43048</v>
      </c>
      <c r="F250" s="800" t="s">
        <v>11743</v>
      </c>
      <c r="G250" s="800" t="s">
        <v>11784</v>
      </c>
      <c r="H250" s="800" t="s">
        <v>10404</v>
      </c>
      <c r="I250" s="800" t="s">
        <v>10404</v>
      </c>
      <c r="J250" s="800" t="s">
        <v>10664</v>
      </c>
      <c r="K250" s="800">
        <v>1</v>
      </c>
      <c r="L250" s="802" t="s">
        <v>10398</v>
      </c>
      <c r="M250" s="802" t="s">
        <v>11785</v>
      </c>
      <c r="N250" s="802" t="s">
        <v>11786</v>
      </c>
      <c r="O250" s="802" t="s">
        <v>11787</v>
      </c>
      <c r="P250" s="807" t="s">
        <v>11788</v>
      </c>
    </row>
    <row r="251" spans="1:16" s="341" customFormat="1" ht="51" customHeight="1">
      <c r="A251" s="806" t="s">
        <v>6473</v>
      </c>
      <c r="B251" s="800" t="s">
        <v>11728</v>
      </c>
      <c r="C251" s="800" t="s">
        <v>2621</v>
      </c>
      <c r="D251" s="800" t="s">
        <v>11789</v>
      </c>
      <c r="E251" s="801">
        <v>43026</v>
      </c>
      <c r="F251" s="800" t="s">
        <v>11790</v>
      </c>
      <c r="G251" s="800" t="s">
        <v>11791</v>
      </c>
      <c r="H251" s="800" t="s">
        <v>10531</v>
      </c>
      <c r="I251" s="800" t="s">
        <v>10531</v>
      </c>
      <c r="J251" s="800" t="s">
        <v>10447</v>
      </c>
      <c r="K251" s="800">
        <v>1</v>
      </c>
      <c r="L251" s="802" t="s">
        <v>10398</v>
      </c>
      <c r="M251" s="802" t="s">
        <v>11792</v>
      </c>
      <c r="N251" s="802" t="s">
        <v>11793</v>
      </c>
      <c r="O251" s="802" t="s">
        <v>11747</v>
      </c>
      <c r="P251" s="807" t="s">
        <v>11794</v>
      </c>
    </row>
    <row r="252" spans="1:16" s="341" customFormat="1" ht="25.5" customHeight="1">
      <c r="A252" s="806" t="s">
        <v>6473</v>
      </c>
      <c r="B252" s="800" t="s">
        <v>11728</v>
      </c>
      <c r="C252" s="800" t="s">
        <v>3525</v>
      </c>
      <c r="D252" s="800" t="s">
        <v>11795</v>
      </c>
      <c r="E252" s="801">
        <v>43018</v>
      </c>
      <c r="F252" s="800" t="s">
        <v>11796</v>
      </c>
      <c r="G252" s="800" t="s">
        <v>11797</v>
      </c>
      <c r="H252" s="800" t="s">
        <v>10404</v>
      </c>
      <c r="I252" s="800" t="s">
        <v>10404</v>
      </c>
      <c r="J252" s="800" t="s">
        <v>10426</v>
      </c>
      <c r="K252" s="800">
        <v>1</v>
      </c>
      <c r="L252" s="802" t="s">
        <v>10398</v>
      </c>
      <c r="M252" s="802" t="s">
        <v>11798</v>
      </c>
      <c r="N252" s="802" t="s">
        <v>11799</v>
      </c>
      <c r="O252" s="802" t="s">
        <v>11800</v>
      </c>
      <c r="P252" s="807" t="s">
        <v>11801</v>
      </c>
    </row>
    <row r="253" spans="1:16" s="341" customFormat="1" ht="25.5" customHeight="1">
      <c r="A253" s="806" t="s">
        <v>6473</v>
      </c>
      <c r="B253" s="800" t="s">
        <v>11728</v>
      </c>
      <c r="C253" s="800" t="s">
        <v>3525</v>
      </c>
      <c r="D253" s="800" t="s">
        <v>11802</v>
      </c>
      <c r="E253" s="801">
        <v>43018</v>
      </c>
      <c r="F253" s="800" t="s">
        <v>11796</v>
      </c>
      <c r="G253" s="800" t="s">
        <v>11796</v>
      </c>
      <c r="H253" s="800" t="s">
        <v>10404</v>
      </c>
      <c r="I253" s="800" t="s">
        <v>10404</v>
      </c>
      <c r="J253" s="800" t="s">
        <v>10664</v>
      </c>
      <c r="K253" s="800">
        <v>1</v>
      </c>
      <c r="L253" s="802" t="s">
        <v>10398</v>
      </c>
      <c r="M253" s="802" t="s">
        <v>11803</v>
      </c>
      <c r="N253" s="802" t="s">
        <v>11804</v>
      </c>
      <c r="O253" s="802" t="s">
        <v>11805</v>
      </c>
      <c r="P253" s="807" t="s">
        <v>11806</v>
      </c>
    </row>
    <row r="254" spans="1:16" s="341" customFormat="1" ht="25.5" customHeight="1">
      <c r="A254" s="806" t="s">
        <v>6473</v>
      </c>
      <c r="B254" s="800" t="s">
        <v>11728</v>
      </c>
      <c r="C254" s="800" t="s">
        <v>3525</v>
      </c>
      <c r="D254" s="800" t="s">
        <v>11807</v>
      </c>
      <c r="E254" s="801">
        <v>43018</v>
      </c>
      <c r="F254" s="800" t="s">
        <v>11796</v>
      </c>
      <c r="G254" s="800" t="s">
        <v>11796</v>
      </c>
      <c r="H254" s="800" t="s">
        <v>10404</v>
      </c>
      <c r="I254" s="800" t="s">
        <v>10404</v>
      </c>
      <c r="J254" s="800" t="s">
        <v>10664</v>
      </c>
      <c r="K254" s="800">
        <v>1</v>
      </c>
      <c r="L254" s="802" t="s">
        <v>10398</v>
      </c>
      <c r="M254" s="802" t="s">
        <v>11808</v>
      </c>
      <c r="N254" s="802" t="s">
        <v>11809</v>
      </c>
      <c r="O254" s="802" t="s">
        <v>11810</v>
      </c>
      <c r="P254" s="807" t="s">
        <v>11811</v>
      </c>
    </row>
    <row r="255" spans="1:16" s="341" customFormat="1" ht="25.5" customHeight="1">
      <c r="A255" s="806" t="s">
        <v>6473</v>
      </c>
      <c r="B255" s="800" t="s">
        <v>11728</v>
      </c>
      <c r="C255" s="800" t="s">
        <v>3525</v>
      </c>
      <c r="D255" s="800" t="s">
        <v>11812</v>
      </c>
      <c r="E255" s="801">
        <v>43018</v>
      </c>
      <c r="F255" s="800" t="s">
        <v>11813</v>
      </c>
      <c r="G255" s="800" t="s">
        <v>11814</v>
      </c>
      <c r="H255" s="800" t="s">
        <v>10396</v>
      </c>
      <c r="I255" s="800" t="s">
        <v>10396</v>
      </c>
      <c r="J255" s="800" t="s">
        <v>10426</v>
      </c>
      <c r="K255" s="800">
        <v>1</v>
      </c>
      <c r="L255" s="802" t="s">
        <v>10398</v>
      </c>
      <c r="M255" s="802" t="s">
        <v>11815</v>
      </c>
      <c r="N255" s="802" t="s">
        <v>11816</v>
      </c>
      <c r="O255" s="802" t="s">
        <v>11817</v>
      </c>
      <c r="P255" s="807" t="s">
        <v>11818</v>
      </c>
    </row>
    <row r="256" spans="1:16" s="341" customFormat="1" ht="51" customHeight="1">
      <c r="A256" s="806" t="s">
        <v>6473</v>
      </c>
      <c r="B256" s="800" t="s">
        <v>11728</v>
      </c>
      <c r="C256" s="800" t="s">
        <v>3525</v>
      </c>
      <c r="D256" s="800" t="s">
        <v>11819</v>
      </c>
      <c r="E256" s="801">
        <v>43018</v>
      </c>
      <c r="F256" s="800" t="s">
        <v>11813</v>
      </c>
      <c r="G256" s="800" t="s">
        <v>11820</v>
      </c>
      <c r="H256" s="800" t="s">
        <v>10404</v>
      </c>
      <c r="I256" s="800" t="s">
        <v>10404</v>
      </c>
      <c r="J256" s="800" t="s">
        <v>10426</v>
      </c>
      <c r="K256" s="800">
        <v>1</v>
      </c>
      <c r="L256" s="802" t="s">
        <v>10398</v>
      </c>
      <c r="M256" s="802" t="s">
        <v>11821</v>
      </c>
      <c r="N256" s="802" t="s">
        <v>11822</v>
      </c>
      <c r="O256" s="802" t="s">
        <v>11823</v>
      </c>
      <c r="P256" s="807" t="s">
        <v>11824</v>
      </c>
    </row>
    <row r="257" spans="1:16" s="341" customFormat="1" ht="63.75" customHeight="1">
      <c r="A257" s="806" t="s">
        <v>6473</v>
      </c>
      <c r="B257" s="800" t="s">
        <v>11728</v>
      </c>
      <c r="C257" s="800" t="s">
        <v>3525</v>
      </c>
      <c r="D257" s="800" t="s">
        <v>11825</v>
      </c>
      <c r="E257" s="801">
        <v>43026</v>
      </c>
      <c r="F257" s="800" t="s">
        <v>11796</v>
      </c>
      <c r="G257" s="800" t="s">
        <v>11826</v>
      </c>
      <c r="H257" s="800" t="s">
        <v>10404</v>
      </c>
      <c r="I257" s="800" t="s">
        <v>10404</v>
      </c>
      <c r="J257" s="800" t="s">
        <v>10664</v>
      </c>
      <c r="K257" s="800">
        <v>1</v>
      </c>
      <c r="L257" s="802" t="s">
        <v>10398</v>
      </c>
      <c r="M257" s="802" t="s">
        <v>11827</v>
      </c>
      <c r="N257" s="802" t="s">
        <v>11828</v>
      </c>
      <c r="O257" s="802" t="s">
        <v>11829</v>
      </c>
      <c r="P257" s="807" t="s">
        <v>11830</v>
      </c>
    </row>
    <row r="258" spans="1:16" s="341" customFormat="1" ht="63.75" customHeight="1">
      <c r="A258" s="806" t="s">
        <v>6473</v>
      </c>
      <c r="B258" s="800" t="s">
        <v>11728</v>
      </c>
      <c r="C258" s="800" t="s">
        <v>3525</v>
      </c>
      <c r="D258" s="800" t="s">
        <v>11831</v>
      </c>
      <c r="E258" s="801">
        <v>43026</v>
      </c>
      <c r="F258" s="800" t="s">
        <v>11796</v>
      </c>
      <c r="G258" s="800" t="s">
        <v>11832</v>
      </c>
      <c r="H258" s="800" t="s">
        <v>10404</v>
      </c>
      <c r="I258" s="800" t="s">
        <v>10404</v>
      </c>
      <c r="J258" s="800" t="s">
        <v>10664</v>
      </c>
      <c r="K258" s="800">
        <v>1</v>
      </c>
      <c r="L258" s="802" t="s">
        <v>10398</v>
      </c>
      <c r="M258" s="802" t="s">
        <v>11833</v>
      </c>
      <c r="N258" s="802" t="s">
        <v>11834</v>
      </c>
      <c r="O258" s="802" t="s">
        <v>11835</v>
      </c>
      <c r="P258" s="807" t="s">
        <v>11836</v>
      </c>
    </row>
    <row r="259" spans="1:16" s="341" customFormat="1" ht="63.75" customHeight="1">
      <c r="A259" s="806" t="s">
        <v>6473</v>
      </c>
      <c r="B259" s="800" t="s">
        <v>11728</v>
      </c>
      <c r="C259" s="800" t="s">
        <v>3525</v>
      </c>
      <c r="D259" s="800" t="s">
        <v>11837</v>
      </c>
      <c r="E259" s="801">
        <v>43040</v>
      </c>
      <c r="F259" s="800" t="s">
        <v>11838</v>
      </c>
      <c r="G259" s="800" t="s">
        <v>11839</v>
      </c>
      <c r="H259" s="800" t="s">
        <v>10404</v>
      </c>
      <c r="I259" s="800" t="s">
        <v>10404</v>
      </c>
      <c r="J259" s="800" t="s">
        <v>10664</v>
      </c>
      <c r="K259" s="800">
        <v>1</v>
      </c>
      <c r="L259" s="802" t="s">
        <v>10398</v>
      </c>
      <c r="M259" s="802" t="s">
        <v>11840</v>
      </c>
      <c r="N259" s="802" t="s">
        <v>11841</v>
      </c>
      <c r="O259" s="802" t="s">
        <v>11842</v>
      </c>
      <c r="P259" s="807" t="s">
        <v>11843</v>
      </c>
    </row>
    <row r="260" spans="1:16" s="341" customFormat="1" ht="38.25" customHeight="1">
      <c r="A260" s="806" t="s">
        <v>6473</v>
      </c>
      <c r="B260" s="800" t="s">
        <v>11728</v>
      </c>
      <c r="C260" s="800" t="s">
        <v>3525</v>
      </c>
      <c r="D260" s="800" t="s">
        <v>11844</v>
      </c>
      <c r="E260" s="801">
        <v>43040</v>
      </c>
      <c r="F260" s="800" t="s">
        <v>11845</v>
      </c>
      <c r="G260" s="800" t="s">
        <v>11846</v>
      </c>
      <c r="H260" s="800" t="s">
        <v>10396</v>
      </c>
      <c r="I260" s="800" t="s">
        <v>10396</v>
      </c>
      <c r="J260" s="800" t="s">
        <v>10664</v>
      </c>
      <c r="K260" s="800">
        <v>1</v>
      </c>
      <c r="L260" s="802" t="s">
        <v>10398</v>
      </c>
      <c r="M260" s="802" t="s">
        <v>11847</v>
      </c>
      <c r="N260" s="802" t="s">
        <v>11848</v>
      </c>
      <c r="O260" s="802" t="s">
        <v>11849</v>
      </c>
      <c r="P260" s="807" t="s">
        <v>11850</v>
      </c>
    </row>
    <row r="261" spans="1:16" s="341" customFormat="1" ht="51" customHeight="1">
      <c r="A261" s="806" t="s">
        <v>6473</v>
      </c>
      <c r="B261" s="800" t="s">
        <v>11728</v>
      </c>
      <c r="C261" s="800" t="s">
        <v>3525</v>
      </c>
      <c r="D261" s="800" t="s">
        <v>11851</v>
      </c>
      <c r="E261" s="801">
        <v>43009</v>
      </c>
      <c r="F261" s="800" t="s">
        <v>6204</v>
      </c>
      <c r="G261" s="800" t="s">
        <v>11852</v>
      </c>
      <c r="H261" s="800" t="s">
        <v>10396</v>
      </c>
      <c r="I261" s="800" t="s">
        <v>10396</v>
      </c>
      <c r="J261" s="800" t="s">
        <v>10664</v>
      </c>
      <c r="K261" s="800">
        <v>1</v>
      </c>
      <c r="L261" s="802" t="s">
        <v>10398</v>
      </c>
      <c r="M261" s="802" t="s">
        <v>11853</v>
      </c>
      <c r="N261" s="802" t="s">
        <v>11854</v>
      </c>
      <c r="O261" s="802" t="s">
        <v>11855</v>
      </c>
      <c r="P261" s="807" t="s">
        <v>11856</v>
      </c>
    </row>
    <row r="262" spans="1:16" s="341" customFormat="1" ht="25.5" customHeight="1">
      <c r="A262" s="806" t="s">
        <v>6473</v>
      </c>
      <c r="B262" s="800" t="s">
        <v>11728</v>
      </c>
      <c r="C262" s="800" t="s">
        <v>3525</v>
      </c>
      <c r="D262" s="800" t="s">
        <v>11857</v>
      </c>
      <c r="E262" s="801">
        <v>43040</v>
      </c>
      <c r="F262" s="800" t="s">
        <v>11858</v>
      </c>
      <c r="G262" s="800" t="s">
        <v>11859</v>
      </c>
      <c r="H262" s="800" t="s">
        <v>10404</v>
      </c>
      <c r="I262" s="800" t="s">
        <v>10404</v>
      </c>
      <c r="J262" s="800" t="s">
        <v>10426</v>
      </c>
      <c r="K262" s="800">
        <v>1</v>
      </c>
      <c r="L262" s="802" t="s">
        <v>10398</v>
      </c>
      <c r="M262" s="802" t="s">
        <v>11860</v>
      </c>
      <c r="N262" s="802" t="s">
        <v>11861</v>
      </c>
      <c r="O262" s="802" t="s">
        <v>11862</v>
      </c>
      <c r="P262" s="807" t="s">
        <v>11863</v>
      </c>
    </row>
    <row r="263" spans="1:16" s="341" customFormat="1" ht="25.5" customHeight="1">
      <c r="A263" s="806" t="s">
        <v>6473</v>
      </c>
      <c r="B263" s="800" t="s">
        <v>11728</v>
      </c>
      <c r="C263" s="800" t="s">
        <v>19</v>
      </c>
      <c r="D263" s="800" t="s">
        <v>11864</v>
      </c>
      <c r="E263" s="801">
        <v>43034</v>
      </c>
      <c r="F263" s="800" t="s">
        <v>11865</v>
      </c>
      <c r="G263" s="800" t="s">
        <v>11866</v>
      </c>
      <c r="H263" s="800" t="s">
        <v>10404</v>
      </c>
      <c r="I263" s="800" t="s">
        <v>10404</v>
      </c>
      <c r="J263" s="800" t="s">
        <v>10426</v>
      </c>
      <c r="K263" s="800">
        <v>1</v>
      </c>
      <c r="L263" s="802" t="s">
        <v>10398</v>
      </c>
      <c r="M263" s="802" t="s">
        <v>11867</v>
      </c>
      <c r="N263" s="802" t="s">
        <v>11868</v>
      </c>
      <c r="O263" s="802" t="s">
        <v>11869</v>
      </c>
      <c r="P263" s="807" t="s">
        <v>11870</v>
      </c>
    </row>
    <row r="264" spans="1:16" s="341" customFormat="1" ht="63.75" customHeight="1">
      <c r="A264" s="806" t="s">
        <v>6473</v>
      </c>
      <c r="B264" s="800" t="s">
        <v>11728</v>
      </c>
      <c r="C264" s="800" t="s">
        <v>19</v>
      </c>
      <c r="D264" s="800" t="s">
        <v>11871</v>
      </c>
      <c r="E264" s="801">
        <v>43034</v>
      </c>
      <c r="F264" s="800" t="s">
        <v>11872</v>
      </c>
      <c r="G264" s="800" t="s">
        <v>11873</v>
      </c>
      <c r="H264" s="800" t="s">
        <v>10404</v>
      </c>
      <c r="I264" s="800" t="s">
        <v>10404</v>
      </c>
      <c r="J264" s="800" t="s">
        <v>10447</v>
      </c>
      <c r="K264" s="800">
        <v>1</v>
      </c>
      <c r="L264" s="802" t="s">
        <v>10398</v>
      </c>
      <c r="M264" s="802" t="s">
        <v>11874</v>
      </c>
      <c r="N264" s="802" t="s">
        <v>11875</v>
      </c>
      <c r="O264" s="802" t="s">
        <v>11876</v>
      </c>
      <c r="P264" s="807" t="s">
        <v>11877</v>
      </c>
    </row>
    <row r="265" spans="1:16" s="341" customFormat="1" ht="15" customHeight="1">
      <c r="A265" s="806" t="s">
        <v>6473</v>
      </c>
      <c r="B265" s="800" t="s">
        <v>11728</v>
      </c>
      <c r="C265" s="800" t="s">
        <v>19</v>
      </c>
      <c r="D265" s="800" t="s">
        <v>11878</v>
      </c>
      <c r="E265" s="801">
        <v>43034</v>
      </c>
      <c r="F265" s="800" t="s">
        <v>11872</v>
      </c>
      <c r="G265" s="800" t="s">
        <v>11879</v>
      </c>
      <c r="H265" s="800" t="s">
        <v>10531</v>
      </c>
      <c r="I265" s="800" t="s">
        <v>10531</v>
      </c>
      <c r="J265" s="800" t="s">
        <v>10447</v>
      </c>
      <c r="K265" s="800">
        <v>1</v>
      </c>
      <c r="L265" s="802" t="s">
        <v>10398</v>
      </c>
      <c r="M265" s="802" t="s">
        <v>11880</v>
      </c>
      <c r="N265" s="802" t="s">
        <v>10988</v>
      </c>
      <c r="O265" s="802" t="s">
        <v>11881</v>
      </c>
      <c r="P265" s="807" t="s">
        <v>11882</v>
      </c>
    </row>
    <row r="266" spans="1:16" s="341" customFormat="1" ht="38.25" customHeight="1">
      <c r="A266" s="806" t="s">
        <v>6473</v>
      </c>
      <c r="B266" s="800" t="s">
        <v>11728</v>
      </c>
      <c r="C266" s="800" t="s">
        <v>19</v>
      </c>
      <c r="D266" s="800" t="s">
        <v>11883</v>
      </c>
      <c r="E266" s="801">
        <v>43018</v>
      </c>
      <c r="F266" s="800" t="s">
        <v>11884</v>
      </c>
      <c r="G266" s="800" t="s">
        <v>11885</v>
      </c>
      <c r="H266" s="800" t="s">
        <v>10404</v>
      </c>
      <c r="I266" s="800" t="s">
        <v>10404</v>
      </c>
      <c r="J266" s="800" t="s">
        <v>10426</v>
      </c>
      <c r="K266" s="800">
        <v>1</v>
      </c>
      <c r="L266" s="802" t="s">
        <v>10398</v>
      </c>
      <c r="M266" s="802" t="s">
        <v>11886</v>
      </c>
      <c r="N266" s="802" t="s">
        <v>11887</v>
      </c>
      <c r="O266" s="802" t="s">
        <v>11888</v>
      </c>
      <c r="P266" s="807" t="s">
        <v>11889</v>
      </c>
    </row>
    <row r="267" spans="1:16" s="341" customFormat="1" ht="25.5" customHeight="1">
      <c r="A267" s="806" t="s">
        <v>6473</v>
      </c>
      <c r="B267" s="800" t="s">
        <v>11728</v>
      </c>
      <c r="C267" s="800" t="s">
        <v>19</v>
      </c>
      <c r="D267" s="800" t="s">
        <v>11890</v>
      </c>
      <c r="E267" s="801">
        <v>43026</v>
      </c>
      <c r="F267" s="800" t="s">
        <v>11891</v>
      </c>
      <c r="G267" s="800" t="s">
        <v>11892</v>
      </c>
      <c r="H267" s="800" t="s">
        <v>10404</v>
      </c>
      <c r="I267" s="800" t="s">
        <v>10404</v>
      </c>
      <c r="J267" s="800" t="s">
        <v>10426</v>
      </c>
      <c r="K267" s="800">
        <v>1</v>
      </c>
      <c r="L267" s="802" t="s">
        <v>10398</v>
      </c>
      <c r="M267" s="802" t="s">
        <v>11893</v>
      </c>
      <c r="N267" s="802" t="s">
        <v>11894</v>
      </c>
      <c r="O267" s="802" t="s">
        <v>11895</v>
      </c>
      <c r="P267" s="807" t="s">
        <v>11896</v>
      </c>
    </row>
    <row r="268" spans="1:16" s="341" customFormat="1" ht="38.25" customHeight="1">
      <c r="A268" s="806" t="s">
        <v>6473</v>
      </c>
      <c r="B268" s="800" t="s">
        <v>11728</v>
      </c>
      <c r="C268" s="800" t="s">
        <v>19</v>
      </c>
      <c r="D268" s="800" t="s">
        <v>11897</v>
      </c>
      <c r="E268" s="801">
        <v>43026</v>
      </c>
      <c r="F268" s="800" t="s">
        <v>11898</v>
      </c>
      <c r="G268" s="800" t="s">
        <v>11899</v>
      </c>
      <c r="H268" s="800" t="s">
        <v>10396</v>
      </c>
      <c r="I268" s="800" t="s">
        <v>10396</v>
      </c>
      <c r="J268" s="800" t="s">
        <v>10664</v>
      </c>
      <c r="K268" s="800">
        <v>1</v>
      </c>
      <c r="L268" s="802" t="s">
        <v>10398</v>
      </c>
      <c r="M268" s="802" t="s">
        <v>11900</v>
      </c>
      <c r="N268" s="802" t="s">
        <v>11901</v>
      </c>
      <c r="O268" s="802" t="s">
        <v>11902</v>
      </c>
      <c r="P268" s="807" t="s">
        <v>11870</v>
      </c>
    </row>
    <row r="269" spans="1:16" s="341" customFormat="1" ht="38.25" customHeight="1">
      <c r="A269" s="806" t="s">
        <v>6473</v>
      </c>
      <c r="B269" s="800" t="s">
        <v>11728</v>
      </c>
      <c r="C269" s="800" t="s">
        <v>19</v>
      </c>
      <c r="D269" s="800" t="s">
        <v>11903</v>
      </c>
      <c r="E269" s="801">
        <v>43026</v>
      </c>
      <c r="F269" s="800" t="s">
        <v>11872</v>
      </c>
      <c r="G269" s="800" t="s">
        <v>11904</v>
      </c>
      <c r="H269" s="800" t="s">
        <v>10531</v>
      </c>
      <c r="I269" s="800" t="s">
        <v>10531</v>
      </c>
      <c r="J269" s="800" t="s">
        <v>10447</v>
      </c>
      <c r="K269" s="800">
        <v>1</v>
      </c>
      <c r="L269" s="802" t="s">
        <v>10398</v>
      </c>
      <c r="M269" s="802" t="s">
        <v>11905</v>
      </c>
      <c r="N269" s="802" t="s">
        <v>10988</v>
      </c>
      <c r="O269" s="802" t="s">
        <v>11881</v>
      </c>
      <c r="P269" s="807" t="s">
        <v>11906</v>
      </c>
    </row>
    <row r="270" spans="1:16" s="341" customFormat="1" ht="25.5" customHeight="1">
      <c r="A270" s="806" t="s">
        <v>6473</v>
      </c>
      <c r="B270" s="800" t="s">
        <v>11728</v>
      </c>
      <c r="C270" s="800" t="s">
        <v>421</v>
      </c>
      <c r="D270" s="800" t="s">
        <v>11907</v>
      </c>
      <c r="E270" s="801">
        <v>43018</v>
      </c>
      <c r="F270" s="800" t="s">
        <v>6326</v>
      </c>
      <c r="G270" s="800" t="s">
        <v>11908</v>
      </c>
      <c r="H270" s="800" t="s">
        <v>10404</v>
      </c>
      <c r="I270" s="800" t="s">
        <v>10404</v>
      </c>
      <c r="J270" s="800" t="s">
        <v>10664</v>
      </c>
      <c r="K270" s="800">
        <v>1</v>
      </c>
      <c r="L270" s="802" t="s">
        <v>10398</v>
      </c>
      <c r="M270" s="802" t="s">
        <v>11909</v>
      </c>
      <c r="N270" s="802" t="s">
        <v>783</v>
      </c>
      <c r="O270" s="802" t="s">
        <v>11910</v>
      </c>
      <c r="P270" s="807" t="s">
        <v>11911</v>
      </c>
    </row>
    <row r="271" spans="1:16" s="341" customFormat="1" ht="25.5" customHeight="1">
      <c r="A271" s="806" t="s">
        <v>6473</v>
      </c>
      <c r="B271" s="800" t="s">
        <v>11728</v>
      </c>
      <c r="C271" s="800" t="s">
        <v>421</v>
      </c>
      <c r="D271" s="800" t="s">
        <v>11912</v>
      </c>
      <c r="E271" s="801">
        <v>43018</v>
      </c>
      <c r="F271" s="800" t="s">
        <v>1643</v>
      </c>
      <c r="G271" s="800" t="s">
        <v>11913</v>
      </c>
      <c r="H271" s="800" t="s">
        <v>10531</v>
      </c>
      <c r="I271" s="800" t="s">
        <v>10531</v>
      </c>
      <c r="J271" s="800" t="s">
        <v>10426</v>
      </c>
      <c r="K271" s="800">
        <v>1</v>
      </c>
      <c r="L271" s="802" t="s">
        <v>10398</v>
      </c>
      <c r="M271" s="802" t="s">
        <v>11914</v>
      </c>
      <c r="N271" s="802" t="s">
        <v>11915</v>
      </c>
      <c r="O271" s="802" t="s">
        <v>11916</v>
      </c>
      <c r="P271" s="807" t="s">
        <v>11917</v>
      </c>
    </row>
    <row r="272" spans="1:16" s="341" customFormat="1" ht="25.5" customHeight="1">
      <c r="A272" s="806" t="s">
        <v>6473</v>
      </c>
      <c r="B272" s="800" t="s">
        <v>11728</v>
      </c>
      <c r="C272" s="800" t="s">
        <v>421</v>
      </c>
      <c r="D272" s="800" t="s">
        <v>11918</v>
      </c>
      <c r="E272" s="801">
        <v>43018</v>
      </c>
      <c r="F272" s="800" t="s">
        <v>1650</v>
      </c>
      <c r="G272" s="800" t="s">
        <v>11919</v>
      </c>
      <c r="H272" s="800" t="s">
        <v>10404</v>
      </c>
      <c r="I272" s="800" t="s">
        <v>10404</v>
      </c>
      <c r="J272" s="800" t="s">
        <v>10664</v>
      </c>
      <c r="K272" s="800">
        <v>1</v>
      </c>
      <c r="L272" s="802" t="s">
        <v>10398</v>
      </c>
      <c r="M272" s="802" t="s">
        <v>11920</v>
      </c>
      <c r="N272" s="802" t="s">
        <v>10889</v>
      </c>
      <c r="O272" s="802" t="s">
        <v>11921</v>
      </c>
      <c r="P272" s="807" t="s">
        <v>11922</v>
      </c>
    </row>
    <row r="273" spans="1:16" s="341" customFormat="1" ht="25.5" customHeight="1">
      <c r="A273" s="806" t="s">
        <v>6473</v>
      </c>
      <c r="B273" s="800" t="s">
        <v>11728</v>
      </c>
      <c r="C273" s="800" t="s">
        <v>421</v>
      </c>
      <c r="D273" s="800" t="s">
        <v>11923</v>
      </c>
      <c r="E273" s="801">
        <v>43018</v>
      </c>
      <c r="F273" s="800" t="s">
        <v>1643</v>
      </c>
      <c r="G273" s="800" t="s">
        <v>11924</v>
      </c>
      <c r="H273" s="800" t="s">
        <v>10404</v>
      </c>
      <c r="I273" s="800" t="s">
        <v>10404</v>
      </c>
      <c r="J273" s="800" t="s">
        <v>10426</v>
      </c>
      <c r="K273" s="800">
        <v>1</v>
      </c>
      <c r="L273" s="802" t="s">
        <v>11026</v>
      </c>
      <c r="M273" s="802" t="s">
        <v>11925</v>
      </c>
      <c r="N273" s="802" t="s">
        <v>11926</v>
      </c>
      <c r="O273" s="802" t="s">
        <v>11927</v>
      </c>
      <c r="P273" s="807" t="s">
        <v>11928</v>
      </c>
    </row>
    <row r="274" spans="1:16" s="341" customFormat="1" ht="25.5" customHeight="1">
      <c r="A274" s="806" t="s">
        <v>6473</v>
      </c>
      <c r="B274" s="800" t="s">
        <v>11728</v>
      </c>
      <c r="C274" s="800" t="s">
        <v>421</v>
      </c>
      <c r="D274" s="800" t="s">
        <v>11929</v>
      </c>
      <c r="E274" s="801">
        <v>43018</v>
      </c>
      <c r="F274" s="800" t="s">
        <v>11930</v>
      </c>
      <c r="G274" s="800" t="s">
        <v>11931</v>
      </c>
      <c r="H274" s="800" t="s">
        <v>10404</v>
      </c>
      <c r="I274" s="800" t="s">
        <v>10404</v>
      </c>
      <c r="J274" s="800" t="s">
        <v>10664</v>
      </c>
      <c r="K274" s="800">
        <v>1</v>
      </c>
      <c r="L274" s="802" t="s">
        <v>10398</v>
      </c>
      <c r="M274" s="802" t="s">
        <v>11932</v>
      </c>
      <c r="N274" s="802" t="s">
        <v>11933</v>
      </c>
      <c r="O274" s="802" t="s">
        <v>11910</v>
      </c>
      <c r="P274" s="807" t="s">
        <v>11934</v>
      </c>
    </row>
    <row r="275" spans="1:16" s="341" customFormat="1" ht="25.5" customHeight="1">
      <c r="A275" s="806" t="s">
        <v>6473</v>
      </c>
      <c r="B275" s="800" t="s">
        <v>11728</v>
      </c>
      <c r="C275" s="800" t="s">
        <v>421</v>
      </c>
      <c r="D275" s="800" t="s">
        <v>11935</v>
      </c>
      <c r="E275" s="801">
        <v>43018</v>
      </c>
      <c r="F275" s="800" t="s">
        <v>11936</v>
      </c>
      <c r="G275" s="800" t="s">
        <v>11937</v>
      </c>
      <c r="H275" s="800" t="s">
        <v>10531</v>
      </c>
      <c r="I275" s="800" t="s">
        <v>10531</v>
      </c>
      <c r="J275" s="800" t="s">
        <v>10397</v>
      </c>
      <c r="K275" s="800">
        <v>1</v>
      </c>
      <c r="L275" s="802" t="s">
        <v>10398</v>
      </c>
      <c r="M275" s="802" t="s">
        <v>11938</v>
      </c>
      <c r="N275" s="802" t="s">
        <v>11939</v>
      </c>
      <c r="O275" s="802" t="s">
        <v>11940</v>
      </c>
      <c r="P275" s="807" t="s">
        <v>11941</v>
      </c>
    </row>
    <row r="276" spans="1:16" s="341" customFormat="1" ht="38.25" customHeight="1">
      <c r="A276" s="806" t="s">
        <v>6473</v>
      </c>
      <c r="B276" s="800" t="s">
        <v>11728</v>
      </c>
      <c r="C276" s="800" t="s">
        <v>421</v>
      </c>
      <c r="D276" s="800" t="s">
        <v>11942</v>
      </c>
      <c r="E276" s="801">
        <v>43026</v>
      </c>
      <c r="F276" s="800" t="s">
        <v>7609</v>
      </c>
      <c r="G276" s="800" t="s">
        <v>11943</v>
      </c>
      <c r="H276" s="800" t="s">
        <v>10433</v>
      </c>
      <c r="I276" s="800" t="s">
        <v>10433</v>
      </c>
      <c r="J276" s="800" t="s">
        <v>10447</v>
      </c>
      <c r="K276" s="800">
        <v>1</v>
      </c>
      <c r="L276" s="802" t="s">
        <v>10398</v>
      </c>
      <c r="M276" s="802" t="s">
        <v>11944</v>
      </c>
      <c r="N276" s="802" t="s">
        <v>11945</v>
      </c>
      <c r="O276" s="802" t="s">
        <v>11946</v>
      </c>
      <c r="P276" s="807" t="s">
        <v>11947</v>
      </c>
    </row>
    <row r="277" spans="1:16" s="341" customFormat="1" ht="38.25" customHeight="1">
      <c r="A277" s="806" t="s">
        <v>6473</v>
      </c>
      <c r="B277" s="800" t="s">
        <v>11728</v>
      </c>
      <c r="C277" s="800" t="s">
        <v>421</v>
      </c>
      <c r="D277" s="800" t="s">
        <v>11948</v>
      </c>
      <c r="E277" s="801">
        <v>43026</v>
      </c>
      <c r="F277" s="800" t="s">
        <v>11949</v>
      </c>
      <c r="G277" s="800" t="s">
        <v>11950</v>
      </c>
      <c r="H277" s="800" t="s">
        <v>10433</v>
      </c>
      <c r="I277" s="800" t="s">
        <v>10433</v>
      </c>
      <c r="J277" s="800" t="s">
        <v>10447</v>
      </c>
      <c r="K277" s="800">
        <v>1</v>
      </c>
      <c r="L277" s="802" t="s">
        <v>10398</v>
      </c>
      <c r="M277" s="802" t="s">
        <v>11951</v>
      </c>
      <c r="N277" s="802" t="s">
        <v>11952</v>
      </c>
      <c r="O277" s="802" t="s">
        <v>11953</v>
      </c>
      <c r="P277" s="807" t="s">
        <v>11947</v>
      </c>
    </row>
    <row r="278" spans="1:16" s="341" customFormat="1" ht="38.25" customHeight="1">
      <c r="A278" s="806" t="s">
        <v>6473</v>
      </c>
      <c r="B278" s="800" t="s">
        <v>11728</v>
      </c>
      <c r="C278" s="800" t="s">
        <v>421</v>
      </c>
      <c r="D278" s="800" t="s">
        <v>11954</v>
      </c>
      <c r="E278" s="801">
        <v>43026</v>
      </c>
      <c r="F278" s="800" t="s">
        <v>11955</v>
      </c>
      <c r="G278" s="800" t="s">
        <v>11956</v>
      </c>
      <c r="H278" s="800" t="s">
        <v>10396</v>
      </c>
      <c r="I278" s="800" t="s">
        <v>10396</v>
      </c>
      <c r="J278" s="800" t="s">
        <v>10426</v>
      </c>
      <c r="K278" s="800">
        <v>1</v>
      </c>
      <c r="L278" s="802" t="s">
        <v>10398</v>
      </c>
      <c r="M278" s="802" t="s">
        <v>11957</v>
      </c>
      <c r="N278" s="802" t="s">
        <v>11958</v>
      </c>
      <c r="O278" s="802" t="s">
        <v>11959</v>
      </c>
      <c r="P278" s="807" t="s">
        <v>11960</v>
      </c>
    </row>
    <row r="279" spans="1:16" s="341" customFormat="1" ht="38.25" customHeight="1">
      <c r="A279" s="806" t="s">
        <v>6473</v>
      </c>
      <c r="B279" s="800" t="s">
        <v>11728</v>
      </c>
      <c r="C279" s="800" t="s">
        <v>421</v>
      </c>
      <c r="D279" s="800" t="s">
        <v>11961</v>
      </c>
      <c r="E279" s="801">
        <v>43026</v>
      </c>
      <c r="F279" s="800" t="s">
        <v>5656</v>
      </c>
      <c r="G279" s="800" t="s">
        <v>11962</v>
      </c>
      <c r="H279" s="800" t="s">
        <v>10531</v>
      </c>
      <c r="I279" s="800" t="s">
        <v>10531</v>
      </c>
      <c r="J279" s="800" t="s">
        <v>10447</v>
      </c>
      <c r="K279" s="800">
        <v>1</v>
      </c>
      <c r="L279" s="802" t="s">
        <v>10398</v>
      </c>
      <c r="M279" s="802" t="s">
        <v>11963</v>
      </c>
      <c r="N279" s="802" t="s">
        <v>11964</v>
      </c>
      <c r="O279" s="802" t="s">
        <v>11965</v>
      </c>
      <c r="P279" s="807" t="s">
        <v>11966</v>
      </c>
    </row>
    <row r="280" spans="1:16" s="341" customFormat="1" ht="25.5" customHeight="1">
      <c r="A280" s="806" t="s">
        <v>6473</v>
      </c>
      <c r="B280" s="800" t="s">
        <v>11728</v>
      </c>
      <c r="C280" s="800" t="s">
        <v>421</v>
      </c>
      <c r="D280" s="800" t="s">
        <v>11967</v>
      </c>
      <c r="E280" s="801">
        <v>43026</v>
      </c>
      <c r="F280" s="800" t="s">
        <v>5656</v>
      </c>
      <c r="G280" s="800" t="s">
        <v>11968</v>
      </c>
      <c r="H280" s="800" t="s">
        <v>10531</v>
      </c>
      <c r="I280" s="800" t="s">
        <v>10531</v>
      </c>
      <c r="J280" s="800" t="s">
        <v>10447</v>
      </c>
      <c r="K280" s="800">
        <v>1</v>
      </c>
      <c r="L280" s="802" t="s">
        <v>10398</v>
      </c>
      <c r="M280" s="802" t="s">
        <v>11969</v>
      </c>
      <c r="N280" s="802" t="s">
        <v>11970</v>
      </c>
      <c r="O280" s="802" t="s">
        <v>11971</v>
      </c>
      <c r="P280" s="807" t="s">
        <v>11972</v>
      </c>
    </row>
    <row r="281" spans="1:16" s="341" customFormat="1" ht="38.25" customHeight="1">
      <c r="A281" s="806" t="s">
        <v>6473</v>
      </c>
      <c r="B281" s="800" t="s">
        <v>11728</v>
      </c>
      <c r="C281" s="800" t="s">
        <v>421</v>
      </c>
      <c r="D281" s="800" t="s">
        <v>11973</v>
      </c>
      <c r="E281" s="801">
        <v>43026</v>
      </c>
      <c r="F281" s="800" t="s">
        <v>5656</v>
      </c>
      <c r="G281" s="800" t="s">
        <v>11968</v>
      </c>
      <c r="H281" s="800" t="s">
        <v>10531</v>
      </c>
      <c r="I281" s="800" t="s">
        <v>10531</v>
      </c>
      <c r="J281" s="800" t="s">
        <v>10447</v>
      </c>
      <c r="K281" s="800">
        <v>1</v>
      </c>
      <c r="L281" s="802" t="s">
        <v>10398</v>
      </c>
      <c r="M281" s="802" t="s">
        <v>11974</v>
      </c>
      <c r="N281" s="802" t="s">
        <v>11975</v>
      </c>
      <c r="O281" s="802" t="s">
        <v>11971</v>
      </c>
      <c r="P281" s="807" t="s">
        <v>11972</v>
      </c>
    </row>
    <row r="282" spans="1:16" s="341" customFormat="1" ht="15" customHeight="1">
      <c r="A282" s="806" t="s">
        <v>6473</v>
      </c>
      <c r="B282" s="800" t="s">
        <v>11728</v>
      </c>
      <c r="C282" s="800" t="s">
        <v>421</v>
      </c>
      <c r="D282" s="800" t="s">
        <v>11976</v>
      </c>
      <c r="E282" s="801">
        <v>43026</v>
      </c>
      <c r="F282" s="800" t="s">
        <v>5816</v>
      </c>
      <c r="G282" s="800" t="s">
        <v>11977</v>
      </c>
      <c r="H282" s="800" t="s">
        <v>10404</v>
      </c>
      <c r="I282" s="800" t="s">
        <v>10404</v>
      </c>
      <c r="J282" s="800" t="s">
        <v>10664</v>
      </c>
      <c r="K282" s="800">
        <v>1</v>
      </c>
      <c r="L282" s="802" t="s">
        <v>10398</v>
      </c>
      <c r="M282" s="802" t="s">
        <v>11978</v>
      </c>
      <c r="N282" s="802" t="s">
        <v>10808</v>
      </c>
      <c r="O282" s="802" t="s">
        <v>11979</v>
      </c>
      <c r="P282" s="807" t="s">
        <v>11980</v>
      </c>
    </row>
    <row r="283" spans="1:16" s="341" customFormat="1" ht="51" customHeight="1">
      <c r="A283" s="806" t="s">
        <v>6473</v>
      </c>
      <c r="B283" s="800" t="s">
        <v>11728</v>
      </c>
      <c r="C283" s="800" t="s">
        <v>421</v>
      </c>
      <c r="D283" s="800" t="s">
        <v>11981</v>
      </c>
      <c r="E283" s="801">
        <v>43026</v>
      </c>
      <c r="F283" s="800" t="s">
        <v>5816</v>
      </c>
      <c r="G283" s="800" t="s">
        <v>11982</v>
      </c>
      <c r="H283" s="800" t="s">
        <v>10404</v>
      </c>
      <c r="I283" s="800" t="s">
        <v>10404</v>
      </c>
      <c r="J283" s="800" t="s">
        <v>10447</v>
      </c>
      <c r="K283" s="800">
        <v>1</v>
      </c>
      <c r="L283" s="802" t="s">
        <v>10398</v>
      </c>
      <c r="M283" s="802" t="s">
        <v>11983</v>
      </c>
      <c r="N283" s="802" t="s">
        <v>11984</v>
      </c>
      <c r="O283" s="802" t="s">
        <v>11985</v>
      </c>
      <c r="P283" s="807" t="s">
        <v>11986</v>
      </c>
    </row>
    <row r="284" spans="1:16" s="341" customFormat="1" ht="51" customHeight="1">
      <c r="A284" s="806" t="s">
        <v>6473</v>
      </c>
      <c r="B284" s="800" t="s">
        <v>11728</v>
      </c>
      <c r="C284" s="800" t="s">
        <v>421</v>
      </c>
      <c r="D284" s="800" t="s">
        <v>11987</v>
      </c>
      <c r="E284" s="801">
        <v>43026</v>
      </c>
      <c r="F284" s="800" t="s">
        <v>5816</v>
      </c>
      <c r="G284" s="800" t="s">
        <v>11988</v>
      </c>
      <c r="H284" s="800" t="s">
        <v>10404</v>
      </c>
      <c r="I284" s="800" t="s">
        <v>10404</v>
      </c>
      <c r="J284" s="800" t="s">
        <v>10447</v>
      </c>
      <c r="K284" s="800">
        <v>1</v>
      </c>
      <c r="L284" s="802" t="s">
        <v>10398</v>
      </c>
      <c r="M284" s="802" t="s">
        <v>11989</v>
      </c>
      <c r="N284" s="802" t="s">
        <v>11990</v>
      </c>
      <c r="O284" s="802" t="s">
        <v>11991</v>
      </c>
      <c r="P284" s="807" t="s">
        <v>11992</v>
      </c>
    </row>
    <row r="285" spans="1:16" s="341" customFormat="1" ht="63.75" customHeight="1">
      <c r="A285" s="806" t="s">
        <v>6473</v>
      </c>
      <c r="B285" s="800" t="s">
        <v>11728</v>
      </c>
      <c r="C285" s="800" t="s">
        <v>421</v>
      </c>
      <c r="D285" s="800" t="s">
        <v>11993</v>
      </c>
      <c r="E285" s="801">
        <v>43026</v>
      </c>
      <c r="F285" s="800" t="s">
        <v>5816</v>
      </c>
      <c r="G285" s="800" t="s">
        <v>11994</v>
      </c>
      <c r="H285" s="800" t="s">
        <v>10404</v>
      </c>
      <c r="I285" s="800" t="s">
        <v>10404</v>
      </c>
      <c r="J285" s="800" t="s">
        <v>10447</v>
      </c>
      <c r="K285" s="800">
        <v>1</v>
      </c>
      <c r="L285" s="802" t="s">
        <v>10398</v>
      </c>
      <c r="M285" s="802" t="s">
        <v>11995</v>
      </c>
      <c r="N285" s="802" t="s">
        <v>11996</v>
      </c>
      <c r="O285" s="802" t="s">
        <v>11997</v>
      </c>
      <c r="P285" s="807" t="s">
        <v>11998</v>
      </c>
    </row>
    <row r="286" spans="1:16" s="341" customFormat="1" ht="38.25" customHeight="1">
      <c r="A286" s="806" t="s">
        <v>6473</v>
      </c>
      <c r="B286" s="800" t="s">
        <v>11728</v>
      </c>
      <c r="C286" s="800" t="s">
        <v>421</v>
      </c>
      <c r="D286" s="800" t="s">
        <v>11999</v>
      </c>
      <c r="E286" s="801">
        <v>43026</v>
      </c>
      <c r="F286" s="800" t="s">
        <v>5816</v>
      </c>
      <c r="G286" s="800" t="s">
        <v>12000</v>
      </c>
      <c r="H286" s="800" t="s">
        <v>10404</v>
      </c>
      <c r="I286" s="800" t="s">
        <v>10404</v>
      </c>
      <c r="J286" s="800" t="s">
        <v>10447</v>
      </c>
      <c r="K286" s="800">
        <v>1</v>
      </c>
      <c r="L286" s="802" t="s">
        <v>10398</v>
      </c>
      <c r="M286" s="802" t="s">
        <v>12001</v>
      </c>
      <c r="N286" s="802" t="s">
        <v>12002</v>
      </c>
      <c r="O286" s="802" t="s">
        <v>12003</v>
      </c>
      <c r="P286" s="807" t="s">
        <v>12004</v>
      </c>
    </row>
    <row r="287" spans="1:16" s="341" customFormat="1" ht="51" customHeight="1">
      <c r="A287" s="806" t="s">
        <v>6473</v>
      </c>
      <c r="B287" s="800" t="s">
        <v>11728</v>
      </c>
      <c r="C287" s="800" t="s">
        <v>421</v>
      </c>
      <c r="D287" s="800" t="s">
        <v>12005</v>
      </c>
      <c r="E287" s="801">
        <v>43026</v>
      </c>
      <c r="F287" s="800" t="s">
        <v>5816</v>
      </c>
      <c r="G287" s="800" t="s">
        <v>11994</v>
      </c>
      <c r="H287" s="800" t="s">
        <v>10404</v>
      </c>
      <c r="I287" s="800" t="s">
        <v>10404</v>
      </c>
      <c r="J287" s="800" t="s">
        <v>10447</v>
      </c>
      <c r="K287" s="800">
        <v>1</v>
      </c>
      <c r="L287" s="802" t="s">
        <v>10398</v>
      </c>
      <c r="M287" s="802" t="s">
        <v>12006</v>
      </c>
      <c r="N287" s="802" t="s">
        <v>12007</v>
      </c>
      <c r="O287" s="802" t="s">
        <v>12008</v>
      </c>
      <c r="P287" s="807" t="s">
        <v>12009</v>
      </c>
    </row>
    <row r="288" spans="1:16" s="341" customFormat="1" ht="63.75" customHeight="1">
      <c r="A288" s="806" t="s">
        <v>6473</v>
      </c>
      <c r="B288" s="800" t="s">
        <v>11728</v>
      </c>
      <c r="C288" s="800" t="s">
        <v>421</v>
      </c>
      <c r="D288" s="800" t="s">
        <v>12010</v>
      </c>
      <c r="E288" s="801">
        <v>43026</v>
      </c>
      <c r="F288" s="800" t="s">
        <v>5816</v>
      </c>
      <c r="G288" s="800" t="s">
        <v>12011</v>
      </c>
      <c r="H288" s="800" t="s">
        <v>10404</v>
      </c>
      <c r="I288" s="800" t="s">
        <v>10404</v>
      </c>
      <c r="J288" s="800" t="s">
        <v>10447</v>
      </c>
      <c r="K288" s="800">
        <v>1</v>
      </c>
      <c r="L288" s="802" t="s">
        <v>10398</v>
      </c>
      <c r="M288" s="802" t="s">
        <v>12012</v>
      </c>
      <c r="N288" s="802" t="s">
        <v>12013</v>
      </c>
      <c r="O288" s="802" t="s">
        <v>12014</v>
      </c>
      <c r="P288" s="807" t="s">
        <v>12015</v>
      </c>
    </row>
    <row r="289" spans="1:16" s="341" customFormat="1" ht="38.25" customHeight="1">
      <c r="A289" s="806" t="s">
        <v>6473</v>
      </c>
      <c r="B289" s="800" t="s">
        <v>11728</v>
      </c>
      <c r="C289" s="800" t="s">
        <v>421</v>
      </c>
      <c r="D289" s="800" t="s">
        <v>12016</v>
      </c>
      <c r="E289" s="801">
        <v>43026</v>
      </c>
      <c r="F289" s="800" t="s">
        <v>5816</v>
      </c>
      <c r="G289" s="800" t="s">
        <v>12017</v>
      </c>
      <c r="H289" s="800" t="s">
        <v>10404</v>
      </c>
      <c r="I289" s="800" t="s">
        <v>10404</v>
      </c>
      <c r="J289" s="800" t="s">
        <v>10447</v>
      </c>
      <c r="K289" s="800">
        <v>1</v>
      </c>
      <c r="L289" s="802" t="s">
        <v>10398</v>
      </c>
      <c r="M289" s="802" t="s">
        <v>12018</v>
      </c>
      <c r="N289" s="802" t="s">
        <v>11059</v>
      </c>
      <c r="O289" s="802" t="s">
        <v>12019</v>
      </c>
      <c r="P289" s="807" t="s">
        <v>12020</v>
      </c>
    </row>
    <row r="290" spans="1:16" s="341" customFormat="1" ht="38.25" customHeight="1">
      <c r="A290" s="806" t="s">
        <v>6473</v>
      </c>
      <c r="B290" s="800" t="s">
        <v>11728</v>
      </c>
      <c r="C290" s="800" t="s">
        <v>421</v>
      </c>
      <c r="D290" s="800" t="s">
        <v>12021</v>
      </c>
      <c r="E290" s="801">
        <v>43042</v>
      </c>
      <c r="F290" s="800" t="s">
        <v>12022</v>
      </c>
      <c r="G290" s="800" t="s">
        <v>12023</v>
      </c>
      <c r="H290" s="800" t="s">
        <v>10404</v>
      </c>
      <c r="I290" s="800" t="s">
        <v>10404</v>
      </c>
      <c r="J290" s="800" t="s">
        <v>10426</v>
      </c>
      <c r="K290" s="800">
        <v>1</v>
      </c>
      <c r="L290" s="802" t="s">
        <v>10398</v>
      </c>
      <c r="M290" s="802" t="s">
        <v>12024</v>
      </c>
      <c r="N290" s="802" t="s">
        <v>12025</v>
      </c>
      <c r="O290" s="802" t="s">
        <v>12026</v>
      </c>
      <c r="P290" s="807" t="s">
        <v>12027</v>
      </c>
    </row>
    <row r="291" spans="1:16" s="341" customFormat="1" ht="51" customHeight="1">
      <c r="A291" s="806" t="s">
        <v>6473</v>
      </c>
      <c r="B291" s="800" t="s">
        <v>11728</v>
      </c>
      <c r="C291" s="800" t="s">
        <v>421</v>
      </c>
      <c r="D291" s="800" t="s">
        <v>12028</v>
      </c>
      <c r="E291" s="801">
        <v>43042</v>
      </c>
      <c r="F291" s="800" t="s">
        <v>12029</v>
      </c>
      <c r="G291" s="800" t="s">
        <v>12030</v>
      </c>
      <c r="H291" s="800" t="s">
        <v>10531</v>
      </c>
      <c r="I291" s="800" t="s">
        <v>10531</v>
      </c>
      <c r="J291" s="800" t="s">
        <v>10447</v>
      </c>
      <c r="K291" s="800">
        <v>1</v>
      </c>
      <c r="L291" s="802" t="s">
        <v>10398</v>
      </c>
      <c r="M291" s="802" t="s">
        <v>12031</v>
      </c>
      <c r="N291" s="802" t="s">
        <v>12032</v>
      </c>
      <c r="O291" s="802" t="s">
        <v>12033</v>
      </c>
      <c r="P291" s="807" t="s">
        <v>12034</v>
      </c>
    </row>
    <row r="292" spans="1:16" s="341" customFormat="1" ht="51" customHeight="1">
      <c r="A292" s="806" t="s">
        <v>6473</v>
      </c>
      <c r="B292" s="800" t="s">
        <v>11728</v>
      </c>
      <c r="C292" s="800" t="s">
        <v>421</v>
      </c>
      <c r="D292" s="800" t="s">
        <v>12035</v>
      </c>
      <c r="E292" s="801">
        <v>43042</v>
      </c>
      <c r="F292" s="800" t="s">
        <v>12029</v>
      </c>
      <c r="G292" s="800" t="s">
        <v>12036</v>
      </c>
      <c r="H292" s="800" t="s">
        <v>10404</v>
      </c>
      <c r="I292" s="800" t="s">
        <v>10404</v>
      </c>
      <c r="J292" s="800" t="s">
        <v>10447</v>
      </c>
      <c r="K292" s="800">
        <v>1</v>
      </c>
      <c r="L292" s="802" t="s">
        <v>10398</v>
      </c>
      <c r="M292" s="802" t="s">
        <v>12037</v>
      </c>
      <c r="N292" s="802" t="s">
        <v>12038</v>
      </c>
      <c r="O292" s="802" t="s">
        <v>12039</v>
      </c>
      <c r="P292" s="807" t="s">
        <v>12040</v>
      </c>
    </row>
    <row r="293" spans="1:16" s="341" customFormat="1" ht="51" customHeight="1">
      <c r="A293" s="806" t="s">
        <v>6473</v>
      </c>
      <c r="B293" s="800" t="s">
        <v>11728</v>
      </c>
      <c r="C293" s="800" t="s">
        <v>421</v>
      </c>
      <c r="D293" s="800" t="s">
        <v>12041</v>
      </c>
      <c r="E293" s="801">
        <v>43048</v>
      </c>
      <c r="F293" s="800" t="s">
        <v>12042</v>
      </c>
      <c r="G293" s="800" t="s">
        <v>12043</v>
      </c>
      <c r="H293" s="800" t="s">
        <v>10404</v>
      </c>
      <c r="I293" s="800" t="s">
        <v>10404</v>
      </c>
      <c r="J293" s="800" t="s">
        <v>10426</v>
      </c>
      <c r="K293" s="800">
        <v>1</v>
      </c>
      <c r="L293" s="802" t="s">
        <v>10398</v>
      </c>
      <c r="M293" s="802" t="s">
        <v>12044</v>
      </c>
      <c r="N293" s="802" t="s">
        <v>12045</v>
      </c>
      <c r="O293" s="802" t="s">
        <v>12046</v>
      </c>
      <c r="P293" s="807" t="s">
        <v>12047</v>
      </c>
    </row>
    <row r="294" spans="1:16" s="341" customFormat="1" ht="38.25" customHeight="1">
      <c r="A294" s="806" t="s">
        <v>6473</v>
      </c>
      <c r="B294" s="800" t="s">
        <v>11728</v>
      </c>
      <c r="C294" s="800" t="s">
        <v>421</v>
      </c>
      <c r="D294" s="800" t="s">
        <v>12048</v>
      </c>
      <c r="E294" s="801">
        <v>43048</v>
      </c>
      <c r="F294" s="800" t="s">
        <v>12049</v>
      </c>
      <c r="G294" s="800" t="s">
        <v>12050</v>
      </c>
      <c r="H294" s="800" t="s">
        <v>10404</v>
      </c>
      <c r="I294" s="800" t="s">
        <v>10404</v>
      </c>
      <c r="J294" s="800" t="s">
        <v>10426</v>
      </c>
      <c r="K294" s="800">
        <v>1</v>
      </c>
      <c r="L294" s="802" t="s">
        <v>10398</v>
      </c>
      <c r="M294" s="802" t="s">
        <v>12051</v>
      </c>
      <c r="N294" s="802" t="s">
        <v>12052</v>
      </c>
      <c r="O294" s="802" t="s">
        <v>12053</v>
      </c>
      <c r="P294" s="807" t="s">
        <v>12054</v>
      </c>
    </row>
    <row r="295" spans="1:16" s="341" customFormat="1" ht="38.25" customHeight="1">
      <c r="A295" s="806" t="s">
        <v>6473</v>
      </c>
      <c r="B295" s="800" t="s">
        <v>11728</v>
      </c>
      <c r="C295" s="800" t="s">
        <v>421</v>
      </c>
      <c r="D295" s="800" t="s">
        <v>12055</v>
      </c>
      <c r="E295" s="801">
        <v>43048</v>
      </c>
      <c r="F295" s="800" t="s">
        <v>12022</v>
      </c>
      <c r="G295" s="800" t="s">
        <v>12056</v>
      </c>
      <c r="H295" s="800" t="s">
        <v>10404</v>
      </c>
      <c r="I295" s="800" t="s">
        <v>10404</v>
      </c>
      <c r="J295" s="800" t="s">
        <v>10426</v>
      </c>
      <c r="K295" s="800">
        <v>1</v>
      </c>
      <c r="L295" s="802" t="s">
        <v>10398</v>
      </c>
      <c r="M295" s="802" t="s">
        <v>12057</v>
      </c>
      <c r="N295" s="802" t="s">
        <v>12058</v>
      </c>
      <c r="O295" s="802" t="s">
        <v>12059</v>
      </c>
      <c r="P295" s="807" t="s">
        <v>12060</v>
      </c>
    </row>
    <row r="296" spans="1:16" s="341" customFormat="1" ht="38.25" customHeight="1">
      <c r="A296" s="806" t="s">
        <v>6473</v>
      </c>
      <c r="B296" s="800" t="s">
        <v>11728</v>
      </c>
      <c r="C296" s="800" t="s">
        <v>1262</v>
      </c>
      <c r="D296" s="800" t="s">
        <v>12061</v>
      </c>
      <c r="E296" s="801">
        <v>43018</v>
      </c>
      <c r="F296" s="800" t="s">
        <v>1864</v>
      </c>
      <c r="G296" s="800" t="s">
        <v>12062</v>
      </c>
      <c r="H296" s="800" t="s">
        <v>10396</v>
      </c>
      <c r="I296" s="800" t="s">
        <v>10396</v>
      </c>
      <c r="J296" s="800" t="s">
        <v>10397</v>
      </c>
      <c r="K296" s="800">
        <v>1</v>
      </c>
      <c r="L296" s="802" t="s">
        <v>10398</v>
      </c>
      <c r="M296" s="802" t="s">
        <v>12063</v>
      </c>
      <c r="N296" s="802" t="s">
        <v>12064</v>
      </c>
      <c r="O296" s="802" t="s">
        <v>12065</v>
      </c>
      <c r="P296" s="807" t="s">
        <v>12066</v>
      </c>
    </row>
    <row r="297" spans="1:16" s="341" customFormat="1" ht="63.75" customHeight="1">
      <c r="A297" s="806" t="s">
        <v>6473</v>
      </c>
      <c r="B297" s="800" t="s">
        <v>11728</v>
      </c>
      <c r="C297" s="800" t="s">
        <v>1262</v>
      </c>
      <c r="D297" s="800" t="s">
        <v>12067</v>
      </c>
      <c r="E297" s="801">
        <v>43018</v>
      </c>
      <c r="F297" s="800" t="s">
        <v>5881</v>
      </c>
      <c r="G297" s="800" t="s">
        <v>12068</v>
      </c>
      <c r="H297" s="800" t="s">
        <v>10396</v>
      </c>
      <c r="I297" s="800" t="s">
        <v>10396</v>
      </c>
      <c r="J297" s="800" t="s">
        <v>10447</v>
      </c>
      <c r="K297" s="800">
        <v>1</v>
      </c>
      <c r="L297" s="802" t="s">
        <v>10398</v>
      </c>
      <c r="M297" s="802" t="s">
        <v>12069</v>
      </c>
      <c r="N297" s="802" t="s">
        <v>12070</v>
      </c>
      <c r="O297" s="802" t="s">
        <v>12071</v>
      </c>
      <c r="P297" s="807" t="s">
        <v>12072</v>
      </c>
    </row>
    <row r="298" spans="1:16" s="341" customFormat="1" ht="51" customHeight="1">
      <c r="A298" s="806" t="s">
        <v>6473</v>
      </c>
      <c r="B298" s="800" t="s">
        <v>11728</v>
      </c>
      <c r="C298" s="800" t="s">
        <v>1262</v>
      </c>
      <c r="D298" s="800" t="s">
        <v>12073</v>
      </c>
      <c r="E298" s="801">
        <v>43018</v>
      </c>
      <c r="F298" s="800" t="s">
        <v>12074</v>
      </c>
      <c r="G298" s="800" t="s">
        <v>12075</v>
      </c>
      <c r="H298" s="800" t="s">
        <v>10404</v>
      </c>
      <c r="I298" s="800" t="s">
        <v>10404</v>
      </c>
      <c r="J298" s="800" t="s">
        <v>10426</v>
      </c>
      <c r="K298" s="800">
        <v>1</v>
      </c>
      <c r="L298" s="802" t="s">
        <v>10398</v>
      </c>
      <c r="M298" s="802" t="s">
        <v>12076</v>
      </c>
      <c r="N298" s="802" t="s">
        <v>10648</v>
      </c>
      <c r="O298" s="802" t="s">
        <v>12077</v>
      </c>
      <c r="P298" s="807" t="s">
        <v>12078</v>
      </c>
    </row>
    <row r="299" spans="1:16" s="341" customFormat="1" ht="38.25" customHeight="1">
      <c r="A299" s="806" t="s">
        <v>6473</v>
      </c>
      <c r="B299" s="800" t="s">
        <v>11728</v>
      </c>
      <c r="C299" s="800" t="s">
        <v>1262</v>
      </c>
      <c r="D299" s="800" t="s">
        <v>12079</v>
      </c>
      <c r="E299" s="801">
        <v>43018</v>
      </c>
      <c r="F299" s="800" t="s">
        <v>1864</v>
      </c>
      <c r="G299" s="800" t="s">
        <v>12080</v>
      </c>
      <c r="H299" s="800" t="s">
        <v>10404</v>
      </c>
      <c r="I299" s="800" t="s">
        <v>10404</v>
      </c>
      <c r="J299" s="800" t="s">
        <v>10426</v>
      </c>
      <c r="K299" s="800">
        <v>1</v>
      </c>
      <c r="L299" s="802" t="s">
        <v>10398</v>
      </c>
      <c r="M299" s="802" t="s">
        <v>12081</v>
      </c>
      <c r="N299" s="802" t="s">
        <v>12082</v>
      </c>
      <c r="O299" s="802" t="s">
        <v>12083</v>
      </c>
      <c r="P299" s="807" t="s">
        <v>12084</v>
      </c>
    </row>
    <row r="300" spans="1:16" s="341" customFormat="1" ht="38.25" customHeight="1">
      <c r="A300" s="806" t="s">
        <v>6473</v>
      </c>
      <c r="B300" s="800" t="s">
        <v>11728</v>
      </c>
      <c r="C300" s="800" t="s">
        <v>1262</v>
      </c>
      <c r="D300" s="800" t="s">
        <v>12085</v>
      </c>
      <c r="E300" s="801">
        <v>43026</v>
      </c>
      <c r="F300" s="800" t="s">
        <v>7614</v>
      </c>
      <c r="G300" s="800" t="s">
        <v>12086</v>
      </c>
      <c r="H300" s="800" t="s">
        <v>10404</v>
      </c>
      <c r="I300" s="800" t="s">
        <v>10404</v>
      </c>
      <c r="J300" s="800" t="s">
        <v>10426</v>
      </c>
      <c r="K300" s="800">
        <v>1</v>
      </c>
      <c r="L300" s="802" t="s">
        <v>10398</v>
      </c>
      <c r="M300" s="802" t="s">
        <v>12087</v>
      </c>
      <c r="N300" s="802" t="s">
        <v>12088</v>
      </c>
      <c r="O300" s="802" t="s">
        <v>12089</v>
      </c>
      <c r="P300" s="807" t="s">
        <v>12090</v>
      </c>
    </row>
    <row r="301" spans="1:16" s="341" customFormat="1" ht="38.25" customHeight="1">
      <c r="A301" s="806" t="s">
        <v>6473</v>
      </c>
      <c r="B301" s="800" t="s">
        <v>11728</v>
      </c>
      <c r="C301" s="800" t="s">
        <v>1262</v>
      </c>
      <c r="D301" s="800" t="s">
        <v>12091</v>
      </c>
      <c r="E301" s="801">
        <v>43042</v>
      </c>
      <c r="F301" s="800" t="s">
        <v>12092</v>
      </c>
      <c r="G301" s="800" t="s">
        <v>12093</v>
      </c>
      <c r="H301" s="800" t="s">
        <v>10531</v>
      </c>
      <c r="I301" s="800" t="s">
        <v>10531</v>
      </c>
      <c r="J301" s="800" t="s">
        <v>4342</v>
      </c>
      <c r="K301" s="800">
        <v>1</v>
      </c>
      <c r="L301" s="802" t="s">
        <v>10398</v>
      </c>
      <c r="M301" s="802" t="s">
        <v>12094</v>
      </c>
      <c r="N301" s="802" t="s">
        <v>12095</v>
      </c>
      <c r="O301" s="802" t="s">
        <v>12096</v>
      </c>
      <c r="P301" s="807" t="s">
        <v>12097</v>
      </c>
    </row>
    <row r="302" spans="1:16" s="341" customFormat="1" ht="38.25" customHeight="1">
      <c r="A302" s="806" t="s">
        <v>6473</v>
      </c>
      <c r="B302" s="800" t="s">
        <v>11728</v>
      </c>
      <c r="C302" s="800" t="s">
        <v>1262</v>
      </c>
      <c r="D302" s="800" t="s">
        <v>12098</v>
      </c>
      <c r="E302" s="801">
        <v>43048</v>
      </c>
      <c r="F302" s="800" t="s">
        <v>12099</v>
      </c>
      <c r="G302" s="800" t="s">
        <v>12100</v>
      </c>
      <c r="H302" s="800" t="s">
        <v>10404</v>
      </c>
      <c r="I302" s="800" t="s">
        <v>10404</v>
      </c>
      <c r="J302" s="800" t="s">
        <v>10664</v>
      </c>
      <c r="K302" s="800">
        <v>1</v>
      </c>
      <c r="L302" s="802" t="s">
        <v>10398</v>
      </c>
      <c r="M302" s="802" t="s">
        <v>12101</v>
      </c>
      <c r="N302" s="802" t="s">
        <v>12102</v>
      </c>
      <c r="O302" s="802" t="s">
        <v>12103</v>
      </c>
      <c r="P302" s="807" t="s">
        <v>12104</v>
      </c>
    </row>
    <row r="303" spans="1:16" s="341" customFormat="1" ht="51" customHeight="1">
      <c r="A303" s="806" t="s">
        <v>6473</v>
      </c>
      <c r="B303" s="800" t="s">
        <v>3852</v>
      </c>
      <c r="C303" s="800" t="s">
        <v>5042</v>
      </c>
      <c r="D303" s="800" t="s">
        <v>12105</v>
      </c>
      <c r="E303" s="801">
        <v>43013</v>
      </c>
      <c r="F303" s="800" t="s">
        <v>12106</v>
      </c>
      <c r="G303" s="800" t="s">
        <v>12107</v>
      </c>
      <c r="H303" s="800" t="s">
        <v>10404</v>
      </c>
      <c r="I303" s="800" t="s">
        <v>10404</v>
      </c>
      <c r="J303" s="800" t="s">
        <v>10447</v>
      </c>
      <c r="K303" s="800">
        <v>1</v>
      </c>
      <c r="L303" s="802" t="s">
        <v>10398</v>
      </c>
      <c r="M303" s="802" t="s">
        <v>12108</v>
      </c>
      <c r="N303" s="802" t="s">
        <v>12109</v>
      </c>
      <c r="O303" s="802" t="s">
        <v>12110</v>
      </c>
      <c r="P303" s="807" t="s">
        <v>12111</v>
      </c>
    </row>
    <row r="304" spans="1:16" s="341" customFormat="1" ht="51" customHeight="1">
      <c r="A304" s="806" t="s">
        <v>6473</v>
      </c>
      <c r="B304" s="800" t="s">
        <v>3852</v>
      </c>
      <c r="C304" s="800" t="s">
        <v>5042</v>
      </c>
      <c r="D304" s="800" t="s">
        <v>12112</v>
      </c>
      <c r="E304" s="801">
        <v>43013</v>
      </c>
      <c r="F304" s="800" t="s">
        <v>12113</v>
      </c>
      <c r="G304" s="800" t="s">
        <v>12114</v>
      </c>
      <c r="H304" s="800" t="s">
        <v>10404</v>
      </c>
      <c r="I304" s="800" t="s">
        <v>10404</v>
      </c>
      <c r="J304" s="800" t="s">
        <v>10447</v>
      </c>
      <c r="K304" s="800">
        <v>1</v>
      </c>
      <c r="L304" s="802" t="s">
        <v>10398</v>
      </c>
      <c r="M304" s="802" t="s">
        <v>12115</v>
      </c>
      <c r="N304" s="802" t="s">
        <v>12116</v>
      </c>
      <c r="O304" s="802" t="s">
        <v>12117</v>
      </c>
      <c r="P304" s="807" t="s">
        <v>12118</v>
      </c>
    </row>
    <row r="305" spans="1:16" s="341" customFormat="1" ht="51" customHeight="1">
      <c r="A305" s="806" t="s">
        <v>6473</v>
      </c>
      <c r="B305" s="800" t="s">
        <v>3852</v>
      </c>
      <c r="C305" s="800" t="s">
        <v>5042</v>
      </c>
      <c r="D305" s="800" t="s">
        <v>12119</v>
      </c>
      <c r="E305" s="801">
        <v>43013</v>
      </c>
      <c r="F305" s="800" t="s">
        <v>12120</v>
      </c>
      <c r="G305" s="800" t="s">
        <v>12121</v>
      </c>
      <c r="H305" s="800" t="s">
        <v>10433</v>
      </c>
      <c r="I305" s="800" t="s">
        <v>10433</v>
      </c>
      <c r="J305" s="800" t="s">
        <v>10447</v>
      </c>
      <c r="K305" s="800">
        <v>1</v>
      </c>
      <c r="L305" s="802" t="s">
        <v>10398</v>
      </c>
      <c r="M305" s="802" t="s">
        <v>32</v>
      </c>
      <c r="N305" s="802" t="s">
        <v>12122</v>
      </c>
      <c r="O305" s="802" t="s">
        <v>12123</v>
      </c>
      <c r="P305" s="807" t="s">
        <v>12124</v>
      </c>
    </row>
    <row r="306" spans="1:16" s="341" customFormat="1" ht="15" customHeight="1">
      <c r="A306" s="806" t="s">
        <v>6473</v>
      </c>
      <c r="B306" s="800" t="s">
        <v>3852</v>
      </c>
      <c r="C306" s="800" t="s">
        <v>5042</v>
      </c>
      <c r="D306" s="800" t="s">
        <v>12125</v>
      </c>
      <c r="E306" s="801">
        <v>43014</v>
      </c>
      <c r="F306" s="800" t="s">
        <v>12120</v>
      </c>
      <c r="G306" s="800" t="s">
        <v>12126</v>
      </c>
      <c r="H306" s="800" t="s">
        <v>10433</v>
      </c>
      <c r="I306" s="800" t="s">
        <v>10433</v>
      </c>
      <c r="J306" s="800" t="s">
        <v>10447</v>
      </c>
      <c r="K306" s="800">
        <v>1</v>
      </c>
      <c r="L306" s="802" t="s">
        <v>10398</v>
      </c>
      <c r="M306" s="802" t="s">
        <v>32</v>
      </c>
      <c r="N306" s="802" t="s">
        <v>12127</v>
      </c>
      <c r="O306" s="802" t="s">
        <v>12128</v>
      </c>
      <c r="P306" s="807" t="s">
        <v>12129</v>
      </c>
    </row>
    <row r="307" spans="1:16" s="341" customFormat="1" ht="25.5" customHeight="1">
      <c r="A307" s="806" t="s">
        <v>6473</v>
      </c>
      <c r="B307" s="800" t="s">
        <v>3852</v>
      </c>
      <c r="C307" s="800" t="s">
        <v>5042</v>
      </c>
      <c r="D307" s="800" t="s">
        <v>12130</v>
      </c>
      <c r="E307" s="801">
        <v>43014</v>
      </c>
      <c r="F307" s="800" t="s">
        <v>12120</v>
      </c>
      <c r="G307" s="800" t="s">
        <v>12131</v>
      </c>
      <c r="H307" s="800" t="s">
        <v>10433</v>
      </c>
      <c r="I307" s="800" t="s">
        <v>10433</v>
      </c>
      <c r="J307" s="800" t="s">
        <v>10447</v>
      </c>
      <c r="K307" s="800">
        <v>1</v>
      </c>
      <c r="L307" s="802" t="s">
        <v>10398</v>
      </c>
      <c r="M307" s="802" t="s">
        <v>12132</v>
      </c>
      <c r="N307" s="802" t="s">
        <v>12133</v>
      </c>
      <c r="O307" s="802" t="s">
        <v>12134</v>
      </c>
      <c r="P307" s="807" t="s">
        <v>12135</v>
      </c>
    </row>
    <row r="308" spans="1:16" s="341" customFormat="1" ht="25.5" customHeight="1">
      <c r="A308" s="806" t="s">
        <v>6473</v>
      </c>
      <c r="B308" s="800" t="s">
        <v>3852</v>
      </c>
      <c r="C308" s="800" t="s">
        <v>5042</v>
      </c>
      <c r="D308" s="800" t="s">
        <v>12136</v>
      </c>
      <c r="E308" s="801">
        <v>43014</v>
      </c>
      <c r="F308" s="800" t="s">
        <v>12120</v>
      </c>
      <c r="G308" s="800" t="s">
        <v>12137</v>
      </c>
      <c r="H308" s="800" t="s">
        <v>10433</v>
      </c>
      <c r="I308" s="800" t="s">
        <v>10433</v>
      </c>
      <c r="J308" s="800" t="s">
        <v>10447</v>
      </c>
      <c r="K308" s="800">
        <v>1</v>
      </c>
      <c r="L308" s="802" t="s">
        <v>10398</v>
      </c>
      <c r="M308" s="802" t="s">
        <v>32</v>
      </c>
      <c r="N308" s="802" t="s">
        <v>12138</v>
      </c>
      <c r="O308" s="802" t="s">
        <v>12139</v>
      </c>
      <c r="P308" s="807" t="s">
        <v>12124</v>
      </c>
    </row>
    <row r="309" spans="1:16" s="341" customFormat="1" ht="25.5" customHeight="1">
      <c r="A309" s="806" t="s">
        <v>6473</v>
      </c>
      <c r="B309" s="800" t="s">
        <v>3852</v>
      </c>
      <c r="C309" s="800" t="s">
        <v>5042</v>
      </c>
      <c r="D309" s="800" t="s">
        <v>12140</v>
      </c>
      <c r="E309" s="801">
        <v>43014</v>
      </c>
      <c r="F309" s="800" t="s">
        <v>12120</v>
      </c>
      <c r="G309" s="800" t="s">
        <v>12141</v>
      </c>
      <c r="H309" s="800" t="s">
        <v>10404</v>
      </c>
      <c r="I309" s="800" t="s">
        <v>10404</v>
      </c>
      <c r="J309" s="800" t="s">
        <v>10426</v>
      </c>
      <c r="K309" s="800">
        <v>1</v>
      </c>
      <c r="L309" s="802" t="s">
        <v>10398</v>
      </c>
      <c r="M309" s="802" t="s">
        <v>12142</v>
      </c>
      <c r="N309" s="802" t="s">
        <v>12143</v>
      </c>
      <c r="O309" s="802" t="s">
        <v>12144</v>
      </c>
      <c r="P309" s="807" t="s">
        <v>32</v>
      </c>
    </row>
    <row r="310" spans="1:16" s="341" customFormat="1" ht="25.5" customHeight="1">
      <c r="A310" s="806" t="s">
        <v>6473</v>
      </c>
      <c r="B310" s="800" t="s">
        <v>3852</v>
      </c>
      <c r="C310" s="800" t="s">
        <v>5038</v>
      </c>
      <c r="D310" s="800" t="s">
        <v>12145</v>
      </c>
      <c r="E310" s="801">
        <v>43013</v>
      </c>
      <c r="F310" s="800" t="s">
        <v>12146</v>
      </c>
      <c r="G310" s="800" t="s">
        <v>12147</v>
      </c>
      <c r="H310" s="800" t="s">
        <v>10404</v>
      </c>
      <c r="I310" s="800" t="s">
        <v>10404</v>
      </c>
      <c r="J310" s="800" t="s">
        <v>10664</v>
      </c>
      <c r="K310" s="800">
        <v>1</v>
      </c>
      <c r="L310" s="802" t="s">
        <v>10398</v>
      </c>
      <c r="M310" s="802" t="s">
        <v>12148</v>
      </c>
      <c r="N310" s="802" t="s">
        <v>12149</v>
      </c>
      <c r="O310" s="802" t="s">
        <v>12150</v>
      </c>
      <c r="P310" s="807" t="s">
        <v>12151</v>
      </c>
    </row>
    <row r="311" spans="1:16" s="341" customFormat="1" ht="38.25" customHeight="1">
      <c r="A311" s="806" t="s">
        <v>6473</v>
      </c>
      <c r="B311" s="800" t="s">
        <v>3852</v>
      </c>
      <c r="C311" s="800" t="s">
        <v>5038</v>
      </c>
      <c r="D311" s="800" t="s">
        <v>12152</v>
      </c>
      <c r="E311" s="801">
        <v>43013</v>
      </c>
      <c r="F311" s="800" t="s">
        <v>12146</v>
      </c>
      <c r="G311" s="800" t="s">
        <v>12153</v>
      </c>
      <c r="H311" s="800" t="s">
        <v>10404</v>
      </c>
      <c r="I311" s="800" t="s">
        <v>10404</v>
      </c>
      <c r="J311" s="800" t="s">
        <v>10664</v>
      </c>
      <c r="K311" s="800">
        <v>1</v>
      </c>
      <c r="L311" s="802" t="s">
        <v>10398</v>
      </c>
      <c r="M311" s="802" t="s">
        <v>12154</v>
      </c>
      <c r="N311" s="802" t="s">
        <v>12155</v>
      </c>
      <c r="O311" s="802" t="s">
        <v>12156</v>
      </c>
      <c r="P311" s="807" t="s">
        <v>12157</v>
      </c>
    </row>
    <row r="312" spans="1:16" s="341" customFormat="1" ht="15" customHeight="1">
      <c r="A312" s="806" t="s">
        <v>6473</v>
      </c>
      <c r="B312" s="800" t="s">
        <v>3770</v>
      </c>
      <c r="C312" s="800" t="s">
        <v>3825</v>
      </c>
      <c r="D312" s="800" t="s">
        <v>12158</v>
      </c>
      <c r="E312" s="801">
        <v>43046</v>
      </c>
      <c r="F312" s="800" t="s">
        <v>12159</v>
      </c>
      <c r="G312" s="800" t="s">
        <v>12160</v>
      </c>
      <c r="H312" s="800" t="s">
        <v>10404</v>
      </c>
      <c r="I312" s="800" t="s">
        <v>10404</v>
      </c>
      <c r="J312" s="800" t="s">
        <v>10405</v>
      </c>
      <c r="K312" s="800">
        <v>1</v>
      </c>
      <c r="L312" s="802" t="s">
        <v>10398</v>
      </c>
      <c r="M312" s="802" t="s">
        <v>12161</v>
      </c>
      <c r="N312" s="802" t="s">
        <v>12162</v>
      </c>
      <c r="O312" s="802" t="s">
        <v>12163</v>
      </c>
      <c r="P312" s="807" t="s">
        <v>12164</v>
      </c>
    </row>
    <row r="313" spans="1:16" s="341" customFormat="1" ht="25.5" customHeight="1">
      <c r="A313" s="806" t="s">
        <v>6473</v>
      </c>
      <c r="B313" s="800" t="s">
        <v>3770</v>
      </c>
      <c r="C313" s="800" t="s">
        <v>3825</v>
      </c>
      <c r="D313" s="800" t="s">
        <v>12165</v>
      </c>
      <c r="E313" s="801">
        <v>43062</v>
      </c>
      <c r="F313" s="800" t="s">
        <v>12166</v>
      </c>
      <c r="G313" s="800" t="s">
        <v>12167</v>
      </c>
      <c r="H313" s="800" t="s">
        <v>10531</v>
      </c>
      <c r="I313" s="800" t="s">
        <v>10531</v>
      </c>
      <c r="J313" s="800" t="s">
        <v>10447</v>
      </c>
      <c r="K313" s="800">
        <v>1</v>
      </c>
      <c r="L313" s="802" t="s">
        <v>10398</v>
      </c>
      <c r="M313" s="802" t="s">
        <v>12168</v>
      </c>
      <c r="N313" s="802" t="s">
        <v>10678</v>
      </c>
      <c r="O313" s="802" t="s">
        <v>12169</v>
      </c>
      <c r="P313" s="807" t="s">
        <v>12170</v>
      </c>
    </row>
    <row r="314" spans="1:16" s="341" customFormat="1" ht="15" customHeight="1">
      <c r="A314" s="806" t="s">
        <v>6473</v>
      </c>
      <c r="B314" s="800" t="s">
        <v>3770</v>
      </c>
      <c r="C314" s="800" t="s">
        <v>3825</v>
      </c>
      <c r="D314" s="800" t="s">
        <v>12171</v>
      </c>
      <c r="E314" s="801">
        <v>43062</v>
      </c>
      <c r="F314" s="800" t="s">
        <v>12172</v>
      </c>
      <c r="G314" s="800" t="s">
        <v>12173</v>
      </c>
      <c r="H314" s="800" t="s">
        <v>10433</v>
      </c>
      <c r="I314" s="800" t="s">
        <v>10433</v>
      </c>
      <c r="J314" s="800" t="s">
        <v>10447</v>
      </c>
      <c r="K314" s="800">
        <v>1</v>
      </c>
      <c r="L314" s="802" t="s">
        <v>10398</v>
      </c>
      <c r="M314" s="802" t="s">
        <v>12174</v>
      </c>
      <c r="N314" s="802" t="s">
        <v>12175</v>
      </c>
      <c r="O314" s="802" t="s">
        <v>12176</v>
      </c>
      <c r="P314" s="807" t="s">
        <v>12177</v>
      </c>
    </row>
    <row r="315" spans="1:16" s="341" customFormat="1" ht="15" customHeight="1">
      <c r="A315" s="806" t="s">
        <v>6473</v>
      </c>
      <c r="B315" s="800" t="s">
        <v>3770</v>
      </c>
      <c r="C315" s="800" t="s">
        <v>3825</v>
      </c>
      <c r="D315" s="800" t="s">
        <v>12178</v>
      </c>
      <c r="E315" s="801">
        <v>43062</v>
      </c>
      <c r="F315" s="800" t="s">
        <v>12179</v>
      </c>
      <c r="G315" s="800" t="s">
        <v>12180</v>
      </c>
      <c r="H315" s="800" t="s">
        <v>10404</v>
      </c>
      <c r="I315" s="800" t="s">
        <v>10404</v>
      </c>
      <c r="J315" s="800" t="s">
        <v>10405</v>
      </c>
      <c r="K315" s="800">
        <v>1</v>
      </c>
      <c r="L315" s="802" t="s">
        <v>10398</v>
      </c>
      <c r="M315" s="802" t="s">
        <v>32</v>
      </c>
      <c r="N315" s="802" t="s">
        <v>12181</v>
      </c>
      <c r="O315" s="802" t="s">
        <v>12182</v>
      </c>
      <c r="P315" s="807" t="s">
        <v>12183</v>
      </c>
    </row>
    <row r="316" spans="1:16" s="341" customFormat="1" ht="25.5" customHeight="1">
      <c r="A316" s="806" t="s">
        <v>6473</v>
      </c>
      <c r="B316" s="800" t="s">
        <v>3770</v>
      </c>
      <c r="C316" s="800" t="s">
        <v>3825</v>
      </c>
      <c r="D316" s="800" t="s">
        <v>12184</v>
      </c>
      <c r="E316" s="801">
        <v>43063</v>
      </c>
      <c r="F316" s="800" t="s">
        <v>5247</v>
      </c>
      <c r="G316" s="800" t="s">
        <v>12185</v>
      </c>
      <c r="H316" s="800" t="s">
        <v>10531</v>
      </c>
      <c r="I316" s="800" t="s">
        <v>10531</v>
      </c>
      <c r="J316" s="800" t="s">
        <v>10447</v>
      </c>
      <c r="K316" s="800">
        <v>1</v>
      </c>
      <c r="L316" s="802" t="s">
        <v>10398</v>
      </c>
      <c r="M316" s="802" t="s">
        <v>12186</v>
      </c>
      <c r="N316" s="802" t="s">
        <v>12187</v>
      </c>
      <c r="O316" s="802" t="s">
        <v>12188</v>
      </c>
      <c r="P316" s="807" t="s">
        <v>12189</v>
      </c>
    </row>
    <row r="317" spans="1:16" s="341" customFormat="1" ht="25.5" customHeight="1">
      <c r="A317" s="806" t="s">
        <v>6473</v>
      </c>
      <c r="B317" s="800" t="s">
        <v>3770</v>
      </c>
      <c r="C317" s="800" t="s">
        <v>3825</v>
      </c>
      <c r="D317" s="800" t="s">
        <v>12190</v>
      </c>
      <c r="E317" s="801">
        <v>43063</v>
      </c>
      <c r="F317" s="800" t="s">
        <v>12191</v>
      </c>
      <c r="G317" s="800" t="s">
        <v>12192</v>
      </c>
      <c r="H317" s="800" t="s">
        <v>10404</v>
      </c>
      <c r="I317" s="800" t="s">
        <v>10404</v>
      </c>
      <c r="J317" s="800" t="s">
        <v>10664</v>
      </c>
      <c r="K317" s="800">
        <v>1</v>
      </c>
      <c r="L317" s="802" t="s">
        <v>10398</v>
      </c>
      <c r="M317" s="802" t="s">
        <v>12193</v>
      </c>
      <c r="N317" s="802" t="s">
        <v>12194</v>
      </c>
      <c r="O317" s="802" t="s">
        <v>12195</v>
      </c>
      <c r="P317" s="807" t="s">
        <v>12196</v>
      </c>
    </row>
    <row r="318" spans="1:16" s="341" customFormat="1" ht="38.25" customHeight="1">
      <c r="A318" s="806" t="s">
        <v>6473</v>
      </c>
      <c r="B318" s="800" t="s">
        <v>3770</v>
      </c>
      <c r="C318" s="800" t="s">
        <v>3825</v>
      </c>
      <c r="D318" s="800" t="s">
        <v>12197</v>
      </c>
      <c r="E318" s="801">
        <v>43063</v>
      </c>
      <c r="F318" s="800" t="s">
        <v>12198</v>
      </c>
      <c r="G318" s="800" t="s">
        <v>12199</v>
      </c>
      <c r="H318" s="800" t="s">
        <v>10404</v>
      </c>
      <c r="I318" s="800" t="s">
        <v>10404</v>
      </c>
      <c r="J318" s="800" t="s">
        <v>10664</v>
      </c>
      <c r="K318" s="800">
        <v>1</v>
      </c>
      <c r="L318" s="802" t="s">
        <v>10398</v>
      </c>
      <c r="M318" s="802" t="s">
        <v>12200</v>
      </c>
      <c r="N318" s="802" t="s">
        <v>12201</v>
      </c>
      <c r="O318" s="802" t="s">
        <v>12202</v>
      </c>
      <c r="P318" s="807" t="s">
        <v>32</v>
      </c>
    </row>
    <row r="319" spans="1:16" s="341" customFormat="1" ht="38.25" customHeight="1">
      <c r="A319" s="806" t="s">
        <v>6473</v>
      </c>
      <c r="B319" s="800" t="s">
        <v>3770</v>
      </c>
      <c r="C319" s="800" t="s">
        <v>3825</v>
      </c>
      <c r="D319" s="800" t="s">
        <v>12203</v>
      </c>
      <c r="E319" s="801">
        <v>43062</v>
      </c>
      <c r="F319" s="800" t="s">
        <v>891</v>
      </c>
      <c r="G319" s="800" t="s">
        <v>12204</v>
      </c>
      <c r="H319" s="800" t="s">
        <v>10404</v>
      </c>
      <c r="I319" s="800" t="s">
        <v>10404</v>
      </c>
      <c r="J319" s="800" t="s">
        <v>10426</v>
      </c>
      <c r="K319" s="800">
        <v>1</v>
      </c>
      <c r="L319" s="802" t="s">
        <v>10398</v>
      </c>
      <c r="M319" s="802" t="s">
        <v>12205</v>
      </c>
      <c r="N319" s="802" t="s">
        <v>12206</v>
      </c>
      <c r="O319" s="802" t="s">
        <v>12207</v>
      </c>
      <c r="P319" s="807" t="s">
        <v>12208</v>
      </c>
    </row>
    <row r="320" spans="1:16" s="341" customFormat="1" ht="38.25" customHeight="1">
      <c r="A320" s="806" t="s">
        <v>6473</v>
      </c>
      <c r="B320" s="800" t="s">
        <v>3770</v>
      </c>
      <c r="C320" s="800" t="s">
        <v>3825</v>
      </c>
      <c r="D320" s="800" t="s">
        <v>12209</v>
      </c>
      <c r="E320" s="801">
        <v>43062</v>
      </c>
      <c r="F320" s="800" t="s">
        <v>12210</v>
      </c>
      <c r="G320" s="800" t="s">
        <v>12211</v>
      </c>
      <c r="H320" s="800" t="s">
        <v>10433</v>
      </c>
      <c r="I320" s="800" t="s">
        <v>10433</v>
      </c>
      <c r="J320" s="800" t="s">
        <v>10447</v>
      </c>
      <c r="K320" s="800">
        <v>1</v>
      </c>
      <c r="L320" s="802" t="s">
        <v>10398</v>
      </c>
      <c r="M320" s="802" t="s">
        <v>12212</v>
      </c>
      <c r="N320" s="802" t="s">
        <v>12213</v>
      </c>
      <c r="O320" s="802" t="s">
        <v>12214</v>
      </c>
      <c r="P320" s="807" t="s">
        <v>12215</v>
      </c>
    </row>
    <row r="321" spans="1:16" s="341" customFormat="1" ht="25.5" customHeight="1">
      <c r="A321" s="806" t="s">
        <v>6473</v>
      </c>
      <c r="B321" s="800" t="s">
        <v>3770</v>
      </c>
      <c r="C321" s="800" t="s">
        <v>3825</v>
      </c>
      <c r="D321" s="800" t="s">
        <v>12216</v>
      </c>
      <c r="E321" s="801">
        <v>43062</v>
      </c>
      <c r="F321" s="800" t="s">
        <v>12179</v>
      </c>
      <c r="G321" s="800" t="s">
        <v>12217</v>
      </c>
      <c r="H321" s="800" t="s">
        <v>10433</v>
      </c>
      <c r="I321" s="800" t="s">
        <v>10433</v>
      </c>
      <c r="J321" s="800" t="s">
        <v>10447</v>
      </c>
      <c r="K321" s="800">
        <v>1</v>
      </c>
      <c r="L321" s="802" t="s">
        <v>10398</v>
      </c>
      <c r="M321" s="802" t="s">
        <v>12218</v>
      </c>
      <c r="N321" s="802" t="s">
        <v>11970</v>
      </c>
      <c r="O321" s="802" t="s">
        <v>12219</v>
      </c>
      <c r="P321" s="807" t="s">
        <v>12220</v>
      </c>
    </row>
    <row r="322" spans="1:16" s="341" customFormat="1" ht="25.5" customHeight="1">
      <c r="A322" s="806" t="s">
        <v>6473</v>
      </c>
      <c r="B322" s="800" t="s">
        <v>3770</v>
      </c>
      <c r="C322" s="800" t="s">
        <v>3825</v>
      </c>
      <c r="D322" s="800" t="s">
        <v>12221</v>
      </c>
      <c r="E322" s="801">
        <v>43062</v>
      </c>
      <c r="F322" s="800" t="s">
        <v>12222</v>
      </c>
      <c r="G322" s="800" t="s">
        <v>12223</v>
      </c>
      <c r="H322" s="800" t="s">
        <v>10531</v>
      </c>
      <c r="I322" s="800" t="s">
        <v>10531</v>
      </c>
      <c r="J322" s="800" t="s">
        <v>10447</v>
      </c>
      <c r="K322" s="800">
        <v>1</v>
      </c>
      <c r="L322" s="802" t="s">
        <v>10398</v>
      </c>
      <c r="M322" s="802" t="s">
        <v>12224</v>
      </c>
      <c r="N322" s="802" t="s">
        <v>10654</v>
      </c>
      <c r="O322" s="802" t="s">
        <v>12219</v>
      </c>
      <c r="P322" s="807" t="s">
        <v>12215</v>
      </c>
    </row>
    <row r="323" spans="1:16" s="341" customFormat="1" ht="15" customHeight="1">
      <c r="A323" s="806" t="s">
        <v>6473</v>
      </c>
      <c r="B323" s="800" t="s">
        <v>3770</v>
      </c>
      <c r="C323" s="800" t="s">
        <v>3825</v>
      </c>
      <c r="D323" s="800" t="s">
        <v>12225</v>
      </c>
      <c r="E323" s="801">
        <v>43062</v>
      </c>
      <c r="F323" s="800" t="s">
        <v>12226</v>
      </c>
      <c r="G323" s="800" t="s">
        <v>12227</v>
      </c>
      <c r="H323" s="800" t="s">
        <v>10404</v>
      </c>
      <c r="I323" s="800" t="s">
        <v>10404</v>
      </c>
      <c r="J323" s="800" t="s">
        <v>10447</v>
      </c>
      <c r="K323" s="800">
        <v>1</v>
      </c>
      <c r="L323" s="802" t="s">
        <v>10398</v>
      </c>
      <c r="M323" s="802" t="s">
        <v>12228</v>
      </c>
      <c r="N323" s="802" t="s">
        <v>12229</v>
      </c>
      <c r="O323" s="802" t="s">
        <v>12230</v>
      </c>
      <c r="P323" s="807" t="s">
        <v>12231</v>
      </c>
    </row>
    <row r="324" spans="1:16" s="341" customFormat="1" ht="15" customHeight="1">
      <c r="A324" s="806" t="s">
        <v>6473</v>
      </c>
      <c r="B324" s="800" t="s">
        <v>3770</v>
      </c>
      <c r="C324" s="800" t="s">
        <v>3825</v>
      </c>
      <c r="D324" s="800" t="s">
        <v>12232</v>
      </c>
      <c r="E324" s="801">
        <v>43048</v>
      </c>
      <c r="F324" s="800" t="s">
        <v>12233</v>
      </c>
      <c r="G324" s="800" t="s">
        <v>12234</v>
      </c>
      <c r="H324" s="800" t="s">
        <v>10404</v>
      </c>
      <c r="I324" s="800" t="s">
        <v>10404</v>
      </c>
      <c r="J324" s="800" t="s">
        <v>10405</v>
      </c>
      <c r="K324" s="800">
        <v>1</v>
      </c>
      <c r="L324" s="802" t="s">
        <v>10398</v>
      </c>
      <c r="M324" s="802" t="s">
        <v>12235</v>
      </c>
      <c r="N324" s="802" t="s">
        <v>12236</v>
      </c>
      <c r="O324" s="802" t="s">
        <v>12237</v>
      </c>
      <c r="P324" s="807" t="s">
        <v>12238</v>
      </c>
    </row>
    <row r="325" spans="1:16" s="341" customFormat="1" ht="25.5" customHeight="1">
      <c r="A325" s="806" t="s">
        <v>6473</v>
      </c>
      <c r="B325" s="800" t="s">
        <v>3770</v>
      </c>
      <c r="C325" s="800" t="s">
        <v>3825</v>
      </c>
      <c r="D325" s="800" t="s">
        <v>12239</v>
      </c>
      <c r="E325" s="801">
        <v>43068</v>
      </c>
      <c r="F325" s="800" t="s">
        <v>12092</v>
      </c>
      <c r="G325" s="800" t="s">
        <v>12240</v>
      </c>
      <c r="H325" s="800" t="s">
        <v>10404</v>
      </c>
      <c r="I325" s="800" t="s">
        <v>10404</v>
      </c>
      <c r="J325" s="800" t="s">
        <v>10426</v>
      </c>
      <c r="K325" s="800">
        <v>1</v>
      </c>
      <c r="L325" s="802" t="s">
        <v>10398</v>
      </c>
      <c r="M325" s="802" t="s">
        <v>12241</v>
      </c>
      <c r="N325" s="802" t="s">
        <v>12242</v>
      </c>
      <c r="O325" s="802" t="s">
        <v>12243</v>
      </c>
      <c r="P325" s="807" t="s">
        <v>12244</v>
      </c>
    </row>
    <row r="326" spans="1:16" s="341" customFormat="1" ht="25.5" customHeight="1">
      <c r="A326" s="806" t="s">
        <v>6473</v>
      </c>
      <c r="B326" s="800" t="s">
        <v>3770</v>
      </c>
      <c r="C326" s="800" t="s">
        <v>3825</v>
      </c>
      <c r="D326" s="800" t="s">
        <v>12245</v>
      </c>
      <c r="E326" s="801">
        <v>43068</v>
      </c>
      <c r="F326" s="800" t="s">
        <v>12092</v>
      </c>
      <c r="G326" s="800" t="s">
        <v>12246</v>
      </c>
      <c r="H326" s="800" t="s">
        <v>10404</v>
      </c>
      <c r="I326" s="800" t="s">
        <v>10404</v>
      </c>
      <c r="J326" s="800" t="s">
        <v>10426</v>
      </c>
      <c r="K326" s="800">
        <v>1</v>
      </c>
      <c r="L326" s="802" t="s">
        <v>10398</v>
      </c>
      <c r="M326" s="802" t="s">
        <v>12247</v>
      </c>
      <c r="N326" s="802" t="s">
        <v>10902</v>
      </c>
      <c r="O326" s="802" t="s">
        <v>12248</v>
      </c>
      <c r="P326" s="807" t="s">
        <v>12249</v>
      </c>
    </row>
    <row r="327" spans="1:16" s="341" customFormat="1" ht="25.5" customHeight="1">
      <c r="A327" s="806" t="s">
        <v>6473</v>
      </c>
      <c r="B327" s="800" t="s">
        <v>3770</v>
      </c>
      <c r="C327" s="800" t="s">
        <v>3825</v>
      </c>
      <c r="D327" s="800" t="s">
        <v>12250</v>
      </c>
      <c r="E327" s="801">
        <v>43066</v>
      </c>
      <c r="F327" s="800" t="s">
        <v>12251</v>
      </c>
      <c r="G327" s="800" t="s">
        <v>12252</v>
      </c>
      <c r="H327" s="800" t="s">
        <v>10404</v>
      </c>
      <c r="I327" s="800" t="s">
        <v>10404</v>
      </c>
      <c r="J327" s="800" t="s">
        <v>10426</v>
      </c>
      <c r="K327" s="800">
        <v>1</v>
      </c>
      <c r="L327" s="802" t="s">
        <v>10398</v>
      </c>
      <c r="M327" s="802" t="s">
        <v>12253</v>
      </c>
      <c r="N327" s="802" t="s">
        <v>12254</v>
      </c>
      <c r="O327" s="802" t="s">
        <v>12255</v>
      </c>
      <c r="P327" s="807" t="s">
        <v>12256</v>
      </c>
    </row>
    <row r="328" spans="1:16" s="341" customFormat="1" ht="25.5" customHeight="1">
      <c r="A328" s="806" t="s">
        <v>6473</v>
      </c>
      <c r="B328" s="800" t="s">
        <v>3770</v>
      </c>
      <c r="C328" s="800" t="s">
        <v>3825</v>
      </c>
      <c r="D328" s="800" t="s">
        <v>12257</v>
      </c>
      <c r="E328" s="801">
        <v>43077</v>
      </c>
      <c r="F328" s="800" t="s">
        <v>5951</v>
      </c>
      <c r="G328" s="800" t="s">
        <v>12258</v>
      </c>
      <c r="H328" s="800" t="s">
        <v>10531</v>
      </c>
      <c r="I328" s="800" t="s">
        <v>10531</v>
      </c>
      <c r="J328" s="800" t="s">
        <v>10447</v>
      </c>
      <c r="K328" s="800">
        <v>1</v>
      </c>
      <c r="L328" s="802" t="s">
        <v>10398</v>
      </c>
      <c r="M328" s="802" t="s">
        <v>12259</v>
      </c>
      <c r="N328" s="802" t="s">
        <v>12260</v>
      </c>
      <c r="O328" s="802" t="s">
        <v>12261</v>
      </c>
      <c r="P328" s="807" t="s">
        <v>12262</v>
      </c>
    </row>
    <row r="329" spans="1:16" s="341" customFormat="1" ht="25.5" customHeight="1">
      <c r="A329" s="806" t="s">
        <v>6473</v>
      </c>
      <c r="B329" s="800" t="s">
        <v>3770</v>
      </c>
      <c r="C329" s="800" t="s">
        <v>3825</v>
      </c>
      <c r="D329" s="800" t="s">
        <v>12263</v>
      </c>
      <c r="E329" s="800"/>
      <c r="F329" s="800" t="s">
        <v>12264</v>
      </c>
      <c r="G329" s="800" t="s">
        <v>12265</v>
      </c>
      <c r="H329" s="800" t="s">
        <v>10531</v>
      </c>
      <c r="I329" s="800" t="s">
        <v>10531</v>
      </c>
      <c r="J329" s="800" t="s">
        <v>10447</v>
      </c>
      <c r="K329" s="800">
        <v>1</v>
      </c>
      <c r="L329" s="802" t="s">
        <v>10398</v>
      </c>
      <c r="M329" s="802" t="s">
        <v>12266</v>
      </c>
      <c r="N329" s="802" t="s">
        <v>12267</v>
      </c>
      <c r="O329" s="802" t="s">
        <v>12268</v>
      </c>
      <c r="P329" s="807" t="s">
        <v>12269</v>
      </c>
    </row>
    <row r="330" spans="1:16" s="341" customFormat="1" ht="15" customHeight="1">
      <c r="A330" s="806" t="s">
        <v>6473</v>
      </c>
      <c r="B330" s="800" t="s">
        <v>3770</v>
      </c>
      <c r="C330" s="800" t="s">
        <v>3825</v>
      </c>
      <c r="D330" s="800" t="s">
        <v>12270</v>
      </c>
      <c r="E330" s="801">
        <v>43077</v>
      </c>
      <c r="F330" s="800" t="s">
        <v>12271</v>
      </c>
      <c r="G330" s="800" t="s">
        <v>12272</v>
      </c>
      <c r="H330" s="800" t="s">
        <v>10396</v>
      </c>
      <c r="I330" s="800" t="s">
        <v>10396</v>
      </c>
      <c r="J330" s="800" t="s">
        <v>10447</v>
      </c>
      <c r="K330" s="800">
        <v>1</v>
      </c>
      <c r="L330" s="802" t="s">
        <v>10398</v>
      </c>
      <c r="M330" s="802" t="s">
        <v>12273</v>
      </c>
      <c r="N330" s="802" t="s">
        <v>12274</v>
      </c>
      <c r="O330" s="802" t="s">
        <v>12275</v>
      </c>
      <c r="P330" s="807" t="s">
        <v>12276</v>
      </c>
    </row>
    <row r="331" spans="1:16" s="341" customFormat="1" ht="15" customHeight="1">
      <c r="A331" s="806" t="s">
        <v>6473</v>
      </c>
      <c r="B331" s="800" t="s">
        <v>3770</v>
      </c>
      <c r="C331" s="800" t="s">
        <v>3825</v>
      </c>
      <c r="D331" s="800" t="s">
        <v>12277</v>
      </c>
      <c r="E331" s="801">
        <v>43077</v>
      </c>
      <c r="F331" s="800" t="s">
        <v>12271</v>
      </c>
      <c r="G331" s="800" t="s">
        <v>12278</v>
      </c>
      <c r="H331" s="800" t="s">
        <v>10396</v>
      </c>
      <c r="I331" s="800" t="s">
        <v>10396</v>
      </c>
      <c r="J331" s="800" t="s">
        <v>10447</v>
      </c>
      <c r="K331" s="800">
        <v>1</v>
      </c>
      <c r="L331" s="802" t="s">
        <v>10398</v>
      </c>
      <c r="M331" s="802" t="s">
        <v>12279</v>
      </c>
      <c r="N331" s="802" t="s">
        <v>12280</v>
      </c>
      <c r="O331" s="802" t="s">
        <v>12281</v>
      </c>
      <c r="P331" s="807" t="s">
        <v>12282</v>
      </c>
    </row>
    <row r="332" spans="1:16" s="341" customFormat="1" ht="25.5" customHeight="1">
      <c r="A332" s="806" t="s">
        <v>6473</v>
      </c>
      <c r="B332" s="800" t="s">
        <v>3770</v>
      </c>
      <c r="C332" s="800" t="s">
        <v>3825</v>
      </c>
      <c r="D332" s="800" t="s">
        <v>12283</v>
      </c>
      <c r="E332" s="801">
        <v>43077</v>
      </c>
      <c r="F332" s="800" t="s">
        <v>5951</v>
      </c>
      <c r="G332" s="800" t="s">
        <v>12284</v>
      </c>
      <c r="H332" s="800" t="s">
        <v>10396</v>
      </c>
      <c r="I332" s="800" t="s">
        <v>10396</v>
      </c>
      <c r="J332" s="800" t="s">
        <v>10447</v>
      </c>
      <c r="K332" s="800">
        <v>1</v>
      </c>
      <c r="L332" s="802" t="s">
        <v>10398</v>
      </c>
      <c r="M332" s="802" t="s">
        <v>12285</v>
      </c>
      <c r="N332" s="802" t="s">
        <v>12286</v>
      </c>
      <c r="O332" s="802" t="s">
        <v>12287</v>
      </c>
      <c r="P332" s="807" t="s">
        <v>12288</v>
      </c>
    </row>
    <row r="333" spans="1:16" s="341" customFormat="1" ht="15" customHeight="1">
      <c r="A333" s="806" t="s">
        <v>6473</v>
      </c>
      <c r="B333" s="800" t="s">
        <v>3770</v>
      </c>
      <c r="C333" s="800" t="s">
        <v>3825</v>
      </c>
      <c r="D333" s="800" t="s">
        <v>12289</v>
      </c>
      <c r="E333" s="801">
        <v>43077</v>
      </c>
      <c r="F333" s="800" t="s">
        <v>12290</v>
      </c>
      <c r="G333" s="800" t="s">
        <v>12291</v>
      </c>
      <c r="H333" s="800" t="s">
        <v>10396</v>
      </c>
      <c r="I333" s="800" t="s">
        <v>10396</v>
      </c>
      <c r="J333" s="800" t="s">
        <v>10447</v>
      </c>
      <c r="K333" s="800">
        <v>1</v>
      </c>
      <c r="L333" s="802" t="s">
        <v>10398</v>
      </c>
      <c r="M333" s="802" t="s">
        <v>12292</v>
      </c>
      <c r="N333" s="802" t="s">
        <v>12293</v>
      </c>
      <c r="O333" s="802" t="s">
        <v>12294</v>
      </c>
      <c r="P333" s="807" t="s">
        <v>12276</v>
      </c>
    </row>
    <row r="334" spans="1:16" s="341" customFormat="1" ht="15" customHeight="1">
      <c r="A334" s="806" t="s">
        <v>6473</v>
      </c>
      <c r="B334" s="800" t="s">
        <v>3770</v>
      </c>
      <c r="C334" s="800" t="s">
        <v>3825</v>
      </c>
      <c r="D334" s="800" t="s">
        <v>12295</v>
      </c>
      <c r="E334" s="801">
        <v>43077</v>
      </c>
      <c r="F334" s="800" t="s">
        <v>5951</v>
      </c>
      <c r="G334" s="800" t="s">
        <v>12296</v>
      </c>
      <c r="H334" s="800" t="s">
        <v>10404</v>
      </c>
      <c r="I334" s="800" t="s">
        <v>10404</v>
      </c>
      <c r="J334" s="800" t="s">
        <v>10447</v>
      </c>
      <c r="K334" s="800">
        <v>1</v>
      </c>
      <c r="L334" s="802" t="s">
        <v>10398</v>
      </c>
      <c r="M334" s="802" t="s">
        <v>12297</v>
      </c>
      <c r="N334" s="802" t="s">
        <v>12298</v>
      </c>
      <c r="O334" s="802" t="s">
        <v>12287</v>
      </c>
      <c r="P334" s="807" t="s">
        <v>12299</v>
      </c>
    </row>
    <row r="335" spans="1:16" s="341" customFormat="1" ht="15" customHeight="1">
      <c r="A335" s="806" t="s">
        <v>6473</v>
      </c>
      <c r="B335" s="800" t="s">
        <v>3770</v>
      </c>
      <c r="C335" s="800" t="s">
        <v>3825</v>
      </c>
      <c r="D335" s="800" t="s">
        <v>12300</v>
      </c>
      <c r="E335" s="801">
        <v>43077</v>
      </c>
      <c r="F335" s="800" t="s">
        <v>12271</v>
      </c>
      <c r="G335" s="800" t="s">
        <v>12301</v>
      </c>
      <c r="H335" s="800" t="s">
        <v>10396</v>
      </c>
      <c r="I335" s="800" t="s">
        <v>10396</v>
      </c>
      <c r="J335" s="800" t="s">
        <v>10447</v>
      </c>
      <c r="K335" s="800">
        <v>1</v>
      </c>
      <c r="L335" s="802" t="s">
        <v>10398</v>
      </c>
      <c r="M335" s="802" t="s">
        <v>12302</v>
      </c>
      <c r="N335" s="802" t="s">
        <v>12303</v>
      </c>
      <c r="O335" s="802" t="s">
        <v>12304</v>
      </c>
      <c r="P335" s="807" t="s">
        <v>12305</v>
      </c>
    </row>
    <row r="336" spans="1:16" s="341" customFormat="1" ht="15" customHeight="1">
      <c r="A336" s="806" t="s">
        <v>6473</v>
      </c>
      <c r="B336" s="800" t="s">
        <v>3770</v>
      </c>
      <c r="C336" s="800" t="s">
        <v>3825</v>
      </c>
      <c r="D336" s="800" t="s">
        <v>12306</v>
      </c>
      <c r="E336" s="801">
        <v>43077</v>
      </c>
      <c r="F336" s="800" t="s">
        <v>12307</v>
      </c>
      <c r="G336" s="800" t="s">
        <v>12308</v>
      </c>
      <c r="H336" s="800" t="s">
        <v>10404</v>
      </c>
      <c r="I336" s="800" t="s">
        <v>10404</v>
      </c>
      <c r="J336" s="800" t="s">
        <v>10447</v>
      </c>
      <c r="K336" s="800">
        <v>1</v>
      </c>
      <c r="L336" s="802" t="s">
        <v>10398</v>
      </c>
      <c r="M336" s="802" t="s">
        <v>12309</v>
      </c>
      <c r="N336" s="802" t="s">
        <v>12310</v>
      </c>
      <c r="O336" s="802" t="s">
        <v>12311</v>
      </c>
      <c r="P336" s="807" t="s">
        <v>12312</v>
      </c>
    </row>
    <row r="337" spans="1:16" s="341" customFormat="1" ht="15" customHeight="1">
      <c r="A337" s="806" t="s">
        <v>6473</v>
      </c>
      <c r="B337" s="800" t="s">
        <v>3770</v>
      </c>
      <c r="C337" s="800" t="s">
        <v>3825</v>
      </c>
      <c r="D337" s="800" t="s">
        <v>12313</v>
      </c>
      <c r="E337" s="801">
        <v>43077</v>
      </c>
      <c r="F337" s="800" t="s">
        <v>12307</v>
      </c>
      <c r="G337" s="800" t="s">
        <v>12314</v>
      </c>
      <c r="H337" s="800" t="s">
        <v>10531</v>
      </c>
      <c r="I337" s="800" t="s">
        <v>10531</v>
      </c>
      <c r="J337" s="800" t="s">
        <v>10447</v>
      </c>
      <c r="K337" s="800">
        <v>1</v>
      </c>
      <c r="L337" s="802" t="s">
        <v>11045</v>
      </c>
      <c r="M337" s="802" t="s">
        <v>12315</v>
      </c>
      <c r="N337" s="802" t="s">
        <v>12316</v>
      </c>
      <c r="O337" s="802" t="s">
        <v>12317</v>
      </c>
      <c r="P337" s="807" t="s">
        <v>12318</v>
      </c>
    </row>
    <row r="338" spans="1:16" s="341" customFormat="1" ht="15" customHeight="1">
      <c r="A338" s="806" t="s">
        <v>6473</v>
      </c>
      <c r="B338" s="800" t="s">
        <v>3770</v>
      </c>
      <c r="C338" s="800" t="s">
        <v>3825</v>
      </c>
      <c r="D338" s="800" t="s">
        <v>12319</v>
      </c>
      <c r="E338" s="801">
        <v>43067</v>
      </c>
      <c r="F338" s="800" t="s">
        <v>12320</v>
      </c>
      <c r="G338" s="800" t="s">
        <v>12321</v>
      </c>
      <c r="H338" s="800" t="s">
        <v>10531</v>
      </c>
      <c r="I338" s="800" t="s">
        <v>10531</v>
      </c>
      <c r="J338" s="800" t="s">
        <v>10447</v>
      </c>
      <c r="K338" s="800">
        <v>1</v>
      </c>
      <c r="L338" s="802" t="s">
        <v>10398</v>
      </c>
      <c r="M338" s="802" t="s">
        <v>12322</v>
      </c>
      <c r="N338" s="802" t="s">
        <v>10848</v>
      </c>
      <c r="O338" s="802" t="s">
        <v>12323</v>
      </c>
      <c r="P338" s="807" t="s">
        <v>12324</v>
      </c>
    </row>
    <row r="339" spans="1:16" s="341" customFormat="1" ht="25.5" customHeight="1">
      <c r="A339" s="806" t="s">
        <v>6473</v>
      </c>
      <c r="B339" s="800" t="s">
        <v>3770</v>
      </c>
      <c r="C339" s="800" t="s">
        <v>3825</v>
      </c>
      <c r="D339" s="800" t="s">
        <v>12325</v>
      </c>
      <c r="E339" s="801">
        <v>43063</v>
      </c>
      <c r="F339" s="800" t="s">
        <v>6297</v>
      </c>
      <c r="G339" s="800" t="s">
        <v>12326</v>
      </c>
      <c r="H339" s="800" t="s">
        <v>10404</v>
      </c>
      <c r="I339" s="800" t="s">
        <v>10404</v>
      </c>
      <c r="J339" s="800" t="s">
        <v>10447</v>
      </c>
      <c r="K339" s="800">
        <v>1</v>
      </c>
      <c r="L339" s="802" t="s">
        <v>10398</v>
      </c>
      <c r="M339" s="802" t="s">
        <v>12327</v>
      </c>
      <c r="N339" s="802" t="s">
        <v>12328</v>
      </c>
      <c r="O339" s="802" t="s">
        <v>12329</v>
      </c>
      <c r="P339" s="807" t="s">
        <v>12330</v>
      </c>
    </row>
    <row r="340" spans="1:16" s="341" customFormat="1" ht="15" customHeight="1">
      <c r="A340" s="806" t="s">
        <v>6473</v>
      </c>
      <c r="B340" s="800" t="s">
        <v>3770</v>
      </c>
      <c r="C340" s="800" t="s">
        <v>3825</v>
      </c>
      <c r="D340" s="800" t="s">
        <v>12331</v>
      </c>
      <c r="E340" s="801">
        <v>43067</v>
      </c>
      <c r="F340" s="800" t="s">
        <v>12320</v>
      </c>
      <c r="G340" s="800" t="s">
        <v>12332</v>
      </c>
      <c r="H340" s="800" t="s">
        <v>10404</v>
      </c>
      <c r="I340" s="800" t="s">
        <v>10404</v>
      </c>
      <c r="J340" s="800" t="s">
        <v>10426</v>
      </c>
      <c r="K340" s="800">
        <v>2</v>
      </c>
      <c r="L340" s="802" t="s">
        <v>10398</v>
      </c>
      <c r="M340" s="802" t="s">
        <v>12333</v>
      </c>
      <c r="N340" s="802" t="s">
        <v>12334</v>
      </c>
      <c r="O340" s="802" t="s">
        <v>12335</v>
      </c>
      <c r="P340" s="807" t="s">
        <v>12336</v>
      </c>
    </row>
    <row r="341" spans="1:16" s="341" customFormat="1" ht="38.25" customHeight="1">
      <c r="A341" s="806" t="s">
        <v>6473</v>
      </c>
      <c r="B341" s="800" t="s">
        <v>3770</v>
      </c>
      <c r="C341" s="800" t="s">
        <v>3825</v>
      </c>
      <c r="D341" s="800" t="s">
        <v>12331</v>
      </c>
      <c r="E341" s="801">
        <v>43067</v>
      </c>
      <c r="F341" s="800" t="s">
        <v>12320</v>
      </c>
      <c r="G341" s="800" t="s">
        <v>12332</v>
      </c>
      <c r="H341" s="800" t="s">
        <v>10404</v>
      </c>
      <c r="I341" s="800" t="s">
        <v>10404</v>
      </c>
      <c r="J341" s="800" t="s">
        <v>10426</v>
      </c>
      <c r="K341" s="800">
        <v>2</v>
      </c>
      <c r="L341" s="802" t="s">
        <v>10398</v>
      </c>
      <c r="M341" s="802" t="s">
        <v>32</v>
      </c>
      <c r="N341" s="802" t="s">
        <v>12337</v>
      </c>
      <c r="O341" s="802" t="s">
        <v>12338</v>
      </c>
      <c r="P341" s="807" t="s">
        <v>12336</v>
      </c>
    </row>
    <row r="342" spans="1:16" s="341" customFormat="1" ht="25.5" customHeight="1">
      <c r="A342" s="806" t="s">
        <v>6473</v>
      </c>
      <c r="B342" s="800" t="s">
        <v>3770</v>
      </c>
      <c r="C342" s="800" t="s">
        <v>9531</v>
      </c>
      <c r="D342" s="800" t="s">
        <v>12339</v>
      </c>
      <c r="E342" s="801">
        <v>43062</v>
      </c>
      <c r="F342" s="800" t="s">
        <v>12340</v>
      </c>
      <c r="G342" s="800" t="s">
        <v>12341</v>
      </c>
      <c r="H342" s="800" t="s">
        <v>10404</v>
      </c>
      <c r="I342" s="800" t="s">
        <v>10404</v>
      </c>
      <c r="J342" s="800" t="s">
        <v>10664</v>
      </c>
      <c r="K342" s="800">
        <v>1</v>
      </c>
      <c r="L342" s="802" t="s">
        <v>10398</v>
      </c>
      <c r="M342" s="802" t="s">
        <v>12342</v>
      </c>
      <c r="N342" s="802" t="s">
        <v>12343</v>
      </c>
      <c r="O342" s="802" t="s">
        <v>12344</v>
      </c>
      <c r="P342" s="807" t="s">
        <v>12345</v>
      </c>
    </row>
    <row r="343" spans="1:16" s="341" customFormat="1" ht="15" customHeight="1">
      <c r="A343" s="806" t="s">
        <v>6473</v>
      </c>
      <c r="B343" s="800" t="s">
        <v>3770</v>
      </c>
      <c r="C343" s="800" t="s">
        <v>4942</v>
      </c>
      <c r="D343" s="800" t="s">
        <v>12346</v>
      </c>
      <c r="E343" s="801">
        <v>43062</v>
      </c>
      <c r="F343" s="800" t="s">
        <v>12347</v>
      </c>
      <c r="G343" s="800" t="s">
        <v>12348</v>
      </c>
      <c r="H343" s="800" t="s">
        <v>10404</v>
      </c>
      <c r="I343" s="800" t="s">
        <v>10404</v>
      </c>
      <c r="J343" s="800" t="s">
        <v>10426</v>
      </c>
      <c r="K343" s="800">
        <v>1</v>
      </c>
      <c r="L343" s="802" t="s">
        <v>10398</v>
      </c>
      <c r="M343" s="802" t="s">
        <v>12349</v>
      </c>
      <c r="N343" s="802" t="s">
        <v>12350</v>
      </c>
      <c r="O343" s="802" t="s">
        <v>12351</v>
      </c>
      <c r="P343" s="807" t="s">
        <v>12352</v>
      </c>
    </row>
    <row r="344" spans="1:16" s="341" customFormat="1" ht="15" customHeight="1">
      <c r="A344" s="806" t="s">
        <v>6473</v>
      </c>
      <c r="B344" s="800" t="s">
        <v>3770</v>
      </c>
      <c r="C344" s="800" t="s">
        <v>4942</v>
      </c>
      <c r="D344" s="800" t="s">
        <v>12353</v>
      </c>
      <c r="E344" s="801">
        <v>43062</v>
      </c>
      <c r="F344" s="800" t="s">
        <v>12354</v>
      </c>
      <c r="G344" s="800" t="s">
        <v>12355</v>
      </c>
      <c r="H344" s="800" t="s">
        <v>10404</v>
      </c>
      <c r="I344" s="800" t="s">
        <v>10404</v>
      </c>
      <c r="J344" s="800" t="s">
        <v>10397</v>
      </c>
      <c r="K344" s="800">
        <v>1</v>
      </c>
      <c r="L344" s="802" t="s">
        <v>10398</v>
      </c>
      <c r="M344" s="802" t="s">
        <v>12356</v>
      </c>
      <c r="N344" s="802" t="s">
        <v>11290</v>
      </c>
      <c r="O344" s="802" t="s">
        <v>12357</v>
      </c>
      <c r="P344" s="807" t="s">
        <v>12358</v>
      </c>
    </row>
    <row r="345" spans="1:16" s="341" customFormat="1" ht="25.5" customHeight="1">
      <c r="A345" s="806" t="s">
        <v>6473</v>
      </c>
      <c r="B345" s="800" t="s">
        <v>3770</v>
      </c>
      <c r="C345" s="800" t="s">
        <v>9521</v>
      </c>
      <c r="D345" s="800" t="s">
        <v>12359</v>
      </c>
      <c r="E345" s="801">
        <v>43048</v>
      </c>
      <c r="F345" s="800" t="s">
        <v>742</v>
      </c>
      <c r="G345" s="800" t="s">
        <v>12360</v>
      </c>
      <c r="H345" s="800" t="s">
        <v>10404</v>
      </c>
      <c r="I345" s="800" t="s">
        <v>10404</v>
      </c>
      <c r="J345" s="800" t="s">
        <v>10426</v>
      </c>
      <c r="K345" s="800">
        <v>1</v>
      </c>
      <c r="L345" s="802" t="s">
        <v>10398</v>
      </c>
      <c r="M345" s="802" t="s">
        <v>12361</v>
      </c>
      <c r="N345" s="802" t="s">
        <v>12362</v>
      </c>
      <c r="O345" s="802" t="s">
        <v>12363</v>
      </c>
      <c r="P345" s="807" t="s">
        <v>12364</v>
      </c>
    </row>
    <row r="346" spans="1:16" s="341" customFormat="1" ht="25.5" customHeight="1">
      <c r="A346" s="806" t="s">
        <v>6473</v>
      </c>
      <c r="B346" s="800" t="s">
        <v>3770</v>
      </c>
      <c r="C346" s="800" t="s">
        <v>2436</v>
      </c>
      <c r="D346" s="800" t="s">
        <v>12365</v>
      </c>
      <c r="E346" s="801">
        <v>43048</v>
      </c>
      <c r="F346" s="800" t="s">
        <v>12366</v>
      </c>
      <c r="G346" s="800" t="s">
        <v>12367</v>
      </c>
      <c r="H346" s="800" t="s">
        <v>10396</v>
      </c>
      <c r="I346" s="800" t="s">
        <v>10396</v>
      </c>
      <c r="J346" s="800" t="s">
        <v>10447</v>
      </c>
      <c r="K346" s="800">
        <v>1</v>
      </c>
      <c r="L346" s="802" t="s">
        <v>10398</v>
      </c>
      <c r="M346" s="802" t="s">
        <v>12368</v>
      </c>
      <c r="N346" s="802" t="s">
        <v>12369</v>
      </c>
      <c r="O346" s="802" t="s">
        <v>12370</v>
      </c>
      <c r="P346" s="807" t="s">
        <v>32</v>
      </c>
    </row>
    <row r="347" spans="1:16" s="341" customFormat="1" ht="25.5" customHeight="1">
      <c r="A347" s="806" t="s">
        <v>6473</v>
      </c>
      <c r="B347" s="800" t="s">
        <v>3770</v>
      </c>
      <c r="C347" s="800" t="s">
        <v>2436</v>
      </c>
      <c r="D347" s="800" t="s">
        <v>12371</v>
      </c>
      <c r="E347" s="801">
        <v>43063</v>
      </c>
      <c r="F347" s="800" t="s">
        <v>12022</v>
      </c>
      <c r="G347" s="800" t="s">
        <v>12372</v>
      </c>
      <c r="H347" s="800" t="s">
        <v>10531</v>
      </c>
      <c r="I347" s="800" t="s">
        <v>10531</v>
      </c>
      <c r="J347" s="800" t="s">
        <v>10447</v>
      </c>
      <c r="K347" s="800">
        <v>1</v>
      </c>
      <c r="L347" s="802" t="s">
        <v>10398</v>
      </c>
      <c r="M347" s="802" t="s">
        <v>12373</v>
      </c>
      <c r="N347" s="802" t="s">
        <v>12374</v>
      </c>
      <c r="O347" s="802" t="s">
        <v>12375</v>
      </c>
      <c r="P347" s="807" t="s">
        <v>12376</v>
      </c>
    </row>
    <row r="348" spans="1:16" s="341" customFormat="1" ht="15" customHeight="1">
      <c r="A348" s="806" t="s">
        <v>6473</v>
      </c>
      <c r="B348" s="800" t="s">
        <v>3770</v>
      </c>
      <c r="C348" s="800" t="s">
        <v>2436</v>
      </c>
      <c r="D348" s="800" t="s">
        <v>12377</v>
      </c>
      <c r="E348" s="801">
        <v>43068</v>
      </c>
      <c r="F348" s="800" t="s">
        <v>5444</v>
      </c>
      <c r="G348" s="800" t="s">
        <v>12378</v>
      </c>
      <c r="H348" s="800" t="s">
        <v>10404</v>
      </c>
      <c r="I348" s="800" t="s">
        <v>10404</v>
      </c>
      <c r="J348" s="800" t="s">
        <v>10447</v>
      </c>
      <c r="K348" s="800">
        <v>1</v>
      </c>
      <c r="L348" s="802" t="s">
        <v>10398</v>
      </c>
      <c r="M348" s="802" t="s">
        <v>12379</v>
      </c>
      <c r="N348" s="802" t="s">
        <v>12380</v>
      </c>
      <c r="O348" s="802" t="s">
        <v>12381</v>
      </c>
      <c r="P348" s="807" t="s">
        <v>12382</v>
      </c>
    </row>
    <row r="349" spans="1:16" s="341" customFormat="1" ht="25.5" customHeight="1">
      <c r="A349" s="806" t="s">
        <v>6473</v>
      </c>
      <c r="B349" s="800" t="s">
        <v>3770</v>
      </c>
      <c r="C349" s="800" t="s">
        <v>2436</v>
      </c>
      <c r="D349" s="800" t="s">
        <v>12383</v>
      </c>
      <c r="E349" s="801">
        <v>43063</v>
      </c>
      <c r="F349" s="800" t="s">
        <v>12384</v>
      </c>
      <c r="G349" s="800" t="s">
        <v>12385</v>
      </c>
      <c r="H349" s="800" t="s">
        <v>10404</v>
      </c>
      <c r="I349" s="800" t="s">
        <v>10404</v>
      </c>
      <c r="J349" s="800" t="s">
        <v>10426</v>
      </c>
      <c r="K349" s="800">
        <v>1</v>
      </c>
      <c r="L349" s="802" t="s">
        <v>10398</v>
      </c>
      <c r="M349" s="802" t="s">
        <v>12368</v>
      </c>
      <c r="N349" s="802" t="s">
        <v>10795</v>
      </c>
      <c r="O349" s="802" t="s">
        <v>12370</v>
      </c>
      <c r="P349" s="807" t="s">
        <v>32</v>
      </c>
    </row>
    <row r="350" spans="1:16" s="341" customFormat="1" ht="25.5" customHeight="1">
      <c r="A350" s="806" t="s">
        <v>6473</v>
      </c>
      <c r="B350" s="800" t="s">
        <v>3770</v>
      </c>
      <c r="C350" s="800" t="s">
        <v>2436</v>
      </c>
      <c r="D350" s="800" t="s">
        <v>12386</v>
      </c>
      <c r="E350" s="801">
        <v>43063</v>
      </c>
      <c r="F350" s="800" t="s">
        <v>12022</v>
      </c>
      <c r="G350" s="800" t="s">
        <v>12387</v>
      </c>
      <c r="H350" s="800" t="s">
        <v>10433</v>
      </c>
      <c r="I350" s="800" t="s">
        <v>10433</v>
      </c>
      <c r="J350" s="800" t="s">
        <v>10447</v>
      </c>
      <c r="K350" s="800">
        <v>1</v>
      </c>
      <c r="L350" s="802" t="s">
        <v>10398</v>
      </c>
      <c r="M350" s="802" t="s">
        <v>12388</v>
      </c>
      <c r="N350" s="802" t="s">
        <v>12389</v>
      </c>
      <c r="O350" s="802" t="s">
        <v>12375</v>
      </c>
      <c r="P350" s="807" t="s">
        <v>32</v>
      </c>
    </row>
    <row r="351" spans="1:16" s="341" customFormat="1" ht="25.5" customHeight="1">
      <c r="A351" s="806" t="s">
        <v>6473</v>
      </c>
      <c r="B351" s="800" t="s">
        <v>3770</v>
      </c>
      <c r="C351" s="800" t="s">
        <v>2436</v>
      </c>
      <c r="D351" s="800" t="s">
        <v>12390</v>
      </c>
      <c r="E351" s="801">
        <v>43063</v>
      </c>
      <c r="F351" s="800" t="s">
        <v>12384</v>
      </c>
      <c r="G351" s="800" t="s">
        <v>12391</v>
      </c>
      <c r="H351" s="800" t="s">
        <v>10396</v>
      </c>
      <c r="I351" s="800" t="s">
        <v>10396</v>
      </c>
      <c r="J351" s="800" t="s">
        <v>10447</v>
      </c>
      <c r="K351" s="800">
        <v>1</v>
      </c>
      <c r="L351" s="802" t="s">
        <v>10398</v>
      </c>
      <c r="M351" s="802" t="s">
        <v>12392</v>
      </c>
      <c r="N351" s="802" t="s">
        <v>12393</v>
      </c>
      <c r="O351" s="802" t="s">
        <v>12394</v>
      </c>
      <c r="P351" s="807" t="s">
        <v>12395</v>
      </c>
    </row>
    <row r="352" spans="1:16" s="341" customFormat="1" ht="25.5" customHeight="1">
      <c r="A352" s="806" t="s">
        <v>6473</v>
      </c>
      <c r="B352" s="800" t="s">
        <v>3770</v>
      </c>
      <c r="C352" s="800" t="s">
        <v>4924</v>
      </c>
      <c r="D352" s="800" t="s">
        <v>12396</v>
      </c>
      <c r="E352" s="801">
        <v>43075</v>
      </c>
      <c r="F352" s="800" t="s">
        <v>137</v>
      </c>
      <c r="G352" s="800" t="s">
        <v>12397</v>
      </c>
      <c r="H352" s="800" t="s">
        <v>10404</v>
      </c>
      <c r="I352" s="800" t="s">
        <v>10404</v>
      </c>
      <c r="J352" s="800" t="s">
        <v>10447</v>
      </c>
      <c r="K352" s="800">
        <v>1</v>
      </c>
      <c r="L352" s="802" t="s">
        <v>10398</v>
      </c>
      <c r="M352" s="802" t="s">
        <v>12398</v>
      </c>
      <c r="N352" s="802" t="s">
        <v>12399</v>
      </c>
      <c r="O352" s="802" t="s">
        <v>12400</v>
      </c>
      <c r="P352" s="807" t="s">
        <v>12401</v>
      </c>
    </row>
    <row r="353" spans="1:16" s="341" customFormat="1" ht="15" customHeight="1">
      <c r="A353" s="806" t="s">
        <v>6473</v>
      </c>
      <c r="B353" s="800" t="s">
        <v>3770</v>
      </c>
      <c r="C353" s="800" t="s">
        <v>9749</v>
      </c>
      <c r="D353" s="800" t="s">
        <v>12402</v>
      </c>
      <c r="E353" s="801">
        <v>43061</v>
      </c>
      <c r="F353" s="800" t="s">
        <v>12403</v>
      </c>
      <c r="G353" s="800" t="s">
        <v>12404</v>
      </c>
      <c r="H353" s="800" t="s">
        <v>10404</v>
      </c>
      <c r="I353" s="800" t="s">
        <v>10404</v>
      </c>
      <c r="J353" s="800" t="s">
        <v>10664</v>
      </c>
      <c r="K353" s="800">
        <v>1</v>
      </c>
      <c r="L353" s="802" t="s">
        <v>10398</v>
      </c>
      <c r="M353" s="802" t="s">
        <v>12405</v>
      </c>
      <c r="N353" s="802" t="s">
        <v>12406</v>
      </c>
      <c r="O353" s="802" t="s">
        <v>12407</v>
      </c>
      <c r="P353" s="807" t="s">
        <v>12408</v>
      </c>
    </row>
    <row r="354" spans="1:16" s="341" customFormat="1" ht="25.5" customHeight="1">
      <c r="A354" s="806" t="s">
        <v>6473</v>
      </c>
      <c r="B354" s="800" t="s">
        <v>3770</v>
      </c>
      <c r="C354" s="800" t="s">
        <v>9749</v>
      </c>
      <c r="D354" s="800" t="s">
        <v>12409</v>
      </c>
      <c r="E354" s="801">
        <v>43063</v>
      </c>
      <c r="F354" s="800" t="s">
        <v>12410</v>
      </c>
      <c r="G354" s="800" t="s">
        <v>12411</v>
      </c>
      <c r="H354" s="800" t="s">
        <v>10531</v>
      </c>
      <c r="I354" s="800" t="s">
        <v>10531</v>
      </c>
      <c r="J354" s="800" t="s">
        <v>10426</v>
      </c>
      <c r="K354" s="800">
        <v>1</v>
      </c>
      <c r="L354" s="802" t="s">
        <v>10398</v>
      </c>
      <c r="M354" s="802" t="s">
        <v>12412</v>
      </c>
      <c r="N354" s="802" t="s">
        <v>12413</v>
      </c>
      <c r="O354" s="802" t="s">
        <v>12414</v>
      </c>
      <c r="P354" s="807" t="s">
        <v>12415</v>
      </c>
    </row>
    <row r="355" spans="1:16" s="341" customFormat="1" ht="15" customHeight="1">
      <c r="A355" s="806" t="s">
        <v>6473</v>
      </c>
      <c r="B355" s="800" t="s">
        <v>3770</v>
      </c>
      <c r="C355" s="800" t="s">
        <v>9749</v>
      </c>
      <c r="D355" s="800" t="s">
        <v>12416</v>
      </c>
      <c r="E355" s="801">
        <v>43061</v>
      </c>
      <c r="F355" s="800" t="s">
        <v>6210</v>
      </c>
      <c r="G355" s="800" t="s">
        <v>12417</v>
      </c>
      <c r="H355" s="800" t="s">
        <v>10433</v>
      </c>
      <c r="I355" s="800" t="s">
        <v>10433</v>
      </c>
      <c r="J355" s="800" t="s">
        <v>10447</v>
      </c>
      <c r="K355" s="800">
        <v>1</v>
      </c>
      <c r="L355" s="802" t="s">
        <v>10398</v>
      </c>
      <c r="M355" s="802" t="s">
        <v>12418</v>
      </c>
      <c r="N355" s="802" t="s">
        <v>12419</v>
      </c>
      <c r="O355" s="802" t="s">
        <v>12420</v>
      </c>
      <c r="P355" s="807" t="s">
        <v>12421</v>
      </c>
    </row>
    <row r="356" spans="1:16" s="341" customFormat="1" ht="25.5" customHeight="1">
      <c r="A356" s="806" t="s">
        <v>6473</v>
      </c>
      <c r="B356" s="800" t="s">
        <v>3770</v>
      </c>
      <c r="C356" s="800" t="s">
        <v>9749</v>
      </c>
      <c r="D356" s="800" t="s">
        <v>12422</v>
      </c>
      <c r="E356" s="801">
        <v>43061</v>
      </c>
      <c r="F356" s="800" t="s">
        <v>6210</v>
      </c>
      <c r="G356" s="800" t="s">
        <v>12423</v>
      </c>
      <c r="H356" s="800" t="s">
        <v>10404</v>
      </c>
      <c r="I356" s="800" t="s">
        <v>10404</v>
      </c>
      <c r="J356" s="800" t="s">
        <v>10405</v>
      </c>
      <c r="K356" s="800">
        <v>1</v>
      </c>
      <c r="L356" s="802" t="s">
        <v>10398</v>
      </c>
      <c r="M356" s="802" t="s">
        <v>32</v>
      </c>
      <c r="N356" s="802" t="s">
        <v>12424</v>
      </c>
      <c r="O356" s="802" t="s">
        <v>12425</v>
      </c>
      <c r="P356" s="807" t="s">
        <v>12426</v>
      </c>
    </row>
    <row r="357" spans="1:16" s="341" customFormat="1" ht="15" customHeight="1">
      <c r="A357" s="806" t="s">
        <v>6473</v>
      </c>
      <c r="B357" s="800" t="s">
        <v>3770</v>
      </c>
      <c r="C357" s="800" t="s">
        <v>9749</v>
      </c>
      <c r="D357" s="800" t="s">
        <v>12427</v>
      </c>
      <c r="E357" s="801">
        <v>43061</v>
      </c>
      <c r="F357" s="800" t="s">
        <v>12428</v>
      </c>
      <c r="G357" s="800" t="s">
        <v>12429</v>
      </c>
      <c r="H357" s="800" t="s">
        <v>10433</v>
      </c>
      <c r="I357" s="800" t="s">
        <v>10433</v>
      </c>
      <c r="J357" s="800" t="s">
        <v>10447</v>
      </c>
      <c r="K357" s="800">
        <v>1</v>
      </c>
      <c r="L357" s="802" t="s">
        <v>10398</v>
      </c>
      <c r="M357" s="802" t="s">
        <v>12430</v>
      </c>
      <c r="N357" s="802" t="s">
        <v>12431</v>
      </c>
      <c r="O357" s="802" t="s">
        <v>12432</v>
      </c>
      <c r="P357" s="807" t="s">
        <v>12433</v>
      </c>
    </row>
    <row r="358" spans="1:16" s="341" customFormat="1" ht="25.5" customHeight="1">
      <c r="A358" s="806" t="s">
        <v>6473</v>
      </c>
      <c r="B358" s="800" t="s">
        <v>3770</v>
      </c>
      <c r="C358" s="800" t="s">
        <v>9749</v>
      </c>
      <c r="D358" s="800" t="s">
        <v>12434</v>
      </c>
      <c r="E358" s="801">
        <v>43061</v>
      </c>
      <c r="F358" s="800" t="s">
        <v>12435</v>
      </c>
      <c r="G358" s="800" t="s">
        <v>12436</v>
      </c>
      <c r="H358" s="800" t="s">
        <v>10404</v>
      </c>
      <c r="I358" s="800" t="s">
        <v>10404</v>
      </c>
      <c r="J358" s="800" t="s">
        <v>10405</v>
      </c>
      <c r="K358" s="800">
        <v>1</v>
      </c>
      <c r="L358" s="802" t="s">
        <v>10398</v>
      </c>
      <c r="M358" s="802" t="s">
        <v>12437</v>
      </c>
      <c r="N358" s="802" t="s">
        <v>12438</v>
      </c>
      <c r="O358" s="802" t="s">
        <v>12439</v>
      </c>
      <c r="P358" s="807" t="s">
        <v>12440</v>
      </c>
    </row>
    <row r="359" spans="1:16" s="341" customFormat="1" ht="15" customHeight="1">
      <c r="A359" s="806" t="s">
        <v>6473</v>
      </c>
      <c r="B359" s="800" t="s">
        <v>3770</v>
      </c>
      <c r="C359" s="800" t="s">
        <v>9749</v>
      </c>
      <c r="D359" s="800" t="s">
        <v>12441</v>
      </c>
      <c r="E359" s="801">
        <v>43061</v>
      </c>
      <c r="F359" s="800" t="s">
        <v>6210</v>
      </c>
      <c r="G359" s="800" t="s">
        <v>12442</v>
      </c>
      <c r="H359" s="800" t="s">
        <v>10433</v>
      </c>
      <c r="I359" s="800" t="s">
        <v>10433</v>
      </c>
      <c r="J359" s="800" t="s">
        <v>10447</v>
      </c>
      <c r="K359" s="800">
        <v>1</v>
      </c>
      <c r="L359" s="802" t="s">
        <v>10398</v>
      </c>
      <c r="M359" s="802" t="s">
        <v>12443</v>
      </c>
      <c r="N359" s="802" t="s">
        <v>12444</v>
      </c>
      <c r="O359" s="802" t="s">
        <v>12445</v>
      </c>
      <c r="P359" s="807" t="s">
        <v>12446</v>
      </c>
    </row>
    <row r="360" spans="1:16" s="341" customFormat="1" ht="15" customHeight="1">
      <c r="A360" s="806" t="s">
        <v>6473</v>
      </c>
      <c r="B360" s="800" t="s">
        <v>3770</v>
      </c>
      <c r="C360" s="800" t="s">
        <v>9749</v>
      </c>
      <c r="D360" s="800" t="s">
        <v>12447</v>
      </c>
      <c r="E360" s="801">
        <v>43062</v>
      </c>
      <c r="F360" s="800" t="s">
        <v>12448</v>
      </c>
      <c r="G360" s="800" t="s">
        <v>12449</v>
      </c>
      <c r="H360" s="800" t="s">
        <v>10396</v>
      </c>
      <c r="I360" s="800" t="s">
        <v>10396</v>
      </c>
      <c r="J360" s="800" t="s">
        <v>10447</v>
      </c>
      <c r="K360" s="800">
        <v>1</v>
      </c>
      <c r="L360" s="802" t="s">
        <v>10398</v>
      </c>
      <c r="M360" s="802" t="s">
        <v>12450</v>
      </c>
      <c r="N360" s="802" t="s">
        <v>12451</v>
      </c>
      <c r="O360" s="802" t="s">
        <v>12452</v>
      </c>
      <c r="P360" s="807" t="s">
        <v>12453</v>
      </c>
    </row>
    <row r="361" spans="1:16" s="341" customFormat="1" ht="25.5" customHeight="1">
      <c r="A361" s="806" t="s">
        <v>6473</v>
      </c>
      <c r="B361" s="800" t="s">
        <v>3770</v>
      </c>
      <c r="C361" s="800" t="s">
        <v>9749</v>
      </c>
      <c r="D361" s="800" t="s">
        <v>12454</v>
      </c>
      <c r="E361" s="801">
        <v>43062</v>
      </c>
      <c r="F361" s="800" t="s">
        <v>12455</v>
      </c>
      <c r="G361" s="800" t="s">
        <v>12456</v>
      </c>
      <c r="H361" s="800" t="s">
        <v>10396</v>
      </c>
      <c r="I361" s="800" t="s">
        <v>10396</v>
      </c>
      <c r="J361" s="800" t="s">
        <v>10447</v>
      </c>
      <c r="K361" s="800">
        <v>1</v>
      </c>
      <c r="L361" s="802" t="s">
        <v>10398</v>
      </c>
      <c r="M361" s="802" t="s">
        <v>32</v>
      </c>
      <c r="N361" s="802" t="s">
        <v>12457</v>
      </c>
      <c r="O361" s="802" t="s">
        <v>12458</v>
      </c>
      <c r="P361" s="807" t="s">
        <v>12459</v>
      </c>
    </row>
    <row r="362" spans="1:16" s="341" customFormat="1" ht="25.5" customHeight="1">
      <c r="A362" s="806" t="s">
        <v>6473</v>
      </c>
      <c r="B362" s="800" t="s">
        <v>3770</v>
      </c>
      <c r="C362" s="800" t="s">
        <v>9749</v>
      </c>
      <c r="D362" s="800" t="s">
        <v>12460</v>
      </c>
      <c r="E362" s="801">
        <v>43062</v>
      </c>
      <c r="F362" s="800" t="s">
        <v>10550</v>
      </c>
      <c r="G362" s="800" t="s">
        <v>12461</v>
      </c>
      <c r="H362" s="800" t="s">
        <v>10404</v>
      </c>
      <c r="I362" s="800" t="s">
        <v>10404</v>
      </c>
      <c r="J362" s="800" t="s">
        <v>10426</v>
      </c>
      <c r="K362" s="800">
        <v>1</v>
      </c>
      <c r="L362" s="802" t="s">
        <v>10398</v>
      </c>
      <c r="M362" s="802" t="s">
        <v>12462</v>
      </c>
      <c r="N362" s="802" t="s">
        <v>12463</v>
      </c>
      <c r="O362" s="802" t="s">
        <v>12464</v>
      </c>
      <c r="P362" s="807" t="s">
        <v>12465</v>
      </c>
    </row>
    <row r="363" spans="1:16" s="341" customFormat="1" ht="25.5" customHeight="1">
      <c r="A363" s="806" t="s">
        <v>6473</v>
      </c>
      <c r="B363" s="800" t="s">
        <v>3770</v>
      </c>
      <c r="C363" s="800" t="s">
        <v>9749</v>
      </c>
      <c r="D363" s="800" t="s">
        <v>12466</v>
      </c>
      <c r="E363" s="801">
        <v>43062</v>
      </c>
      <c r="F363" s="800" t="s">
        <v>12467</v>
      </c>
      <c r="G363" s="800" t="s">
        <v>12468</v>
      </c>
      <c r="H363" s="800" t="s">
        <v>10404</v>
      </c>
      <c r="I363" s="800" t="s">
        <v>10404</v>
      </c>
      <c r="J363" s="800" t="s">
        <v>10426</v>
      </c>
      <c r="K363" s="800">
        <v>1</v>
      </c>
      <c r="L363" s="802" t="s">
        <v>10398</v>
      </c>
      <c r="M363" s="802" t="s">
        <v>12469</v>
      </c>
      <c r="N363" s="802" t="s">
        <v>12470</v>
      </c>
      <c r="O363" s="802" t="s">
        <v>12471</v>
      </c>
      <c r="P363" s="807" t="s">
        <v>12345</v>
      </c>
    </row>
    <row r="364" spans="1:16" s="341" customFormat="1" ht="25.5" customHeight="1">
      <c r="A364" s="806" t="s">
        <v>6473</v>
      </c>
      <c r="B364" s="800" t="s">
        <v>3770</v>
      </c>
      <c r="C364" s="800" t="s">
        <v>9749</v>
      </c>
      <c r="D364" s="800" t="s">
        <v>12472</v>
      </c>
      <c r="E364" s="801">
        <v>43062</v>
      </c>
      <c r="F364" s="800" t="s">
        <v>12473</v>
      </c>
      <c r="G364" s="800" t="s">
        <v>12474</v>
      </c>
      <c r="H364" s="800" t="s">
        <v>10396</v>
      </c>
      <c r="I364" s="800" t="s">
        <v>10396</v>
      </c>
      <c r="J364" s="800" t="s">
        <v>10664</v>
      </c>
      <c r="K364" s="800">
        <v>1</v>
      </c>
      <c r="L364" s="802" t="s">
        <v>10398</v>
      </c>
      <c r="M364" s="802" t="s">
        <v>12475</v>
      </c>
      <c r="N364" s="802" t="s">
        <v>12476</v>
      </c>
      <c r="O364" s="802" t="s">
        <v>12477</v>
      </c>
      <c r="P364" s="807" t="s">
        <v>12478</v>
      </c>
    </row>
    <row r="365" spans="1:16" s="341" customFormat="1" ht="25.5" customHeight="1">
      <c r="A365" s="806" t="s">
        <v>6473</v>
      </c>
      <c r="B365" s="800" t="s">
        <v>3770</v>
      </c>
      <c r="C365" s="800" t="s">
        <v>9749</v>
      </c>
      <c r="D365" s="800" t="s">
        <v>12479</v>
      </c>
      <c r="E365" s="801">
        <v>43062</v>
      </c>
      <c r="F365" s="800" t="s">
        <v>12480</v>
      </c>
      <c r="G365" s="800" t="s">
        <v>12481</v>
      </c>
      <c r="H365" s="800" t="s">
        <v>10404</v>
      </c>
      <c r="I365" s="800" t="s">
        <v>10404</v>
      </c>
      <c r="J365" s="800" t="s">
        <v>10447</v>
      </c>
      <c r="K365" s="800">
        <v>1</v>
      </c>
      <c r="L365" s="802" t="s">
        <v>10398</v>
      </c>
      <c r="M365" s="802" t="s">
        <v>12482</v>
      </c>
      <c r="N365" s="802" t="s">
        <v>12483</v>
      </c>
      <c r="O365" s="802" t="s">
        <v>12484</v>
      </c>
      <c r="P365" s="807" t="s">
        <v>32</v>
      </c>
    </row>
    <row r="366" spans="1:16" s="341" customFormat="1" ht="25.5" customHeight="1">
      <c r="A366" s="806" t="s">
        <v>6473</v>
      </c>
      <c r="B366" s="800" t="s">
        <v>3770</v>
      </c>
      <c r="C366" s="800" t="s">
        <v>9749</v>
      </c>
      <c r="D366" s="800" t="s">
        <v>12485</v>
      </c>
      <c r="E366" s="801">
        <v>43062</v>
      </c>
      <c r="F366" s="800" t="s">
        <v>12480</v>
      </c>
      <c r="G366" s="800" t="s">
        <v>12486</v>
      </c>
      <c r="H366" s="800" t="s">
        <v>10404</v>
      </c>
      <c r="I366" s="800" t="s">
        <v>10404</v>
      </c>
      <c r="J366" s="800" t="s">
        <v>10447</v>
      </c>
      <c r="K366" s="800">
        <v>1</v>
      </c>
      <c r="L366" s="802" t="s">
        <v>10398</v>
      </c>
      <c r="M366" s="802" t="s">
        <v>12487</v>
      </c>
      <c r="N366" s="802" t="s">
        <v>12488</v>
      </c>
      <c r="O366" s="802" t="s">
        <v>12489</v>
      </c>
      <c r="P366" s="807" t="s">
        <v>12490</v>
      </c>
    </row>
    <row r="367" spans="1:16" s="341" customFormat="1" ht="25.5" customHeight="1">
      <c r="A367" s="806" t="s">
        <v>6473</v>
      </c>
      <c r="B367" s="800" t="s">
        <v>3770</v>
      </c>
      <c r="C367" s="800" t="s">
        <v>9749</v>
      </c>
      <c r="D367" s="800" t="s">
        <v>12491</v>
      </c>
      <c r="E367" s="801">
        <v>43062</v>
      </c>
      <c r="F367" s="800" t="s">
        <v>12480</v>
      </c>
      <c r="G367" s="800" t="s">
        <v>12492</v>
      </c>
      <c r="H367" s="800" t="s">
        <v>10433</v>
      </c>
      <c r="I367" s="800" t="s">
        <v>10433</v>
      </c>
      <c r="J367" s="800" t="s">
        <v>10447</v>
      </c>
      <c r="K367" s="800">
        <v>1</v>
      </c>
      <c r="L367" s="802" t="s">
        <v>10398</v>
      </c>
      <c r="M367" s="802" t="s">
        <v>12493</v>
      </c>
      <c r="N367" s="802" t="s">
        <v>12494</v>
      </c>
      <c r="O367" s="802" t="s">
        <v>12495</v>
      </c>
      <c r="P367" s="807" t="s">
        <v>12496</v>
      </c>
    </row>
    <row r="368" spans="1:16" s="341" customFormat="1" ht="38.25" customHeight="1">
      <c r="A368" s="806" t="s">
        <v>6473</v>
      </c>
      <c r="B368" s="800" t="s">
        <v>3770</v>
      </c>
      <c r="C368" s="800" t="s">
        <v>9749</v>
      </c>
      <c r="D368" s="800" t="s">
        <v>12497</v>
      </c>
      <c r="E368" s="801">
        <v>43062</v>
      </c>
      <c r="F368" s="800" t="s">
        <v>12498</v>
      </c>
      <c r="G368" s="800" t="s">
        <v>12499</v>
      </c>
      <c r="H368" s="800" t="s">
        <v>10404</v>
      </c>
      <c r="I368" s="800" t="s">
        <v>10404</v>
      </c>
      <c r="J368" s="800" t="s">
        <v>10447</v>
      </c>
      <c r="K368" s="800">
        <v>1</v>
      </c>
      <c r="L368" s="802" t="s">
        <v>10398</v>
      </c>
      <c r="M368" s="802" t="s">
        <v>12500</v>
      </c>
      <c r="N368" s="802" t="s">
        <v>12102</v>
      </c>
      <c r="O368" s="802" t="s">
        <v>12501</v>
      </c>
      <c r="P368" s="807" t="s">
        <v>12502</v>
      </c>
    </row>
    <row r="369" spans="1:16" s="341" customFormat="1" ht="25.5" customHeight="1">
      <c r="A369" s="806" t="s">
        <v>6473</v>
      </c>
      <c r="B369" s="800" t="s">
        <v>3770</v>
      </c>
      <c r="C369" s="800" t="s">
        <v>9749</v>
      </c>
      <c r="D369" s="800" t="s">
        <v>12503</v>
      </c>
      <c r="E369" s="801">
        <v>43062</v>
      </c>
      <c r="F369" s="800" t="s">
        <v>12498</v>
      </c>
      <c r="G369" s="800" t="s">
        <v>12504</v>
      </c>
      <c r="H369" s="800" t="s">
        <v>10404</v>
      </c>
      <c r="I369" s="800" t="s">
        <v>10404</v>
      </c>
      <c r="J369" s="800" t="s">
        <v>10447</v>
      </c>
      <c r="K369" s="800">
        <v>1</v>
      </c>
      <c r="L369" s="802" t="s">
        <v>10398</v>
      </c>
      <c r="M369" s="802" t="s">
        <v>12505</v>
      </c>
      <c r="N369" s="802" t="s">
        <v>12506</v>
      </c>
      <c r="O369" s="802" t="s">
        <v>12507</v>
      </c>
      <c r="P369" s="807" t="s">
        <v>12508</v>
      </c>
    </row>
    <row r="370" spans="1:16" s="341" customFormat="1" ht="15" customHeight="1">
      <c r="A370" s="806" t="s">
        <v>6473</v>
      </c>
      <c r="B370" s="800" t="s">
        <v>3770</v>
      </c>
      <c r="C370" s="800" t="s">
        <v>9749</v>
      </c>
      <c r="D370" s="800" t="s">
        <v>12509</v>
      </c>
      <c r="E370" s="801">
        <v>43062</v>
      </c>
      <c r="F370" s="800" t="s">
        <v>12510</v>
      </c>
      <c r="G370" s="800" t="s">
        <v>12511</v>
      </c>
      <c r="H370" s="800" t="s">
        <v>10433</v>
      </c>
      <c r="I370" s="800" t="s">
        <v>10433</v>
      </c>
      <c r="J370" s="800" t="s">
        <v>10397</v>
      </c>
      <c r="K370" s="800">
        <v>1</v>
      </c>
      <c r="L370" s="802" t="s">
        <v>10398</v>
      </c>
      <c r="M370" s="802" t="s">
        <v>12512</v>
      </c>
      <c r="N370" s="802" t="s">
        <v>12513</v>
      </c>
      <c r="O370" s="802" t="s">
        <v>12514</v>
      </c>
      <c r="P370" s="807" t="s">
        <v>12515</v>
      </c>
    </row>
    <row r="371" spans="1:16" s="341" customFormat="1" ht="25.5" customHeight="1">
      <c r="A371" s="806" t="s">
        <v>6473</v>
      </c>
      <c r="B371" s="800" t="s">
        <v>3770</v>
      </c>
      <c r="C371" s="800" t="s">
        <v>9749</v>
      </c>
      <c r="D371" s="800" t="s">
        <v>12516</v>
      </c>
      <c r="E371" s="801">
        <v>43062</v>
      </c>
      <c r="F371" s="800" t="s">
        <v>5944</v>
      </c>
      <c r="G371" s="800" t="s">
        <v>12517</v>
      </c>
      <c r="H371" s="800" t="s">
        <v>10433</v>
      </c>
      <c r="I371" s="800" t="s">
        <v>10433</v>
      </c>
      <c r="J371" s="800" t="s">
        <v>10426</v>
      </c>
      <c r="K371" s="800">
        <v>1</v>
      </c>
      <c r="L371" s="802" t="s">
        <v>10398</v>
      </c>
      <c r="M371" s="802" t="s">
        <v>12518</v>
      </c>
      <c r="N371" s="802" t="s">
        <v>12519</v>
      </c>
      <c r="O371" s="802" t="s">
        <v>12520</v>
      </c>
      <c r="P371" s="807" t="s">
        <v>12521</v>
      </c>
    </row>
    <row r="372" spans="1:16" s="341" customFormat="1" ht="15" customHeight="1">
      <c r="A372" s="806" t="s">
        <v>6473</v>
      </c>
      <c r="B372" s="800" t="s">
        <v>3770</v>
      </c>
      <c r="C372" s="800" t="s">
        <v>9749</v>
      </c>
      <c r="D372" s="800" t="s">
        <v>12522</v>
      </c>
      <c r="E372" s="801">
        <v>43061</v>
      </c>
      <c r="F372" s="800" t="s">
        <v>6403</v>
      </c>
      <c r="G372" s="800" t="s">
        <v>12523</v>
      </c>
      <c r="H372" s="800" t="s">
        <v>10433</v>
      </c>
      <c r="I372" s="800" t="s">
        <v>10433</v>
      </c>
      <c r="J372" s="800" t="s">
        <v>10664</v>
      </c>
      <c r="K372" s="800">
        <v>1</v>
      </c>
      <c r="L372" s="802" t="s">
        <v>10398</v>
      </c>
      <c r="M372" s="802" t="s">
        <v>12524</v>
      </c>
      <c r="N372" s="802" t="s">
        <v>12525</v>
      </c>
      <c r="O372" s="802" t="s">
        <v>12526</v>
      </c>
      <c r="P372" s="807" t="s">
        <v>12527</v>
      </c>
    </row>
    <row r="373" spans="1:16" s="341" customFormat="1" ht="15" customHeight="1">
      <c r="A373" s="806" t="s">
        <v>6473</v>
      </c>
      <c r="B373" s="800" t="s">
        <v>3770</v>
      </c>
      <c r="C373" s="800" t="s">
        <v>9749</v>
      </c>
      <c r="D373" s="800" t="s">
        <v>12528</v>
      </c>
      <c r="E373" s="801">
        <v>43061</v>
      </c>
      <c r="F373" s="800" t="s">
        <v>12529</v>
      </c>
      <c r="G373" s="800" t="s">
        <v>12530</v>
      </c>
      <c r="H373" s="800" t="s">
        <v>10404</v>
      </c>
      <c r="I373" s="800" t="s">
        <v>10404</v>
      </c>
      <c r="J373" s="800" t="s">
        <v>10405</v>
      </c>
      <c r="K373" s="800">
        <v>1</v>
      </c>
      <c r="L373" s="802" t="s">
        <v>10398</v>
      </c>
      <c r="M373" s="802" t="s">
        <v>12531</v>
      </c>
      <c r="N373" s="802" t="s">
        <v>12532</v>
      </c>
      <c r="O373" s="802" t="s">
        <v>12533</v>
      </c>
      <c r="P373" s="807" t="s">
        <v>12534</v>
      </c>
    </row>
    <row r="374" spans="1:16" s="341" customFormat="1" ht="25.5" customHeight="1">
      <c r="A374" s="806" t="s">
        <v>6473</v>
      </c>
      <c r="B374" s="800" t="s">
        <v>3770</v>
      </c>
      <c r="C374" s="800" t="s">
        <v>9749</v>
      </c>
      <c r="D374" s="800" t="s">
        <v>12535</v>
      </c>
      <c r="E374" s="801">
        <v>43061</v>
      </c>
      <c r="F374" s="800" t="s">
        <v>12536</v>
      </c>
      <c r="G374" s="800" t="s">
        <v>12537</v>
      </c>
      <c r="H374" s="800" t="s">
        <v>10404</v>
      </c>
      <c r="I374" s="800" t="s">
        <v>10404</v>
      </c>
      <c r="J374" s="800" t="s">
        <v>10426</v>
      </c>
      <c r="K374" s="800">
        <v>1</v>
      </c>
      <c r="L374" s="802" t="s">
        <v>10605</v>
      </c>
      <c r="M374" s="802" t="s">
        <v>32</v>
      </c>
      <c r="N374" s="802" t="s">
        <v>12538</v>
      </c>
      <c r="O374" s="802" t="s">
        <v>12539</v>
      </c>
      <c r="P374" s="807" t="s">
        <v>12540</v>
      </c>
    </row>
    <row r="375" spans="1:16" s="341" customFormat="1" ht="25.5" customHeight="1">
      <c r="A375" s="806" t="s">
        <v>6473</v>
      </c>
      <c r="B375" s="800" t="s">
        <v>3770</v>
      </c>
      <c r="C375" s="800" t="s">
        <v>9749</v>
      </c>
      <c r="D375" s="800" t="s">
        <v>12541</v>
      </c>
      <c r="E375" s="801">
        <v>43062</v>
      </c>
      <c r="F375" s="800" t="s">
        <v>5929</v>
      </c>
      <c r="G375" s="800" t="s">
        <v>12542</v>
      </c>
      <c r="H375" s="800" t="s">
        <v>10433</v>
      </c>
      <c r="I375" s="800" t="s">
        <v>10433</v>
      </c>
      <c r="J375" s="800" t="s">
        <v>10426</v>
      </c>
      <c r="K375" s="800">
        <v>1</v>
      </c>
      <c r="L375" s="802" t="s">
        <v>10398</v>
      </c>
      <c r="M375" s="802" t="s">
        <v>12543</v>
      </c>
      <c r="N375" s="802" t="s">
        <v>12544</v>
      </c>
      <c r="O375" s="802" t="s">
        <v>12545</v>
      </c>
      <c r="P375" s="807" t="s">
        <v>12546</v>
      </c>
    </row>
    <row r="376" spans="1:16" s="341" customFormat="1" ht="25.5" customHeight="1">
      <c r="A376" s="806" t="s">
        <v>6473</v>
      </c>
      <c r="B376" s="800" t="s">
        <v>3770</v>
      </c>
      <c r="C376" s="800" t="s">
        <v>9749</v>
      </c>
      <c r="D376" s="800" t="s">
        <v>12547</v>
      </c>
      <c r="E376" s="801">
        <v>43063</v>
      </c>
      <c r="F376" s="800" t="s">
        <v>12548</v>
      </c>
      <c r="G376" s="800" t="s">
        <v>12549</v>
      </c>
      <c r="H376" s="800" t="s">
        <v>10396</v>
      </c>
      <c r="I376" s="800" t="s">
        <v>10396</v>
      </c>
      <c r="J376" s="800" t="s">
        <v>10426</v>
      </c>
      <c r="K376" s="800">
        <v>1</v>
      </c>
      <c r="L376" s="802" t="s">
        <v>10398</v>
      </c>
      <c r="M376" s="802" t="s">
        <v>12550</v>
      </c>
      <c r="N376" s="802" t="s">
        <v>12551</v>
      </c>
      <c r="O376" s="802" t="s">
        <v>12552</v>
      </c>
      <c r="P376" s="807" t="s">
        <v>12553</v>
      </c>
    </row>
    <row r="377" spans="1:16" s="341" customFormat="1" ht="15" customHeight="1">
      <c r="A377" s="806" t="s">
        <v>6473</v>
      </c>
      <c r="B377" s="800" t="s">
        <v>3770</v>
      </c>
      <c r="C377" s="800" t="s">
        <v>9749</v>
      </c>
      <c r="D377" s="800" t="s">
        <v>12554</v>
      </c>
      <c r="E377" s="801">
        <v>43060</v>
      </c>
      <c r="F377" s="800" t="s">
        <v>1707</v>
      </c>
      <c r="G377" s="800" t="s">
        <v>12555</v>
      </c>
      <c r="H377" s="800" t="s">
        <v>10404</v>
      </c>
      <c r="I377" s="800" t="s">
        <v>10404</v>
      </c>
      <c r="J377" s="800" t="s">
        <v>10447</v>
      </c>
      <c r="K377" s="800">
        <v>1</v>
      </c>
      <c r="L377" s="802" t="s">
        <v>10398</v>
      </c>
      <c r="M377" s="802" t="s">
        <v>12556</v>
      </c>
      <c r="N377" s="802" t="s">
        <v>12557</v>
      </c>
      <c r="O377" s="802" t="s">
        <v>12558</v>
      </c>
      <c r="P377" s="807" t="s">
        <v>12559</v>
      </c>
    </row>
    <row r="378" spans="1:16" s="341" customFormat="1" ht="15" customHeight="1">
      <c r="A378" s="806" t="s">
        <v>6473</v>
      </c>
      <c r="B378" s="800" t="s">
        <v>3770</v>
      </c>
      <c r="C378" s="800" t="s">
        <v>9749</v>
      </c>
      <c r="D378" s="800" t="s">
        <v>12560</v>
      </c>
      <c r="E378" s="801">
        <v>43060</v>
      </c>
      <c r="F378" s="800" t="s">
        <v>6401</v>
      </c>
      <c r="G378" s="800" t="s">
        <v>12561</v>
      </c>
      <c r="H378" s="800" t="s">
        <v>10404</v>
      </c>
      <c r="I378" s="800" t="s">
        <v>10404</v>
      </c>
      <c r="J378" s="800" t="s">
        <v>10426</v>
      </c>
      <c r="K378" s="800">
        <v>1</v>
      </c>
      <c r="L378" s="802" t="s">
        <v>10398</v>
      </c>
      <c r="M378" s="802" t="s">
        <v>12562</v>
      </c>
      <c r="N378" s="802" t="s">
        <v>4137</v>
      </c>
      <c r="O378" s="802" t="s">
        <v>12563</v>
      </c>
      <c r="P378" s="807" t="s">
        <v>12564</v>
      </c>
    </row>
    <row r="379" spans="1:16" s="341" customFormat="1" ht="15" customHeight="1">
      <c r="A379" s="806" t="s">
        <v>6473</v>
      </c>
      <c r="B379" s="800" t="s">
        <v>3770</v>
      </c>
      <c r="C379" s="800" t="s">
        <v>9749</v>
      </c>
      <c r="D379" s="800" t="s">
        <v>12565</v>
      </c>
      <c r="E379" s="801">
        <v>43060</v>
      </c>
      <c r="F379" s="800" t="s">
        <v>6401</v>
      </c>
      <c r="G379" s="800" t="s">
        <v>12566</v>
      </c>
      <c r="H379" s="800" t="s">
        <v>10404</v>
      </c>
      <c r="I379" s="800" t="s">
        <v>10404</v>
      </c>
      <c r="J379" s="800" t="s">
        <v>10447</v>
      </c>
      <c r="K379" s="800">
        <v>1</v>
      </c>
      <c r="L379" s="802" t="s">
        <v>10398</v>
      </c>
      <c r="M379" s="802" t="s">
        <v>12567</v>
      </c>
      <c r="N379" s="802" t="s">
        <v>12568</v>
      </c>
      <c r="O379" s="802" t="s">
        <v>12569</v>
      </c>
      <c r="P379" s="807" t="s">
        <v>12570</v>
      </c>
    </row>
    <row r="380" spans="1:16" s="341" customFormat="1" ht="15" customHeight="1">
      <c r="A380" s="806" t="s">
        <v>6473</v>
      </c>
      <c r="B380" s="800" t="s">
        <v>3770</v>
      </c>
      <c r="C380" s="800" t="s">
        <v>9749</v>
      </c>
      <c r="D380" s="800" t="s">
        <v>12571</v>
      </c>
      <c r="E380" s="801">
        <v>43060</v>
      </c>
      <c r="F380" s="800" t="s">
        <v>6401</v>
      </c>
      <c r="G380" s="800" t="s">
        <v>12572</v>
      </c>
      <c r="H380" s="800" t="s">
        <v>10404</v>
      </c>
      <c r="I380" s="800" t="s">
        <v>10404</v>
      </c>
      <c r="J380" s="800" t="s">
        <v>10447</v>
      </c>
      <c r="K380" s="800">
        <v>1</v>
      </c>
      <c r="L380" s="802" t="s">
        <v>10398</v>
      </c>
      <c r="M380" s="802" t="s">
        <v>12573</v>
      </c>
      <c r="N380" s="802" t="s">
        <v>12532</v>
      </c>
      <c r="O380" s="802" t="s">
        <v>12574</v>
      </c>
      <c r="P380" s="807" t="s">
        <v>12575</v>
      </c>
    </row>
    <row r="381" spans="1:16" s="341" customFormat="1" ht="38.25" customHeight="1">
      <c r="A381" s="806" t="s">
        <v>6473</v>
      </c>
      <c r="B381" s="800" t="s">
        <v>3770</v>
      </c>
      <c r="C381" s="800" t="s">
        <v>9749</v>
      </c>
      <c r="D381" s="800" t="s">
        <v>12576</v>
      </c>
      <c r="E381" s="801">
        <v>43060</v>
      </c>
      <c r="F381" s="800" t="s">
        <v>6401</v>
      </c>
      <c r="G381" s="800" t="s">
        <v>12577</v>
      </c>
      <c r="H381" s="800" t="s">
        <v>10404</v>
      </c>
      <c r="I381" s="800" t="s">
        <v>10404</v>
      </c>
      <c r="J381" s="800" t="s">
        <v>10447</v>
      </c>
      <c r="K381" s="800">
        <v>1</v>
      </c>
      <c r="L381" s="802" t="s">
        <v>10398</v>
      </c>
      <c r="M381" s="802" t="s">
        <v>12578</v>
      </c>
      <c r="N381" s="802" t="s">
        <v>12579</v>
      </c>
      <c r="O381" s="802" t="s">
        <v>12580</v>
      </c>
      <c r="P381" s="807" t="s">
        <v>12581</v>
      </c>
    </row>
    <row r="382" spans="1:16" s="341" customFormat="1" ht="38.25" customHeight="1">
      <c r="A382" s="806" t="s">
        <v>6473</v>
      </c>
      <c r="B382" s="800" t="s">
        <v>3770</v>
      </c>
      <c r="C382" s="800" t="s">
        <v>9749</v>
      </c>
      <c r="D382" s="800" t="s">
        <v>12582</v>
      </c>
      <c r="E382" s="801">
        <v>43060</v>
      </c>
      <c r="F382" s="800" t="s">
        <v>6401</v>
      </c>
      <c r="G382" s="800" t="s">
        <v>12583</v>
      </c>
      <c r="H382" s="800" t="s">
        <v>10531</v>
      </c>
      <c r="I382" s="800" t="s">
        <v>10531</v>
      </c>
      <c r="J382" s="800" t="s">
        <v>10447</v>
      </c>
      <c r="K382" s="800">
        <v>1</v>
      </c>
      <c r="L382" s="802" t="s">
        <v>10398</v>
      </c>
      <c r="M382" s="802" t="s">
        <v>12584</v>
      </c>
      <c r="N382" s="802" t="s">
        <v>12585</v>
      </c>
      <c r="O382" s="802" t="s">
        <v>12586</v>
      </c>
      <c r="P382" s="807" t="s">
        <v>12587</v>
      </c>
    </row>
    <row r="383" spans="1:16" s="341" customFormat="1" ht="15" customHeight="1">
      <c r="A383" s="806" t="s">
        <v>6473</v>
      </c>
      <c r="B383" s="800" t="s">
        <v>3770</v>
      </c>
      <c r="C383" s="800" t="s">
        <v>9749</v>
      </c>
      <c r="D383" s="800" t="s">
        <v>12588</v>
      </c>
      <c r="E383" s="801">
        <v>43061</v>
      </c>
      <c r="F383" s="800" t="s">
        <v>6401</v>
      </c>
      <c r="G383" s="800" t="s">
        <v>12589</v>
      </c>
      <c r="H383" s="800" t="s">
        <v>10404</v>
      </c>
      <c r="I383" s="800" t="s">
        <v>10404</v>
      </c>
      <c r="J383" s="800" t="s">
        <v>10447</v>
      </c>
      <c r="K383" s="800">
        <v>1</v>
      </c>
      <c r="L383" s="802" t="s">
        <v>10398</v>
      </c>
      <c r="M383" s="802" t="s">
        <v>12590</v>
      </c>
      <c r="N383" s="802" t="s">
        <v>12591</v>
      </c>
      <c r="O383" s="802" t="s">
        <v>12586</v>
      </c>
      <c r="P383" s="807" t="s">
        <v>12592</v>
      </c>
    </row>
    <row r="384" spans="1:16" s="341" customFormat="1" ht="15" customHeight="1">
      <c r="A384" s="806" t="s">
        <v>6473</v>
      </c>
      <c r="B384" s="800" t="s">
        <v>3770</v>
      </c>
      <c r="C384" s="800" t="s">
        <v>9749</v>
      </c>
      <c r="D384" s="800" t="s">
        <v>12593</v>
      </c>
      <c r="E384" s="801">
        <v>43061</v>
      </c>
      <c r="F384" s="800" t="s">
        <v>6401</v>
      </c>
      <c r="G384" s="800" t="s">
        <v>12594</v>
      </c>
      <c r="H384" s="800" t="s">
        <v>10433</v>
      </c>
      <c r="I384" s="800" t="s">
        <v>10433</v>
      </c>
      <c r="J384" s="800" t="s">
        <v>10447</v>
      </c>
      <c r="K384" s="800">
        <v>1</v>
      </c>
      <c r="L384" s="802" t="s">
        <v>10398</v>
      </c>
      <c r="M384" s="802" t="s">
        <v>32</v>
      </c>
      <c r="N384" s="802" t="s">
        <v>12595</v>
      </c>
      <c r="O384" s="802" t="s">
        <v>12596</v>
      </c>
      <c r="P384" s="807" t="s">
        <v>12592</v>
      </c>
    </row>
    <row r="385" spans="1:16" s="341" customFormat="1" ht="15" customHeight="1">
      <c r="A385" s="806" t="s">
        <v>6473</v>
      </c>
      <c r="B385" s="800" t="s">
        <v>3770</v>
      </c>
      <c r="C385" s="800" t="s">
        <v>9749</v>
      </c>
      <c r="D385" s="800" t="s">
        <v>12597</v>
      </c>
      <c r="E385" s="801">
        <v>43061</v>
      </c>
      <c r="F385" s="800" t="s">
        <v>6401</v>
      </c>
      <c r="G385" s="800" t="s">
        <v>12598</v>
      </c>
      <c r="H385" s="800" t="s">
        <v>10404</v>
      </c>
      <c r="I385" s="800" t="s">
        <v>10404</v>
      </c>
      <c r="J385" s="800" t="s">
        <v>10447</v>
      </c>
      <c r="K385" s="800">
        <v>1</v>
      </c>
      <c r="L385" s="802" t="s">
        <v>10398</v>
      </c>
      <c r="M385" s="802" t="s">
        <v>12599</v>
      </c>
      <c r="N385" s="802" t="s">
        <v>12600</v>
      </c>
      <c r="O385" s="802" t="s">
        <v>12601</v>
      </c>
      <c r="P385" s="807" t="s">
        <v>12602</v>
      </c>
    </row>
    <row r="386" spans="1:16" s="341" customFormat="1" ht="15" customHeight="1">
      <c r="A386" s="806" t="s">
        <v>6473</v>
      </c>
      <c r="B386" s="800" t="s">
        <v>3770</v>
      </c>
      <c r="C386" s="800" t="s">
        <v>9749</v>
      </c>
      <c r="D386" s="800" t="s">
        <v>12603</v>
      </c>
      <c r="E386" s="801">
        <v>43061</v>
      </c>
      <c r="F386" s="800" t="s">
        <v>6401</v>
      </c>
      <c r="G386" s="800" t="s">
        <v>12604</v>
      </c>
      <c r="H386" s="800" t="s">
        <v>10396</v>
      </c>
      <c r="I386" s="800" t="s">
        <v>10396</v>
      </c>
      <c r="J386" s="800" t="s">
        <v>10447</v>
      </c>
      <c r="K386" s="800">
        <v>1</v>
      </c>
      <c r="L386" s="802" t="s">
        <v>10398</v>
      </c>
      <c r="M386" s="802" t="s">
        <v>12605</v>
      </c>
      <c r="N386" s="802" t="s">
        <v>12606</v>
      </c>
      <c r="O386" s="802" t="s">
        <v>12607</v>
      </c>
      <c r="P386" s="807" t="s">
        <v>12608</v>
      </c>
    </row>
    <row r="387" spans="1:16" s="341" customFormat="1" ht="15" customHeight="1">
      <c r="A387" s="806" t="s">
        <v>6473</v>
      </c>
      <c r="B387" s="800" t="s">
        <v>3770</v>
      </c>
      <c r="C387" s="800" t="s">
        <v>9749</v>
      </c>
      <c r="D387" s="800" t="s">
        <v>12609</v>
      </c>
      <c r="E387" s="801">
        <v>43061</v>
      </c>
      <c r="F387" s="800" t="s">
        <v>6401</v>
      </c>
      <c r="G387" s="800" t="s">
        <v>12610</v>
      </c>
      <c r="H387" s="800" t="s">
        <v>10396</v>
      </c>
      <c r="I387" s="800" t="s">
        <v>10396</v>
      </c>
      <c r="J387" s="800" t="s">
        <v>10447</v>
      </c>
      <c r="K387" s="800">
        <v>1</v>
      </c>
      <c r="L387" s="802" t="s">
        <v>10398</v>
      </c>
      <c r="M387" s="802" t="s">
        <v>12611</v>
      </c>
      <c r="N387" s="802" t="s">
        <v>10628</v>
      </c>
      <c r="O387" s="802" t="s">
        <v>12607</v>
      </c>
      <c r="P387" s="807" t="s">
        <v>12612</v>
      </c>
    </row>
    <row r="388" spans="1:16" s="341" customFormat="1" ht="15" customHeight="1">
      <c r="A388" s="806" t="s">
        <v>6473</v>
      </c>
      <c r="B388" s="800" t="s">
        <v>3770</v>
      </c>
      <c r="C388" s="800" t="s">
        <v>9749</v>
      </c>
      <c r="D388" s="800" t="s">
        <v>12613</v>
      </c>
      <c r="E388" s="801">
        <v>43061</v>
      </c>
      <c r="F388" s="800" t="s">
        <v>6401</v>
      </c>
      <c r="G388" s="800" t="s">
        <v>12614</v>
      </c>
      <c r="H388" s="800" t="s">
        <v>10396</v>
      </c>
      <c r="I388" s="800" t="s">
        <v>10396</v>
      </c>
      <c r="J388" s="800" t="s">
        <v>10447</v>
      </c>
      <c r="K388" s="800">
        <v>1</v>
      </c>
      <c r="L388" s="802" t="s">
        <v>10398</v>
      </c>
      <c r="M388" s="802" t="s">
        <v>12615</v>
      </c>
      <c r="N388" s="802" t="s">
        <v>12616</v>
      </c>
      <c r="O388" s="802" t="s">
        <v>12617</v>
      </c>
      <c r="P388" s="807" t="s">
        <v>12618</v>
      </c>
    </row>
    <row r="389" spans="1:16" s="341" customFormat="1" ht="25.5" customHeight="1">
      <c r="A389" s="806" t="s">
        <v>6473</v>
      </c>
      <c r="B389" s="800" t="s">
        <v>3770</v>
      </c>
      <c r="C389" s="800" t="s">
        <v>9749</v>
      </c>
      <c r="D389" s="800" t="s">
        <v>12619</v>
      </c>
      <c r="E389" s="801">
        <v>43061</v>
      </c>
      <c r="F389" s="800" t="s">
        <v>6401</v>
      </c>
      <c r="G389" s="800" t="s">
        <v>12620</v>
      </c>
      <c r="H389" s="800" t="s">
        <v>10531</v>
      </c>
      <c r="I389" s="800" t="s">
        <v>10531</v>
      </c>
      <c r="J389" s="800" t="s">
        <v>10447</v>
      </c>
      <c r="K389" s="800">
        <v>1</v>
      </c>
      <c r="L389" s="802" t="s">
        <v>10398</v>
      </c>
      <c r="M389" s="802" t="s">
        <v>12621</v>
      </c>
      <c r="N389" s="802" t="s">
        <v>12622</v>
      </c>
      <c r="O389" s="802" t="s">
        <v>12623</v>
      </c>
      <c r="P389" s="807" t="s">
        <v>12624</v>
      </c>
    </row>
    <row r="390" spans="1:16" s="341" customFormat="1" ht="15" customHeight="1">
      <c r="A390" s="806" t="s">
        <v>6473</v>
      </c>
      <c r="B390" s="800" t="s">
        <v>3770</v>
      </c>
      <c r="C390" s="800" t="s">
        <v>9749</v>
      </c>
      <c r="D390" s="800" t="s">
        <v>12625</v>
      </c>
      <c r="E390" s="801">
        <v>43061</v>
      </c>
      <c r="F390" s="800" t="s">
        <v>6401</v>
      </c>
      <c r="G390" s="800" t="s">
        <v>12626</v>
      </c>
      <c r="H390" s="800" t="s">
        <v>10531</v>
      </c>
      <c r="I390" s="800" t="s">
        <v>10531</v>
      </c>
      <c r="J390" s="800" t="s">
        <v>10447</v>
      </c>
      <c r="K390" s="800">
        <v>1</v>
      </c>
      <c r="L390" s="802" t="s">
        <v>10398</v>
      </c>
      <c r="M390" s="802" t="s">
        <v>12627</v>
      </c>
      <c r="N390" s="802" t="s">
        <v>12628</v>
      </c>
      <c r="O390" s="802" t="s">
        <v>12629</v>
      </c>
      <c r="P390" s="807" t="s">
        <v>12630</v>
      </c>
    </row>
    <row r="391" spans="1:16" s="341" customFormat="1" ht="15" customHeight="1">
      <c r="A391" s="806" t="s">
        <v>6473</v>
      </c>
      <c r="B391" s="800" t="s">
        <v>3770</v>
      </c>
      <c r="C391" s="800" t="s">
        <v>9749</v>
      </c>
      <c r="D391" s="800" t="s">
        <v>12631</v>
      </c>
      <c r="E391" s="801">
        <v>43061</v>
      </c>
      <c r="F391" s="800" t="s">
        <v>6401</v>
      </c>
      <c r="G391" s="800" t="s">
        <v>12632</v>
      </c>
      <c r="H391" s="800" t="s">
        <v>10396</v>
      </c>
      <c r="I391" s="800" t="s">
        <v>10396</v>
      </c>
      <c r="J391" s="800" t="s">
        <v>4342</v>
      </c>
      <c r="K391" s="800">
        <v>1</v>
      </c>
      <c r="L391" s="802" t="s">
        <v>10398</v>
      </c>
      <c r="M391" s="802" t="s">
        <v>12633</v>
      </c>
      <c r="N391" s="802" t="s">
        <v>12532</v>
      </c>
      <c r="O391" s="802" t="s">
        <v>12634</v>
      </c>
      <c r="P391" s="807" t="s">
        <v>12635</v>
      </c>
    </row>
    <row r="392" spans="1:16" s="341" customFormat="1" ht="38.25" customHeight="1">
      <c r="A392" s="806" t="s">
        <v>6473</v>
      </c>
      <c r="B392" s="800" t="s">
        <v>3770</v>
      </c>
      <c r="C392" s="800" t="s">
        <v>9749</v>
      </c>
      <c r="D392" s="800" t="s">
        <v>12636</v>
      </c>
      <c r="E392" s="801">
        <v>43061</v>
      </c>
      <c r="F392" s="800" t="s">
        <v>6401</v>
      </c>
      <c r="G392" s="800" t="s">
        <v>12637</v>
      </c>
      <c r="H392" s="800" t="s">
        <v>10531</v>
      </c>
      <c r="I392" s="800" t="s">
        <v>10531</v>
      </c>
      <c r="J392" s="800" t="s">
        <v>10447</v>
      </c>
      <c r="K392" s="800">
        <v>1</v>
      </c>
      <c r="L392" s="802" t="s">
        <v>10398</v>
      </c>
      <c r="M392" s="802" t="s">
        <v>12638</v>
      </c>
      <c r="N392" s="802" t="s">
        <v>10648</v>
      </c>
      <c r="O392" s="802" t="s">
        <v>12639</v>
      </c>
      <c r="P392" s="807" t="s">
        <v>12640</v>
      </c>
    </row>
    <row r="393" spans="1:16" s="341" customFormat="1" ht="38.25" customHeight="1">
      <c r="A393" s="806" t="s">
        <v>6473</v>
      </c>
      <c r="B393" s="800" t="s">
        <v>3770</v>
      </c>
      <c r="C393" s="800" t="s">
        <v>9749</v>
      </c>
      <c r="D393" s="800" t="s">
        <v>12641</v>
      </c>
      <c r="E393" s="801">
        <v>43061</v>
      </c>
      <c r="F393" s="800" t="s">
        <v>6401</v>
      </c>
      <c r="G393" s="800" t="s">
        <v>12642</v>
      </c>
      <c r="H393" s="800" t="s">
        <v>10531</v>
      </c>
      <c r="I393" s="800" t="s">
        <v>10531</v>
      </c>
      <c r="J393" s="800" t="s">
        <v>10447</v>
      </c>
      <c r="K393" s="800">
        <v>1</v>
      </c>
      <c r="L393" s="802" t="s">
        <v>10398</v>
      </c>
      <c r="M393" s="802" t="s">
        <v>12643</v>
      </c>
      <c r="N393" s="802" t="s">
        <v>1101</v>
      </c>
      <c r="O393" s="802" t="s">
        <v>12644</v>
      </c>
      <c r="P393" s="807" t="s">
        <v>12645</v>
      </c>
    </row>
    <row r="394" spans="1:16" s="341" customFormat="1" ht="38.25" customHeight="1">
      <c r="A394" s="806" t="s">
        <v>6473</v>
      </c>
      <c r="B394" s="800" t="s">
        <v>3770</v>
      </c>
      <c r="C394" s="800" t="s">
        <v>9749</v>
      </c>
      <c r="D394" s="800" t="s">
        <v>12646</v>
      </c>
      <c r="E394" s="801">
        <v>43062</v>
      </c>
      <c r="F394" s="800" t="s">
        <v>5929</v>
      </c>
      <c r="G394" s="800" t="s">
        <v>12647</v>
      </c>
      <c r="H394" s="800" t="s">
        <v>10404</v>
      </c>
      <c r="I394" s="800" t="s">
        <v>10404</v>
      </c>
      <c r="J394" s="800" t="s">
        <v>10426</v>
      </c>
      <c r="K394" s="800">
        <v>1</v>
      </c>
      <c r="L394" s="802" t="s">
        <v>10398</v>
      </c>
      <c r="M394" s="802" t="s">
        <v>12648</v>
      </c>
      <c r="N394" s="802" t="s">
        <v>12649</v>
      </c>
      <c r="O394" s="802" t="s">
        <v>12650</v>
      </c>
      <c r="P394" s="807" t="s">
        <v>12651</v>
      </c>
    </row>
    <row r="395" spans="1:16" s="341" customFormat="1" ht="38.25" customHeight="1">
      <c r="A395" s="806" t="s">
        <v>6473</v>
      </c>
      <c r="B395" s="800" t="s">
        <v>3770</v>
      </c>
      <c r="C395" s="800" t="s">
        <v>9749</v>
      </c>
      <c r="D395" s="800" t="s">
        <v>12652</v>
      </c>
      <c r="E395" s="801">
        <v>43048</v>
      </c>
      <c r="F395" s="800" t="s">
        <v>12653</v>
      </c>
      <c r="G395" s="800" t="s">
        <v>12654</v>
      </c>
      <c r="H395" s="800" t="s">
        <v>10396</v>
      </c>
      <c r="I395" s="800" t="s">
        <v>10396</v>
      </c>
      <c r="J395" s="800" t="s">
        <v>10426</v>
      </c>
      <c r="K395" s="800">
        <v>2</v>
      </c>
      <c r="L395" s="802" t="s">
        <v>10398</v>
      </c>
      <c r="M395" s="802" t="s">
        <v>12655</v>
      </c>
      <c r="N395" s="802" t="s">
        <v>12656</v>
      </c>
      <c r="O395" s="802" t="s">
        <v>12657</v>
      </c>
      <c r="P395" s="807" t="s">
        <v>12658</v>
      </c>
    </row>
    <row r="396" spans="1:16" s="341" customFormat="1" ht="38.25" customHeight="1">
      <c r="A396" s="806" t="s">
        <v>6473</v>
      </c>
      <c r="B396" s="800" t="s">
        <v>3770</v>
      </c>
      <c r="C396" s="800" t="s">
        <v>9749</v>
      </c>
      <c r="D396" s="800" t="s">
        <v>12652</v>
      </c>
      <c r="E396" s="801">
        <v>43048</v>
      </c>
      <c r="F396" s="800" t="s">
        <v>12653</v>
      </c>
      <c r="G396" s="800" t="s">
        <v>12654</v>
      </c>
      <c r="H396" s="800" t="s">
        <v>10396</v>
      </c>
      <c r="I396" s="800" t="s">
        <v>10396</v>
      </c>
      <c r="J396" s="800" t="s">
        <v>10426</v>
      </c>
      <c r="K396" s="800">
        <v>2</v>
      </c>
      <c r="L396" s="802" t="s">
        <v>10398</v>
      </c>
      <c r="M396" s="802" t="s">
        <v>12659</v>
      </c>
      <c r="N396" s="802" t="s">
        <v>12660</v>
      </c>
      <c r="O396" s="802" t="s">
        <v>12657</v>
      </c>
      <c r="P396" s="807" t="s">
        <v>12658</v>
      </c>
    </row>
    <row r="397" spans="1:16" s="341" customFormat="1" ht="38.25" customHeight="1">
      <c r="A397" s="806" t="s">
        <v>6473</v>
      </c>
      <c r="B397" s="800" t="s">
        <v>3770</v>
      </c>
      <c r="C397" s="800" t="s">
        <v>9749</v>
      </c>
      <c r="D397" s="800" t="s">
        <v>12661</v>
      </c>
      <c r="E397" s="801">
        <v>43067</v>
      </c>
      <c r="F397" s="800" t="s">
        <v>6215</v>
      </c>
      <c r="G397" s="800" t="s">
        <v>12662</v>
      </c>
      <c r="H397" s="800" t="s">
        <v>10404</v>
      </c>
      <c r="I397" s="800" t="s">
        <v>10404</v>
      </c>
      <c r="J397" s="800" t="s">
        <v>10426</v>
      </c>
      <c r="K397" s="800">
        <v>1</v>
      </c>
      <c r="L397" s="802" t="s">
        <v>10398</v>
      </c>
      <c r="M397" s="802" t="s">
        <v>12663</v>
      </c>
      <c r="N397" s="802" t="s">
        <v>12664</v>
      </c>
      <c r="O397" s="802" t="s">
        <v>12665</v>
      </c>
      <c r="P397" s="807" t="s">
        <v>12666</v>
      </c>
    </row>
    <row r="398" spans="1:16" s="341" customFormat="1" ht="38.25" customHeight="1">
      <c r="A398" s="806" t="s">
        <v>6473</v>
      </c>
      <c r="B398" s="800" t="s">
        <v>3770</v>
      </c>
      <c r="C398" s="800" t="s">
        <v>9749</v>
      </c>
      <c r="D398" s="800" t="s">
        <v>12667</v>
      </c>
      <c r="E398" s="801">
        <v>43076</v>
      </c>
      <c r="F398" s="800" t="s">
        <v>12668</v>
      </c>
      <c r="G398" s="800" t="s">
        <v>12669</v>
      </c>
      <c r="H398" s="800" t="s">
        <v>10396</v>
      </c>
      <c r="I398" s="800" t="s">
        <v>10396</v>
      </c>
      <c r="J398" s="800" t="s">
        <v>10447</v>
      </c>
      <c r="K398" s="800">
        <v>1</v>
      </c>
      <c r="L398" s="802" t="s">
        <v>10398</v>
      </c>
      <c r="M398" s="802" t="s">
        <v>12670</v>
      </c>
      <c r="N398" s="802" t="s">
        <v>12671</v>
      </c>
      <c r="O398" s="802" t="s">
        <v>12672</v>
      </c>
      <c r="P398" s="807" t="s">
        <v>12673</v>
      </c>
    </row>
    <row r="399" spans="1:16" s="341" customFormat="1" ht="38.25" customHeight="1">
      <c r="A399" s="806" t="s">
        <v>6473</v>
      </c>
      <c r="B399" s="800" t="s">
        <v>3770</v>
      </c>
      <c r="C399" s="800" t="s">
        <v>9749</v>
      </c>
      <c r="D399" s="800" t="s">
        <v>12674</v>
      </c>
      <c r="E399" s="801">
        <v>43067</v>
      </c>
      <c r="F399" s="800" t="s">
        <v>2323</v>
      </c>
      <c r="G399" s="800" t="s">
        <v>12675</v>
      </c>
      <c r="H399" s="800" t="s">
        <v>10396</v>
      </c>
      <c r="I399" s="800" t="s">
        <v>10396</v>
      </c>
      <c r="J399" s="800" t="s">
        <v>10447</v>
      </c>
      <c r="K399" s="800">
        <v>1</v>
      </c>
      <c r="L399" s="802" t="s">
        <v>10398</v>
      </c>
      <c r="M399" s="802" t="s">
        <v>12676</v>
      </c>
      <c r="N399" s="802" t="s">
        <v>11364</v>
      </c>
      <c r="O399" s="802" t="s">
        <v>12677</v>
      </c>
      <c r="P399" s="807" t="s">
        <v>12678</v>
      </c>
    </row>
    <row r="400" spans="1:16" s="341" customFormat="1" ht="38.25" customHeight="1">
      <c r="A400" s="806" t="s">
        <v>6473</v>
      </c>
      <c r="B400" s="800" t="s">
        <v>3770</v>
      </c>
      <c r="C400" s="800" t="s">
        <v>9749</v>
      </c>
      <c r="D400" s="800" t="s">
        <v>12679</v>
      </c>
      <c r="E400" s="801">
        <v>43067</v>
      </c>
      <c r="F400" s="800" t="s">
        <v>12680</v>
      </c>
      <c r="G400" s="800" t="s">
        <v>12681</v>
      </c>
      <c r="H400" s="800" t="s">
        <v>10433</v>
      </c>
      <c r="I400" s="800" t="s">
        <v>10433</v>
      </c>
      <c r="J400" s="800" t="s">
        <v>10447</v>
      </c>
      <c r="K400" s="800">
        <v>1</v>
      </c>
      <c r="L400" s="802" t="s">
        <v>10398</v>
      </c>
      <c r="M400" s="802" t="s">
        <v>12543</v>
      </c>
      <c r="N400" s="802" t="s">
        <v>11571</v>
      </c>
      <c r="O400" s="802" t="s">
        <v>12682</v>
      </c>
      <c r="P400" s="807" t="s">
        <v>12546</v>
      </c>
    </row>
    <row r="401" spans="1:16" s="341" customFormat="1" ht="38.25" customHeight="1">
      <c r="A401" s="806" t="s">
        <v>6473</v>
      </c>
      <c r="B401" s="800" t="s">
        <v>4346</v>
      </c>
      <c r="C401" s="800" t="s">
        <v>4404</v>
      </c>
      <c r="D401" s="800" t="s">
        <v>12683</v>
      </c>
      <c r="E401" s="801">
        <v>43015</v>
      </c>
      <c r="F401" s="800" t="s">
        <v>12684</v>
      </c>
      <c r="G401" s="800" t="s">
        <v>12685</v>
      </c>
      <c r="H401" s="800" t="s">
        <v>10531</v>
      </c>
      <c r="I401" s="800" t="s">
        <v>10531</v>
      </c>
      <c r="J401" s="800" t="s">
        <v>10664</v>
      </c>
      <c r="K401" s="800">
        <v>1</v>
      </c>
      <c r="L401" s="802" t="s">
        <v>10398</v>
      </c>
      <c r="M401" s="802" t="s">
        <v>12686</v>
      </c>
      <c r="N401" s="802" t="s">
        <v>12687</v>
      </c>
      <c r="O401" s="802" t="s">
        <v>12688</v>
      </c>
      <c r="P401" s="807" t="s">
        <v>12689</v>
      </c>
    </row>
    <row r="402" spans="1:16" s="341" customFormat="1" ht="38.25" customHeight="1">
      <c r="A402" s="806" t="s">
        <v>6473</v>
      </c>
      <c r="B402" s="800" t="s">
        <v>4346</v>
      </c>
      <c r="C402" s="800" t="s">
        <v>2377</v>
      </c>
      <c r="D402" s="800" t="s">
        <v>12690</v>
      </c>
      <c r="E402" s="801">
        <v>43014</v>
      </c>
      <c r="F402" s="800" t="s">
        <v>10481</v>
      </c>
      <c r="G402" s="800" t="s">
        <v>12691</v>
      </c>
      <c r="H402" s="800" t="s">
        <v>10396</v>
      </c>
      <c r="I402" s="800" t="s">
        <v>10396</v>
      </c>
      <c r="J402" s="800" t="s">
        <v>10447</v>
      </c>
      <c r="K402" s="800">
        <v>1</v>
      </c>
      <c r="L402" s="802" t="s">
        <v>10398</v>
      </c>
      <c r="M402" s="802" t="s">
        <v>12692</v>
      </c>
      <c r="N402" s="802" t="s">
        <v>12693</v>
      </c>
      <c r="O402" s="802" t="s">
        <v>12694</v>
      </c>
      <c r="P402" s="807" t="s">
        <v>12695</v>
      </c>
    </row>
    <row r="403" spans="1:16" s="341" customFormat="1" ht="38.25" customHeight="1">
      <c r="A403" s="806" t="s">
        <v>6473</v>
      </c>
      <c r="B403" s="800" t="s">
        <v>4346</v>
      </c>
      <c r="C403" s="800" t="s">
        <v>4410</v>
      </c>
      <c r="D403" s="800" t="s">
        <v>12696</v>
      </c>
      <c r="E403" s="801">
        <v>43013</v>
      </c>
      <c r="F403" s="800" t="s">
        <v>32</v>
      </c>
      <c r="G403" s="800" t="s">
        <v>12697</v>
      </c>
      <c r="H403" s="800" t="s">
        <v>10433</v>
      </c>
      <c r="I403" s="800" t="s">
        <v>10433</v>
      </c>
      <c r="J403" s="800" t="s">
        <v>10664</v>
      </c>
      <c r="K403" s="800">
        <v>1</v>
      </c>
      <c r="L403" s="802" t="s">
        <v>10398</v>
      </c>
      <c r="M403" s="802" t="s">
        <v>12698</v>
      </c>
      <c r="N403" s="802" t="s">
        <v>12699</v>
      </c>
      <c r="O403" s="802" t="s">
        <v>12700</v>
      </c>
      <c r="P403" s="807" t="s">
        <v>12701</v>
      </c>
    </row>
    <row r="404" spans="1:16" s="341" customFormat="1" ht="25.5" customHeight="1">
      <c r="A404" s="806" t="s">
        <v>6473</v>
      </c>
      <c r="B404" s="800" t="s">
        <v>4346</v>
      </c>
      <c r="C404" s="800" t="s">
        <v>4401</v>
      </c>
      <c r="D404" s="800" t="s">
        <v>12702</v>
      </c>
      <c r="E404" s="801">
        <v>43018</v>
      </c>
      <c r="F404" s="800" t="s">
        <v>12703</v>
      </c>
      <c r="G404" s="800" t="s">
        <v>12704</v>
      </c>
      <c r="H404" s="800" t="s">
        <v>10531</v>
      </c>
      <c r="I404" s="800" t="s">
        <v>10531</v>
      </c>
      <c r="J404" s="800" t="s">
        <v>10447</v>
      </c>
      <c r="K404" s="800">
        <v>1</v>
      </c>
      <c r="L404" s="802" t="s">
        <v>10398</v>
      </c>
      <c r="M404" s="802" t="s">
        <v>12705</v>
      </c>
      <c r="N404" s="802" t="s">
        <v>10951</v>
      </c>
      <c r="O404" s="802" t="s">
        <v>12706</v>
      </c>
      <c r="P404" s="807" t="s">
        <v>12707</v>
      </c>
    </row>
    <row r="405" spans="1:16" s="341" customFormat="1" ht="38.25" customHeight="1">
      <c r="A405" s="806" t="s">
        <v>6473</v>
      </c>
      <c r="B405" s="800" t="s">
        <v>4346</v>
      </c>
      <c r="C405" s="800" t="s">
        <v>1658</v>
      </c>
      <c r="D405" s="800" t="s">
        <v>12708</v>
      </c>
      <c r="E405" s="801">
        <v>43014</v>
      </c>
      <c r="F405" s="800" t="s">
        <v>12709</v>
      </c>
      <c r="G405" s="800" t="s">
        <v>12710</v>
      </c>
      <c r="H405" s="800" t="s">
        <v>10531</v>
      </c>
      <c r="I405" s="800" t="s">
        <v>10531</v>
      </c>
      <c r="J405" s="800" t="s">
        <v>10447</v>
      </c>
      <c r="K405" s="800">
        <v>1</v>
      </c>
      <c r="L405" s="802" t="s">
        <v>10398</v>
      </c>
      <c r="M405" s="802" t="s">
        <v>12711</v>
      </c>
      <c r="N405" s="802" t="s">
        <v>12712</v>
      </c>
      <c r="O405" s="802" t="s">
        <v>12713</v>
      </c>
      <c r="P405" s="807" t="s">
        <v>12714</v>
      </c>
    </row>
    <row r="406" spans="1:16" s="341" customFormat="1" ht="38.25" customHeight="1">
      <c r="A406" s="806" t="s">
        <v>6473</v>
      </c>
      <c r="B406" s="800" t="s">
        <v>4346</v>
      </c>
      <c r="C406" s="800" t="s">
        <v>4203</v>
      </c>
      <c r="D406" s="800" t="s">
        <v>12715</v>
      </c>
      <c r="E406" s="801">
        <v>43013</v>
      </c>
      <c r="F406" s="800" t="s">
        <v>12716</v>
      </c>
      <c r="G406" s="800" t="s">
        <v>12717</v>
      </c>
      <c r="H406" s="800" t="s">
        <v>10433</v>
      </c>
      <c r="I406" s="800" t="s">
        <v>10433</v>
      </c>
      <c r="J406" s="800" t="s">
        <v>10447</v>
      </c>
      <c r="K406" s="800">
        <v>1</v>
      </c>
      <c r="L406" s="802" t="s">
        <v>10398</v>
      </c>
      <c r="M406" s="802" t="s">
        <v>12718</v>
      </c>
      <c r="N406" s="802" t="s">
        <v>12719</v>
      </c>
      <c r="O406" s="802" t="s">
        <v>12720</v>
      </c>
      <c r="P406" s="807" t="s">
        <v>12721</v>
      </c>
    </row>
    <row r="407" spans="1:16" s="341" customFormat="1" ht="25.5" customHeight="1">
      <c r="A407" s="806" t="s">
        <v>6473</v>
      </c>
      <c r="B407" s="800" t="s">
        <v>4346</v>
      </c>
      <c r="C407" s="800" t="s">
        <v>4203</v>
      </c>
      <c r="D407" s="800" t="s">
        <v>12722</v>
      </c>
      <c r="E407" s="801">
        <v>43013</v>
      </c>
      <c r="F407" s="800" t="s">
        <v>12716</v>
      </c>
      <c r="G407" s="800" t="s">
        <v>12723</v>
      </c>
      <c r="H407" s="800" t="s">
        <v>10433</v>
      </c>
      <c r="I407" s="800" t="s">
        <v>10433</v>
      </c>
      <c r="J407" s="800" t="s">
        <v>10447</v>
      </c>
      <c r="K407" s="800">
        <v>1</v>
      </c>
      <c r="L407" s="802" t="s">
        <v>10398</v>
      </c>
      <c r="M407" s="802" t="s">
        <v>12724</v>
      </c>
      <c r="N407" s="802" t="s">
        <v>10582</v>
      </c>
      <c r="O407" s="802" t="s">
        <v>12725</v>
      </c>
      <c r="P407" s="807" t="s">
        <v>12726</v>
      </c>
    </row>
    <row r="408" spans="1:16" s="341" customFormat="1" ht="25.5" customHeight="1">
      <c r="A408" s="806" t="s">
        <v>6473</v>
      </c>
      <c r="B408" s="800" t="s">
        <v>4346</v>
      </c>
      <c r="C408" s="800" t="s">
        <v>4203</v>
      </c>
      <c r="D408" s="800" t="s">
        <v>12727</v>
      </c>
      <c r="E408" s="801">
        <v>43013</v>
      </c>
      <c r="F408" s="800" t="s">
        <v>12716</v>
      </c>
      <c r="G408" s="800" t="s">
        <v>32</v>
      </c>
      <c r="H408" s="800" t="s">
        <v>10433</v>
      </c>
      <c r="I408" s="800" t="s">
        <v>10433</v>
      </c>
      <c r="J408" s="800" t="s">
        <v>10447</v>
      </c>
      <c r="K408" s="800">
        <v>1</v>
      </c>
      <c r="L408" s="802" t="s">
        <v>10398</v>
      </c>
      <c r="M408" s="802" t="s">
        <v>12728</v>
      </c>
      <c r="N408" s="802" t="s">
        <v>12729</v>
      </c>
      <c r="O408" s="802" t="s">
        <v>12730</v>
      </c>
      <c r="P408" s="807" t="s">
        <v>12731</v>
      </c>
    </row>
    <row r="409" spans="1:16" s="341" customFormat="1" ht="25.5" customHeight="1">
      <c r="A409" s="806" t="s">
        <v>6473</v>
      </c>
      <c r="B409" s="800" t="s">
        <v>4346</v>
      </c>
      <c r="C409" s="800" t="s">
        <v>4203</v>
      </c>
      <c r="D409" s="800" t="s">
        <v>12732</v>
      </c>
      <c r="E409" s="801">
        <v>43013</v>
      </c>
      <c r="F409" s="800" t="s">
        <v>12716</v>
      </c>
      <c r="G409" s="800" t="s">
        <v>12733</v>
      </c>
      <c r="H409" s="800" t="s">
        <v>10433</v>
      </c>
      <c r="I409" s="800" t="s">
        <v>10433</v>
      </c>
      <c r="J409" s="800" t="s">
        <v>10447</v>
      </c>
      <c r="K409" s="800">
        <v>1</v>
      </c>
      <c r="L409" s="802" t="s">
        <v>10398</v>
      </c>
      <c r="M409" s="802" t="s">
        <v>12734</v>
      </c>
      <c r="N409" s="802" t="s">
        <v>11220</v>
      </c>
      <c r="O409" s="802" t="s">
        <v>12735</v>
      </c>
      <c r="P409" s="807" t="s">
        <v>12736</v>
      </c>
    </row>
    <row r="410" spans="1:16" s="341" customFormat="1" ht="25.5" customHeight="1">
      <c r="A410" s="806" t="s">
        <v>6473</v>
      </c>
      <c r="B410" s="800" t="s">
        <v>4346</v>
      </c>
      <c r="C410" s="800" t="s">
        <v>4203</v>
      </c>
      <c r="D410" s="800" t="s">
        <v>12737</v>
      </c>
      <c r="E410" s="801">
        <v>43013</v>
      </c>
      <c r="F410" s="800" t="s">
        <v>12738</v>
      </c>
      <c r="G410" s="800" t="s">
        <v>12739</v>
      </c>
      <c r="H410" s="800" t="s">
        <v>10404</v>
      </c>
      <c r="I410" s="800" t="s">
        <v>10404</v>
      </c>
      <c r="J410" s="800" t="s">
        <v>10426</v>
      </c>
      <c r="K410" s="800">
        <v>1</v>
      </c>
      <c r="L410" s="802" t="s">
        <v>10398</v>
      </c>
      <c r="M410" s="802" t="s">
        <v>12740</v>
      </c>
      <c r="N410" s="802" t="s">
        <v>12741</v>
      </c>
      <c r="O410" s="802" t="s">
        <v>12742</v>
      </c>
      <c r="P410" s="807" t="s">
        <v>12743</v>
      </c>
    </row>
    <row r="411" spans="1:16" s="341" customFormat="1" ht="25.5" customHeight="1">
      <c r="A411" s="806" t="s">
        <v>6473</v>
      </c>
      <c r="B411" s="800" t="s">
        <v>4346</v>
      </c>
      <c r="C411" s="800" t="s">
        <v>4203</v>
      </c>
      <c r="D411" s="800" t="s">
        <v>12744</v>
      </c>
      <c r="E411" s="801">
        <v>43013</v>
      </c>
      <c r="F411" s="800" t="s">
        <v>12745</v>
      </c>
      <c r="G411" s="800" t="s">
        <v>12746</v>
      </c>
      <c r="H411" s="800" t="s">
        <v>10404</v>
      </c>
      <c r="I411" s="800" t="s">
        <v>10404</v>
      </c>
      <c r="J411" s="800" t="s">
        <v>10426</v>
      </c>
      <c r="K411" s="800">
        <v>1</v>
      </c>
      <c r="L411" s="802" t="s">
        <v>10398</v>
      </c>
      <c r="M411" s="802" t="s">
        <v>12747</v>
      </c>
      <c r="N411" s="802" t="s">
        <v>12748</v>
      </c>
      <c r="O411" s="802" t="s">
        <v>12749</v>
      </c>
      <c r="P411" s="807" t="s">
        <v>12750</v>
      </c>
    </row>
    <row r="412" spans="1:16" s="341" customFormat="1" ht="25.5" customHeight="1">
      <c r="A412" s="806" t="s">
        <v>6473</v>
      </c>
      <c r="B412" s="800" t="s">
        <v>4346</v>
      </c>
      <c r="C412" s="800" t="s">
        <v>4203</v>
      </c>
      <c r="D412" s="800" t="s">
        <v>12751</v>
      </c>
      <c r="E412" s="801">
        <v>43013</v>
      </c>
      <c r="F412" s="800" t="s">
        <v>12716</v>
      </c>
      <c r="G412" s="800" t="s">
        <v>12752</v>
      </c>
      <c r="H412" s="800" t="s">
        <v>10433</v>
      </c>
      <c r="I412" s="800" t="s">
        <v>10433</v>
      </c>
      <c r="J412" s="800" t="s">
        <v>10447</v>
      </c>
      <c r="K412" s="800">
        <v>1</v>
      </c>
      <c r="L412" s="802" t="s">
        <v>10398</v>
      </c>
      <c r="M412" s="802" t="s">
        <v>12753</v>
      </c>
      <c r="N412" s="802" t="s">
        <v>11166</v>
      </c>
      <c r="O412" s="802" t="s">
        <v>12754</v>
      </c>
      <c r="P412" s="807" t="s">
        <v>32</v>
      </c>
    </row>
    <row r="413" spans="1:16" s="341" customFormat="1" ht="25.5">
      <c r="A413" s="806" t="s">
        <v>6473</v>
      </c>
      <c r="B413" s="800" t="s">
        <v>4346</v>
      </c>
      <c r="C413" s="800" t="s">
        <v>4203</v>
      </c>
      <c r="D413" s="800" t="s">
        <v>12755</v>
      </c>
      <c r="E413" s="801">
        <v>43013</v>
      </c>
      <c r="F413" s="800" t="s">
        <v>12756</v>
      </c>
      <c r="G413" s="800" t="s">
        <v>12757</v>
      </c>
      <c r="H413" s="800" t="s">
        <v>10531</v>
      </c>
      <c r="I413" s="800" t="s">
        <v>10531</v>
      </c>
      <c r="J413" s="800" t="s">
        <v>10426</v>
      </c>
      <c r="K413" s="800">
        <v>1</v>
      </c>
      <c r="L413" s="802" t="s">
        <v>10398</v>
      </c>
      <c r="M413" s="802" t="s">
        <v>12758</v>
      </c>
      <c r="N413" s="802" t="s">
        <v>12759</v>
      </c>
      <c r="O413" s="802" t="s">
        <v>12760</v>
      </c>
      <c r="P413" s="807" t="s">
        <v>32</v>
      </c>
    </row>
    <row r="414" spans="1:16" s="341" customFormat="1" ht="25.5" customHeight="1">
      <c r="A414" s="806" t="s">
        <v>6473</v>
      </c>
      <c r="B414" s="800" t="s">
        <v>4346</v>
      </c>
      <c r="C414" s="800" t="s">
        <v>4203</v>
      </c>
      <c r="D414" s="800" t="s">
        <v>12761</v>
      </c>
      <c r="E414" s="801">
        <v>43014</v>
      </c>
      <c r="F414" s="800" t="s">
        <v>12756</v>
      </c>
      <c r="G414" s="800" t="s">
        <v>12762</v>
      </c>
      <c r="H414" s="800" t="s">
        <v>10404</v>
      </c>
      <c r="I414" s="800" t="s">
        <v>10404</v>
      </c>
      <c r="J414" s="800" t="s">
        <v>10426</v>
      </c>
      <c r="K414" s="800">
        <v>1</v>
      </c>
      <c r="L414" s="802" t="s">
        <v>10398</v>
      </c>
      <c r="M414" s="802" t="s">
        <v>12763</v>
      </c>
      <c r="N414" s="802" t="s">
        <v>12337</v>
      </c>
      <c r="O414" s="802" t="s">
        <v>12764</v>
      </c>
      <c r="P414" s="807" t="s">
        <v>12765</v>
      </c>
    </row>
    <row r="415" spans="1:16" s="341" customFormat="1" ht="25.5">
      <c r="A415" s="806" t="s">
        <v>6473</v>
      </c>
      <c r="B415" s="800" t="s">
        <v>4346</v>
      </c>
      <c r="C415" s="800" t="s">
        <v>4203</v>
      </c>
      <c r="D415" s="800" t="s">
        <v>12766</v>
      </c>
      <c r="E415" s="801">
        <v>43018</v>
      </c>
      <c r="F415" s="800" t="s">
        <v>12767</v>
      </c>
      <c r="G415" s="800" t="s">
        <v>12768</v>
      </c>
      <c r="H415" s="800" t="s">
        <v>10531</v>
      </c>
      <c r="I415" s="800" t="s">
        <v>10531</v>
      </c>
      <c r="J415" s="800" t="s">
        <v>10664</v>
      </c>
      <c r="K415" s="800">
        <v>1</v>
      </c>
      <c r="L415" s="802" t="s">
        <v>10398</v>
      </c>
      <c r="M415" s="802" t="s">
        <v>12769</v>
      </c>
      <c r="N415" s="802" t="s">
        <v>10533</v>
      </c>
      <c r="O415" s="802" t="s">
        <v>12770</v>
      </c>
      <c r="P415" s="807" t="s">
        <v>12771</v>
      </c>
    </row>
    <row r="416" spans="1:16" s="341" customFormat="1" ht="25.5">
      <c r="A416" s="806" t="s">
        <v>6473</v>
      </c>
      <c r="B416" s="800" t="s">
        <v>4346</v>
      </c>
      <c r="C416" s="800" t="s">
        <v>4203</v>
      </c>
      <c r="D416" s="800" t="s">
        <v>12772</v>
      </c>
      <c r="E416" s="801">
        <v>43018</v>
      </c>
      <c r="F416" s="800" t="s">
        <v>6115</v>
      </c>
      <c r="G416" s="800" t="s">
        <v>12773</v>
      </c>
      <c r="H416" s="800" t="s">
        <v>10531</v>
      </c>
      <c r="I416" s="800" t="s">
        <v>10531</v>
      </c>
      <c r="J416" s="800" t="s">
        <v>10664</v>
      </c>
      <c r="K416" s="800">
        <v>1</v>
      </c>
      <c r="L416" s="802" t="s">
        <v>10398</v>
      </c>
      <c r="M416" s="802" t="s">
        <v>12774</v>
      </c>
      <c r="N416" s="802" t="s">
        <v>12775</v>
      </c>
      <c r="O416" s="802" t="s">
        <v>12776</v>
      </c>
      <c r="P416" s="807" t="s">
        <v>12777</v>
      </c>
    </row>
    <row r="417" spans="1:16" s="341" customFormat="1" ht="25.5" customHeight="1">
      <c r="A417" s="806" t="s">
        <v>6473</v>
      </c>
      <c r="B417" s="800" t="s">
        <v>4346</v>
      </c>
      <c r="C417" s="800" t="s">
        <v>4203</v>
      </c>
      <c r="D417" s="800" t="s">
        <v>12778</v>
      </c>
      <c r="E417" s="801">
        <v>43018</v>
      </c>
      <c r="F417" s="800" t="s">
        <v>5899</v>
      </c>
      <c r="G417" s="800" t="s">
        <v>12779</v>
      </c>
      <c r="H417" s="800" t="s">
        <v>10404</v>
      </c>
      <c r="I417" s="800" t="s">
        <v>10404</v>
      </c>
      <c r="J417" s="800" t="s">
        <v>10426</v>
      </c>
      <c r="K417" s="800">
        <v>1</v>
      </c>
      <c r="L417" s="802" t="s">
        <v>10398</v>
      </c>
      <c r="M417" s="802" t="s">
        <v>12780</v>
      </c>
      <c r="N417" s="802" t="s">
        <v>12781</v>
      </c>
      <c r="O417" s="802" t="s">
        <v>12782</v>
      </c>
      <c r="P417" s="807" t="s">
        <v>12783</v>
      </c>
    </row>
    <row r="418" spans="1:16" s="341" customFormat="1" ht="25.5" customHeight="1">
      <c r="A418" s="806" t="s">
        <v>6473</v>
      </c>
      <c r="B418" s="800" t="s">
        <v>4346</v>
      </c>
      <c r="C418" s="800" t="s">
        <v>4203</v>
      </c>
      <c r="D418" s="800" t="s">
        <v>12784</v>
      </c>
      <c r="E418" s="801">
        <v>43018</v>
      </c>
      <c r="F418" s="800" t="s">
        <v>12716</v>
      </c>
      <c r="G418" s="800" t="s">
        <v>12785</v>
      </c>
      <c r="H418" s="800" t="s">
        <v>10433</v>
      </c>
      <c r="I418" s="800" t="s">
        <v>10433</v>
      </c>
      <c r="J418" s="800" t="s">
        <v>10447</v>
      </c>
      <c r="K418" s="800">
        <v>1</v>
      </c>
      <c r="L418" s="802" t="s">
        <v>10398</v>
      </c>
      <c r="M418" s="802" t="s">
        <v>12786</v>
      </c>
      <c r="N418" s="802" t="s">
        <v>12787</v>
      </c>
      <c r="O418" s="802" t="s">
        <v>12788</v>
      </c>
      <c r="P418" s="807" t="s">
        <v>32</v>
      </c>
    </row>
    <row r="419" spans="1:16" s="341" customFormat="1" ht="15" customHeight="1">
      <c r="A419" s="806" t="s">
        <v>6473</v>
      </c>
      <c r="B419" s="800" t="s">
        <v>4346</v>
      </c>
      <c r="C419" s="800" t="s">
        <v>4203</v>
      </c>
      <c r="D419" s="800" t="s">
        <v>12789</v>
      </c>
      <c r="E419" s="801">
        <v>43018</v>
      </c>
      <c r="F419" s="800" t="s">
        <v>12716</v>
      </c>
      <c r="G419" s="800" t="s">
        <v>12790</v>
      </c>
      <c r="H419" s="800" t="s">
        <v>10433</v>
      </c>
      <c r="I419" s="800" t="s">
        <v>10433</v>
      </c>
      <c r="J419" s="800" t="s">
        <v>10447</v>
      </c>
      <c r="K419" s="800">
        <v>1</v>
      </c>
      <c r="L419" s="802" t="s">
        <v>10398</v>
      </c>
      <c r="M419" s="802" t="s">
        <v>12791</v>
      </c>
      <c r="N419" s="802" t="s">
        <v>12328</v>
      </c>
      <c r="O419" s="802" t="s">
        <v>12792</v>
      </c>
      <c r="P419" s="807" t="s">
        <v>12793</v>
      </c>
    </row>
    <row r="420" spans="1:16" s="341" customFormat="1" ht="76.5" customHeight="1">
      <c r="A420" s="806" t="s">
        <v>6473</v>
      </c>
      <c r="B420" s="800" t="s">
        <v>4346</v>
      </c>
      <c r="C420" s="800" t="s">
        <v>4203</v>
      </c>
      <c r="D420" s="800" t="s">
        <v>12794</v>
      </c>
      <c r="E420" s="801">
        <v>43021</v>
      </c>
      <c r="F420" s="800" t="s">
        <v>12767</v>
      </c>
      <c r="G420" s="800" t="s">
        <v>12795</v>
      </c>
      <c r="H420" s="800" t="s">
        <v>10396</v>
      </c>
      <c r="I420" s="800" t="s">
        <v>10396</v>
      </c>
      <c r="J420" s="800" t="s">
        <v>10426</v>
      </c>
      <c r="K420" s="800">
        <v>1</v>
      </c>
      <c r="L420" s="802" t="s">
        <v>10398</v>
      </c>
      <c r="M420" s="802" t="s">
        <v>12796</v>
      </c>
      <c r="N420" s="802" t="s">
        <v>12797</v>
      </c>
      <c r="O420" s="802" t="s">
        <v>12798</v>
      </c>
      <c r="P420" s="807" t="s">
        <v>12799</v>
      </c>
    </row>
    <row r="421" spans="1:16" s="341" customFormat="1" ht="38.25" customHeight="1">
      <c r="A421" s="806" t="s">
        <v>6473</v>
      </c>
      <c r="B421" s="800" t="s">
        <v>4346</v>
      </c>
      <c r="C421" s="800" t="s">
        <v>4203</v>
      </c>
      <c r="D421" s="800" t="s">
        <v>12800</v>
      </c>
      <c r="E421" s="801">
        <v>43018</v>
      </c>
      <c r="F421" s="800" t="s">
        <v>12745</v>
      </c>
      <c r="G421" s="800" t="s">
        <v>12801</v>
      </c>
      <c r="H421" s="800" t="s">
        <v>10396</v>
      </c>
      <c r="I421" s="800" t="s">
        <v>10396</v>
      </c>
      <c r="J421" s="800" t="s">
        <v>10426</v>
      </c>
      <c r="K421" s="800">
        <v>1</v>
      </c>
      <c r="L421" s="802" t="s">
        <v>10398</v>
      </c>
      <c r="M421" s="802" t="s">
        <v>12802</v>
      </c>
      <c r="N421" s="802" t="s">
        <v>12803</v>
      </c>
      <c r="O421" s="802" t="s">
        <v>12804</v>
      </c>
      <c r="P421" s="807" t="s">
        <v>12805</v>
      </c>
    </row>
    <row r="422" spans="1:16" s="341" customFormat="1" ht="38.25" customHeight="1">
      <c r="A422" s="806" t="s">
        <v>6473</v>
      </c>
      <c r="B422" s="800" t="s">
        <v>4346</v>
      </c>
      <c r="C422" s="800" t="s">
        <v>4203</v>
      </c>
      <c r="D422" s="800" t="s">
        <v>12806</v>
      </c>
      <c r="E422" s="801">
        <v>43018</v>
      </c>
      <c r="F422" s="800" t="s">
        <v>12767</v>
      </c>
      <c r="G422" s="800" t="s">
        <v>12807</v>
      </c>
      <c r="H422" s="800" t="s">
        <v>10396</v>
      </c>
      <c r="I422" s="800" t="s">
        <v>10396</v>
      </c>
      <c r="J422" s="800" t="s">
        <v>10664</v>
      </c>
      <c r="K422" s="800">
        <v>1</v>
      </c>
      <c r="L422" s="802" t="s">
        <v>10398</v>
      </c>
      <c r="M422" s="802" t="s">
        <v>12808</v>
      </c>
      <c r="N422" s="802" t="s">
        <v>12809</v>
      </c>
      <c r="O422" s="802" t="s">
        <v>12810</v>
      </c>
      <c r="P422" s="807" t="s">
        <v>12811</v>
      </c>
    </row>
    <row r="423" spans="1:16" s="341" customFormat="1" ht="25.5">
      <c r="A423" s="806" t="s">
        <v>6473</v>
      </c>
      <c r="B423" s="800" t="s">
        <v>4346</v>
      </c>
      <c r="C423" s="800" t="s">
        <v>4203</v>
      </c>
      <c r="D423" s="800" t="s">
        <v>12812</v>
      </c>
      <c r="E423" s="801">
        <v>43045</v>
      </c>
      <c r="F423" s="800" t="s">
        <v>12813</v>
      </c>
      <c r="G423" s="800" t="s">
        <v>12814</v>
      </c>
      <c r="H423" s="800" t="s">
        <v>10531</v>
      </c>
      <c r="I423" s="800" t="s">
        <v>10531</v>
      </c>
      <c r="J423" s="800" t="s">
        <v>10447</v>
      </c>
      <c r="K423" s="800">
        <v>1</v>
      </c>
      <c r="L423" s="802" t="s">
        <v>10398</v>
      </c>
      <c r="M423" s="802" t="s">
        <v>12815</v>
      </c>
      <c r="N423" s="802" t="s">
        <v>12719</v>
      </c>
      <c r="O423" s="802" t="s">
        <v>12816</v>
      </c>
      <c r="P423" s="807" t="s">
        <v>12817</v>
      </c>
    </row>
    <row r="424" spans="1:16" s="341" customFormat="1" ht="25.5" customHeight="1">
      <c r="A424" s="806" t="s">
        <v>6473</v>
      </c>
      <c r="B424" s="800" t="s">
        <v>1572</v>
      </c>
      <c r="C424" s="800" t="s">
        <v>1572</v>
      </c>
      <c r="D424" s="800" t="s">
        <v>12818</v>
      </c>
      <c r="E424" s="801">
        <v>43066</v>
      </c>
      <c r="F424" s="800" t="s">
        <v>12819</v>
      </c>
      <c r="G424" s="800" t="s">
        <v>12820</v>
      </c>
      <c r="H424" s="800" t="s">
        <v>10433</v>
      </c>
      <c r="I424" s="800" t="s">
        <v>10433</v>
      </c>
      <c r="J424" s="800" t="s">
        <v>10447</v>
      </c>
      <c r="K424" s="800">
        <v>1</v>
      </c>
      <c r="L424" s="802" t="s">
        <v>10605</v>
      </c>
      <c r="M424" s="802" t="s">
        <v>32</v>
      </c>
      <c r="N424" s="802" t="s">
        <v>12821</v>
      </c>
      <c r="O424" s="802" t="s">
        <v>12822</v>
      </c>
      <c r="P424" s="807" t="s">
        <v>12823</v>
      </c>
    </row>
    <row r="425" spans="1:16" s="341" customFormat="1" ht="25.5" customHeight="1">
      <c r="A425" s="806" t="s">
        <v>6473</v>
      </c>
      <c r="B425" s="800" t="s">
        <v>1572</v>
      </c>
      <c r="C425" s="800" t="s">
        <v>1572</v>
      </c>
      <c r="D425" s="800" t="s">
        <v>12824</v>
      </c>
      <c r="E425" s="801">
        <v>43066</v>
      </c>
      <c r="F425" s="800" t="s">
        <v>3366</v>
      </c>
      <c r="G425" s="800" t="s">
        <v>12825</v>
      </c>
      <c r="H425" s="800" t="s">
        <v>10433</v>
      </c>
      <c r="I425" s="800" t="s">
        <v>10433</v>
      </c>
      <c r="J425" s="800" t="s">
        <v>10447</v>
      </c>
      <c r="K425" s="800">
        <v>1</v>
      </c>
      <c r="L425" s="802" t="s">
        <v>12826</v>
      </c>
      <c r="M425" s="802" t="s">
        <v>32</v>
      </c>
      <c r="N425" s="802" t="s">
        <v>12827</v>
      </c>
      <c r="O425" s="802" t="s">
        <v>12828</v>
      </c>
      <c r="P425" s="807" t="s">
        <v>12829</v>
      </c>
    </row>
    <row r="426" spans="1:16" s="341" customFormat="1" ht="25.5" customHeight="1">
      <c r="A426" s="806" t="s">
        <v>6473</v>
      </c>
      <c r="B426" s="800" t="s">
        <v>1572</v>
      </c>
      <c r="C426" s="800" t="s">
        <v>1572</v>
      </c>
      <c r="D426" s="800" t="s">
        <v>12830</v>
      </c>
      <c r="E426" s="801">
        <v>43066</v>
      </c>
      <c r="F426" s="800" t="s">
        <v>12831</v>
      </c>
      <c r="G426" s="800" t="s">
        <v>12832</v>
      </c>
      <c r="H426" s="800" t="s">
        <v>10396</v>
      </c>
      <c r="I426" s="800" t="s">
        <v>10396</v>
      </c>
      <c r="J426" s="800" t="s">
        <v>10447</v>
      </c>
      <c r="K426" s="800">
        <v>1</v>
      </c>
      <c r="L426" s="802" t="s">
        <v>10398</v>
      </c>
      <c r="M426" s="802" t="s">
        <v>12833</v>
      </c>
      <c r="N426" s="802" t="s">
        <v>12551</v>
      </c>
      <c r="O426" s="802" t="s">
        <v>12834</v>
      </c>
      <c r="P426" s="807" t="s">
        <v>12835</v>
      </c>
    </row>
    <row r="427" spans="1:16" s="341" customFormat="1" ht="25.5" customHeight="1">
      <c r="A427" s="806" t="s">
        <v>6473</v>
      </c>
      <c r="B427" s="800" t="s">
        <v>1572</v>
      </c>
      <c r="C427" s="800" t="s">
        <v>1572</v>
      </c>
      <c r="D427" s="800" t="s">
        <v>12836</v>
      </c>
      <c r="E427" s="801">
        <v>43066</v>
      </c>
      <c r="F427" s="800" t="s">
        <v>12837</v>
      </c>
      <c r="G427" s="800" t="s">
        <v>12838</v>
      </c>
      <c r="H427" s="800" t="s">
        <v>10404</v>
      </c>
      <c r="I427" s="800" t="s">
        <v>10404</v>
      </c>
      <c r="J427" s="800" t="s">
        <v>10447</v>
      </c>
      <c r="K427" s="800">
        <v>1</v>
      </c>
      <c r="L427" s="802" t="s">
        <v>10605</v>
      </c>
      <c r="M427" s="802" t="s">
        <v>32</v>
      </c>
      <c r="N427" s="802" t="s">
        <v>12839</v>
      </c>
      <c r="O427" s="802" t="s">
        <v>12840</v>
      </c>
      <c r="P427" s="807" t="s">
        <v>12841</v>
      </c>
    </row>
    <row r="428" spans="1:16" s="341" customFormat="1" ht="25.5" customHeight="1">
      <c r="A428" s="806" t="s">
        <v>6473</v>
      </c>
      <c r="B428" s="800" t="s">
        <v>1572</v>
      </c>
      <c r="C428" s="800" t="s">
        <v>1572</v>
      </c>
      <c r="D428" s="800" t="s">
        <v>12842</v>
      </c>
      <c r="E428" s="801">
        <v>43080</v>
      </c>
      <c r="F428" s="800" t="s">
        <v>12843</v>
      </c>
      <c r="G428" s="800" t="s">
        <v>12844</v>
      </c>
      <c r="H428" s="800" t="s">
        <v>10531</v>
      </c>
      <c r="I428" s="800" t="s">
        <v>10531</v>
      </c>
      <c r="J428" s="800" t="s">
        <v>4342</v>
      </c>
      <c r="K428" s="800">
        <v>1</v>
      </c>
      <c r="L428" s="802" t="s">
        <v>10398</v>
      </c>
      <c r="M428" s="802" t="s">
        <v>12845</v>
      </c>
      <c r="N428" s="802" t="s">
        <v>12846</v>
      </c>
      <c r="O428" s="802" t="s">
        <v>12847</v>
      </c>
      <c r="P428" s="807" t="s">
        <v>12848</v>
      </c>
    </row>
    <row r="429" spans="1:16" s="341" customFormat="1" ht="15" customHeight="1">
      <c r="A429" s="806" t="s">
        <v>6473</v>
      </c>
      <c r="B429" s="800" t="s">
        <v>1572</v>
      </c>
      <c r="C429" s="800" t="s">
        <v>1572</v>
      </c>
      <c r="D429" s="800" t="s">
        <v>12849</v>
      </c>
      <c r="E429" s="800"/>
      <c r="F429" s="800" t="s">
        <v>12850</v>
      </c>
      <c r="G429" s="800" t="s">
        <v>32</v>
      </c>
      <c r="H429" s="800" t="s">
        <v>10433</v>
      </c>
      <c r="I429" s="800" t="s">
        <v>10433</v>
      </c>
      <c r="J429" s="800" t="s">
        <v>10447</v>
      </c>
      <c r="K429" s="800">
        <v>1</v>
      </c>
      <c r="L429" s="802" t="s">
        <v>10398</v>
      </c>
      <c r="M429" s="802" t="s">
        <v>12851</v>
      </c>
      <c r="N429" s="802" t="s">
        <v>12852</v>
      </c>
      <c r="O429" s="802" t="s">
        <v>12853</v>
      </c>
      <c r="P429" s="807" t="s">
        <v>12854</v>
      </c>
    </row>
    <row r="430" spans="1:16" s="341" customFormat="1" ht="25.5" customHeight="1">
      <c r="A430" s="806" t="s">
        <v>6473</v>
      </c>
      <c r="B430" s="800" t="s">
        <v>1572</v>
      </c>
      <c r="C430" s="800" t="s">
        <v>4335</v>
      </c>
      <c r="D430" s="800" t="s">
        <v>12855</v>
      </c>
      <c r="E430" s="801">
        <v>43066</v>
      </c>
      <c r="F430" s="800" t="s">
        <v>12856</v>
      </c>
      <c r="G430" s="800" t="s">
        <v>12857</v>
      </c>
      <c r="H430" s="800" t="s">
        <v>10531</v>
      </c>
      <c r="I430" s="800" t="s">
        <v>10531</v>
      </c>
      <c r="J430" s="800" t="s">
        <v>10447</v>
      </c>
      <c r="K430" s="800">
        <v>1</v>
      </c>
      <c r="L430" s="802" t="s">
        <v>10398</v>
      </c>
      <c r="M430" s="802" t="s">
        <v>12858</v>
      </c>
      <c r="N430" s="802" t="s">
        <v>12859</v>
      </c>
      <c r="O430" s="802" t="s">
        <v>12860</v>
      </c>
      <c r="P430" s="807" t="s">
        <v>12861</v>
      </c>
    </row>
    <row r="431" spans="1:16" s="341" customFormat="1" ht="25.5" customHeight="1">
      <c r="A431" s="806" t="s">
        <v>6473</v>
      </c>
      <c r="B431" s="800" t="s">
        <v>1572</v>
      </c>
      <c r="C431" s="800" t="s">
        <v>4335</v>
      </c>
      <c r="D431" s="800" t="s">
        <v>12862</v>
      </c>
      <c r="E431" s="801">
        <v>43066</v>
      </c>
      <c r="F431" s="800" t="s">
        <v>12856</v>
      </c>
      <c r="G431" s="800" t="s">
        <v>32</v>
      </c>
      <c r="H431" s="800" t="s">
        <v>10531</v>
      </c>
      <c r="I431" s="800" t="s">
        <v>10531</v>
      </c>
      <c r="J431" s="800" t="s">
        <v>10664</v>
      </c>
      <c r="K431" s="800">
        <v>1</v>
      </c>
      <c r="L431" s="802" t="s">
        <v>10398</v>
      </c>
      <c r="M431" s="802" t="s">
        <v>12863</v>
      </c>
      <c r="N431" s="802" t="s">
        <v>12864</v>
      </c>
      <c r="O431" s="802" t="s">
        <v>12865</v>
      </c>
      <c r="P431" s="807" t="s">
        <v>12866</v>
      </c>
    </row>
    <row r="432" spans="1:16" s="341" customFormat="1" ht="25.5" customHeight="1">
      <c r="A432" s="806" t="s">
        <v>6473</v>
      </c>
      <c r="B432" s="800" t="s">
        <v>1572</v>
      </c>
      <c r="C432" s="800" t="s">
        <v>4335</v>
      </c>
      <c r="D432" s="800" t="s">
        <v>12867</v>
      </c>
      <c r="E432" s="801">
        <v>43069</v>
      </c>
      <c r="F432" s="800" t="s">
        <v>12868</v>
      </c>
      <c r="G432" s="800" t="s">
        <v>12869</v>
      </c>
      <c r="H432" s="800" t="s">
        <v>10433</v>
      </c>
      <c r="I432" s="800" t="s">
        <v>10433</v>
      </c>
      <c r="J432" s="800" t="s">
        <v>4342</v>
      </c>
      <c r="K432" s="800">
        <v>1</v>
      </c>
      <c r="L432" s="802" t="s">
        <v>10605</v>
      </c>
      <c r="M432" s="802" t="s">
        <v>32</v>
      </c>
      <c r="N432" s="802" t="s">
        <v>12870</v>
      </c>
      <c r="O432" s="802" t="s">
        <v>12871</v>
      </c>
      <c r="P432" s="807" t="s">
        <v>12872</v>
      </c>
    </row>
    <row r="433" spans="1:16" s="341" customFormat="1" ht="38.25" customHeight="1">
      <c r="A433" s="806" t="s">
        <v>6473</v>
      </c>
      <c r="B433" s="800" t="s">
        <v>4098</v>
      </c>
      <c r="C433" s="800" t="s">
        <v>57</v>
      </c>
      <c r="D433" s="800" t="s">
        <v>12873</v>
      </c>
      <c r="E433" s="801">
        <v>43026</v>
      </c>
      <c r="F433" s="800" t="s">
        <v>12874</v>
      </c>
      <c r="G433" s="800" t="s">
        <v>12875</v>
      </c>
      <c r="H433" s="800" t="s">
        <v>10404</v>
      </c>
      <c r="I433" s="800" t="s">
        <v>10404</v>
      </c>
      <c r="J433" s="800" t="s">
        <v>10664</v>
      </c>
      <c r="K433" s="800">
        <v>1</v>
      </c>
      <c r="L433" s="802" t="s">
        <v>10398</v>
      </c>
      <c r="M433" s="802" t="s">
        <v>12876</v>
      </c>
      <c r="N433" s="802" t="s">
        <v>12877</v>
      </c>
      <c r="O433" s="802" t="s">
        <v>12878</v>
      </c>
      <c r="P433" s="807" t="s">
        <v>12879</v>
      </c>
    </row>
    <row r="434" spans="1:16" s="341" customFormat="1" ht="38.25" customHeight="1">
      <c r="A434" s="806" t="s">
        <v>6473</v>
      </c>
      <c r="B434" s="800" t="s">
        <v>4098</v>
      </c>
      <c r="C434" s="800" t="s">
        <v>57</v>
      </c>
      <c r="D434" s="800" t="s">
        <v>12880</v>
      </c>
      <c r="E434" s="801">
        <v>43041</v>
      </c>
      <c r="F434" s="800" t="s">
        <v>57</v>
      </c>
      <c r="G434" s="800" t="s">
        <v>12881</v>
      </c>
      <c r="H434" s="800" t="s">
        <v>10396</v>
      </c>
      <c r="I434" s="800" t="s">
        <v>10396</v>
      </c>
      <c r="J434" s="800" t="s">
        <v>10426</v>
      </c>
      <c r="K434" s="800">
        <v>1</v>
      </c>
      <c r="L434" s="802" t="s">
        <v>10398</v>
      </c>
      <c r="M434" s="802" t="s">
        <v>12882</v>
      </c>
      <c r="N434" s="802" t="s">
        <v>12883</v>
      </c>
      <c r="O434" s="802" t="s">
        <v>12884</v>
      </c>
      <c r="P434" s="807" t="s">
        <v>12885</v>
      </c>
    </row>
    <row r="435" spans="1:16" s="341" customFormat="1" ht="25.5" customHeight="1">
      <c r="A435" s="806" t="s">
        <v>6473</v>
      </c>
      <c r="B435" s="800" t="s">
        <v>4098</v>
      </c>
      <c r="C435" s="800" t="s">
        <v>57</v>
      </c>
      <c r="D435" s="800" t="s">
        <v>12886</v>
      </c>
      <c r="E435" s="801">
        <v>43041</v>
      </c>
      <c r="F435" s="800" t="s">
        <v>1846</v>
      </c>
      <c r="G435" s="800" t="s">
        <v>12887</v>
      </c>
      <c r="H435" s="800" t="s">
        <v>10531</v>
      </c>
      <c r="I435" s="800" t="s">
        <v>10531</v>
      </c>
      <c r="J435" s="800" t="s">
        <v>10664</v>
      </c>
      <c r="K435" s="800">
        <v>1</v>
      </c>
      <c r="L435" s="802" t="s">
        <v>10398</v>
      </c>
      <c r="M435" s="802" t="s">
        <v>12888</v>
      </c>
      <c r="N435" s="802" t="s">
        <v>12889</v>
      </c>
      <c r="O435" s="802" t="s">
        <v>12890</v>
      </c>
      <c r="P435" s="807" t="s">
        <v>12891</v>
      </c>
    </row>
    <row r="436" spans="1:16" s="341" customFormat="1" ht="25.5" customHeight="1">
      <c r="A436" s="806" t="s">
        <v>6473</v>
      </c>
      <c r="B436" s="800" t="s">
        <v>4098</v>
      </c>
      <c r="C436" s="800" t="s">
        <v>57</v>
      </c>
      <c r="D436" s="800" t="s">
        <v>12892</v>
      </c>
      <c r="E436" s="801">
        <v>43041</v>
      </c>
      <c r="F436" s="800" t="s">
        <v>1846</v>
      </c>
      <c r="G436" s="800" t="s">
        <v>12893</v>
      </c>
      <c r="H436" s="800" t="s">
        <v>10396</v>
      </c>
      <c r="I436" s="800" t="s">
        <v>10396</v>
      </c>
      <c r="J436" s="800" t="s">
        <v>10426</v>
      </c>
      <c r="K436" s="800">
        <v>1</v>
      </c>
      <c r="L436" s="802" t="s">
        <v>10398</v>
      </c>
      <c r="M436" s="802" t="s">
        <v>12894</v>
      </c>
      <c r="N436" s="802" t="s">
        <v>12895</v>
      </c>
      <c r="O436" s="802" t="s">
        <v>12896</v>
      </c>
      <c r="P436" s="807" t="s">
        <v>12897</v>
      </c>
    </row>
    <row r="437" spans="1:16" s="341" customFormat="1" ht="25.5" customHeight="1">
      <c r="A437" s="806" t="s">
        <v>6473</v>
      </c>
      <c r="B437" s="800" t="s">
        <v>4098</v>
      </c>
      <c r="C437" s="800" t="s">
        <v>57</v>
      </c>
      <c r="D437" s="800" t="s">
        <v>12898</v>
      </c>
      <c r="E437" s="801">
        <v>43041</v>
      </c>
      <c r="F437" s="800" t="s">
        <v>1846</v>
      </c>
      <c r="G437" s="800" t="s">
        <v>32</v>
      </c>
      <c r="H437" s="800" t="s">
        <v>10531</v>
      </c>
      <c r="I437" s="800" t="s">
        <v>10531</v>
      </c>
      <c r="J437" s="800" t="s">
        <v>10664</v>
      </c>
      <c r="K437" s="800">
        <v>1</v>
      </c>
      <c r="L437" s="802" t="s">
        <v>10398</v>
      </c>
      <c r="M437" s="802" t="s">
        <v>12899</v>
      </c>
      <c r="N437" s="802" t="s">
        <v>12900</v>
      </c>
      <c r="O437" s="802" t="s">
        <v>12901</v>
      </c>
      <c r="P437" s="807" t="s">
        <v>12902</v>
      </c>
    </row>
    <row r="438" spans="1:16" s="341" customFormat="1" ht="38.25" customHeight="1">
      <c r="A438" s="806" t="s">
        <v>6473</v>
      </c>
      <c r="B438" s="800" t="s">
        <v>4098</v>
      </c>
      <c r="C438" s="800" t="s">
        <v>57</v>
      </c>
      <c r="D438" s="800" t="s">
        <v>12903</v>
      </c>
      <c r="E438" s="801">
        <v>43041</v>
      </c>
      <c r="F438" s="800" t="s">
        <v>1846</v>
      </c>
      <c r="G438" s="800" t="s">
        <v>32</v>
      </c>
      <c r="H438" s="800" t="s">
        <v>10531</v>
      </c>
      <c r="I438" s="800" t="s">
        <v>10531</v>
      </c>
      <c r="J438" s="800" t="s">
        <v>10426</v>
      </c>
      <c r="K438" s="800">
        <v>1</v>
      </c>
      <c r="L438" s="802" t="s">
        <v>10398</v>
      </c>
      <c r="M438" s="802" t="s">
        <v>12904</v>
      </c>
      <c r="N438" s="802" t="s">
        <v>12905</v>
      </c>
      <c r="O438" s="802" t="s">
        <v>12901</v>
      </c>
      <c r="P438" s="807" t="s">
        <v>12902</v>
      </c>
    </row>
    <row r="439" spans="1:16" s="341" customFormat="1" ht="25.5" customHeight="1">
      <c r="A439" s="806" t="s">
        <v>6473</v>
      </c>
      <c r="B439" s="800" t="s">
        <v>4098</v>
      </c>
      <c r="C439" s="800" t="s">
        <v>57</v>
      </c>
      <c r="D439" s="800" t="s">
        <v>12906</v>
      </c>
      <c r="E439" s="801">
        <v>43041</v>
      </c>
      <c r="F439" s="800" t="s">
        <v>2885</v>
      </c>
      <c r="G439" s="800" t="s">
        <v>12907</v>
      </c>
      <c r="H439" s="800" t="s">
        <v>10433</v>
      </c>
      <c r="I439" s="800" t="s">
        <v>10433</v>
      </c>
      <c r="J439" s="800" t="s">
        <v>10447</v>
      </c>
      <c r="K439" s="800">
        <v>1</v>
      </c>
      <c r="L439" s="802" t="s">
        <v>10398</v>
      </c>
      <c r="M439" s="802" t="s">
        <v>12908</v>
      </c>
      <c r="N439" s="802" t="s">
        <v>12909</v>
      </c>
      <c r="O439" s="802" t="s">
        <v>12910</v>
      </c>
      <c r="P439" s="807" t="s">
        <v>12911</v>
      </c>
    </row>
    <row r="440" spans="1:16" s="341" customFormat="1" ht="25.5" customHeight="1">
      <c r="A440" s="806" t="s">
        <v>6473</v>
      </c>
      <c r="B440" s="800" t="s">
        <v>4098</v>
      </c>
      <c r="C440" s="800" t="s">
        <v>57</v>
      </c>
      <c r="D440" s="800" t="s">
        <v>12912</v>
      </c>
      <c r="E440" s="801">
        <v>43041</v>
      </c>
      <c r="F440" s="800" t="s">
        <v>4099</v>
      </c>
      <c r="G440" s="800" t="s">
        <v>12913</v>
      </c>
      <c r="H440" s="800" t="s">
        <v>10531</v>
      </c>
      <c r="I440" s="800" t="s">
        <v>10531</v>
      </c>
      <c r="J440" s="800" t="s">
        <v>10426</v>
      </c>
      <c r="K440" s="800">
        <v>1</v>
      </c>
      <c r="L440" s="802" t="s">
        <v>10398</v>
      </c>
      <c r="M440" s="802" t="s">
        <v>12914</v>
      </c>
      <c r="N440" s="802" t="s">
        <v>12915</v>
      </c>
      <c r="O440" s="802" t="s">
        <v>12916</v>
      </c>
      <c r="P440" s="807" t="s">
        <v>12917</v>
      </c>
    </row>
    <row r="441" spans="1:16" s="341" customFormat="1" ht="38.25" customHeight="1">
      <c r="A441" s="806" t="s">
        <v>6473</v>
      </c>
      <c r="B441" s="800" t="s">
        <v>4098</v>
      </c>
      <c r="C441" s="800" t="s">
        <v>57</v>
      </c>
      <c r="D441" s="800" t="s">
        <v>12918</v>
      </c>
      <c r="E441" s="801">
        <v>43041</v>
      </c>
      <c r="F441" s="800" t="s">
        <v>32</v>
      </c>
      <c r="G441" s="800" t="s">
        <v>12919</v>
      </c>
      <c r="H441" s="800" t="s">
        <v>10396</v>
      </c>
      <c r="I441" s="800" t="s">
        <v>10396</v>
      </c>
      <c r="J441" s="800" t="s">
        <v>10426</v>
      </c>
      <c r="K441" s="800">
        <v>1</v>
      </c>
      <c r="L441" s="802" t="s">
        <v>10398</v>
      </c>
      <c r="M441" s="802" t="s">
        <v>12920</v>
      </c>
      <c r="N441" s="802" t="s">
        <v>12921</v>
      </c>
      <c r="O441" s="802" t="s">
        <v>12922</v>
      </c>
      <c r="P441" s="807" t="s">
        <v>12923</v>
      </c>
    </row>
    <row r="442" spans="1:16" s="341" customFormat="1" ht="25.5" customHeight="1">
      <c r="A442" s="806" t="s">
        <v>6473</v>
      </c>
      <c r="B442" s="800" t="s">
        <v>4098</v>
      </c>
      <c r="C442" s="800" t="s">
        <v>57</v>
      </c>
      <c r="D442" s="800" t="s">
        <v>12924</v>
      </c>
      <c r="E442" s="801">
        <v>43026</v>
      </c>
      <c r="F442" s="800" t="s">
        <v>57</v>
      </c>
      <c r="G442" s="800" t="s">
        <v>12925</v>
      </c>
      <c r="H442" s="800" t="s">
        <v>10433</v>
      </c>
      <c r="I442" s="800" t="s">
        <v>10433</v>
      </c>
      <c r="J442" s="800" t="s">
        <v>10426</v>
      </c>
      <c r="K442" s="800">
        <v>1</v>
      </c>
      <c r="L442" s="802" t="s">
        <v>10398</v>
      </c>
      <c r="M442" s="802" t="s">
        <v>12926</v>
      </c>
      <c r="N442" s="802" t="s">
        <v>11939</v>
      </c>
      <c r="O442" s="802" t="s">
        <v>12927</v>
      </c>
      <c r="P442" s="807" t="s">
        <v>12928</v>
      </c>
    </row>
    <row r="443" spans="1:16" s="341" customFormat="1" ht="38.25" customHeight="1">
      <c r="A443" s="806" t="s">
        <v>6473</v>
      </c>
      <c r="B443" s="800" t="s">
        <v>4098</v>
      </c>
      <c r="C443" s="800" t="s">
        <v>57</v>
      </c>
      <c r="D443" s="800" t="s">
        <v>12929</v>
      </c>
      <c r="E443" s="801">
        <v>43026</v>
      </c>
      <c r="F443" s="800" t="s">
        <v>12930</v>
      </c>
      <c r="G443" s="800" t="s">
        <v>12931</v>
      </c>
      <c r="H443" s="800" t="s">
        <v>10433</v>
      </c>
      <c r="I443" s="800" t="s">
        <v>10433</v>
      </c>
      <c r="J443" s="800" t="s">
        <v>10447</v>
      </c>
      <c r="K443" s="800">
        <v>1</v>
      </c>
      <c r="L443" s="802" t="s">
        <v>10398</v>
      </c>
      <c r="M443" s="802" t="s">
        <v>12932</v>
      </c>
      <c r="N443" s="802" t="s">
        <v>12933</v>
      </c>
      <c r="O443" s="802" t="s">
        <v>12934</v>
      </c>
      <c r="P443" s="807" t="s">
        <v>12935</v>
      </c>
    </row>
    <row r="444" spans="1:16" s="341" customFormat="1" ht="25.5" customHeight="1">
      <c r="A444" s="806" t="s">
        <v>6473</v>
      </c>
      <c r="B444" s="800" t="s">
        <v>4098</v>
      </c>
      <c r="C444" s="800" t="s">
        <v>57</v>
      </c>
      <c r="D444" s="800" t="s">
        <v>12936</v>
      </c>
      <c r="E444" s="801">
        <v>43026</v>
      </c>
      <c r="F444" s="800" t="s">
        <v>1858</v>
      </c>
      <c r="G444" s="800" t="s">
        <v>12937</v>
      </c>
      <c r="H444" s="800" t="s">
        <v>10531</v>
      </c>
      <c r="I444" s="800" t="s">
        <v>10531</v>
      </c>
      <c r="J444" s="800" t="s">
        <v>10426</v>
      </c>
      <c r="K444" s="800">
        <v>1</v>
      </c>
      <c r="L444" s="802" t="s">
        <v>10398</v>
      </c>
      <c r="M444" s="802" t="s">
        <v>12938</v>
      </c>
      <c r="N444" s="802" t="s">
        <v>12939</v>
      </c>
      <c r="O444" s="802" t="s">
        <v>12940</v>
      </c>
      <c r="P444" s="807" t="s">
        <v>12941</v>
      </c>
    </row>
    <row r="445" spans="1:16" s="341" customFormat="1" ht="25.5">
      <c r="A445" s="806" t="s">
        <v>6473</v>
      </c>
      <c r="B445" s="800" t="s">
        <v>4098</v>
      </c>
      <c r="C445" s="800" t="s">
        <v>57</v>
      </c>
      <c r="D445" s="800" t="s">
        <v>12942</v>
      </c>
      <c r="E445" s="801">
        <v>43026</v>
      </c>
      <c r="F445" s="800" t="s">
        <v>12943</v>
      </c>
      <c r="G445" s="800" t="s">
        <v>12944</v>
      </c>
      <c r="H445" s="800" t="s">
        <v>10433</v>
      </c>
      <c r="I445" s="800" t="s">
        <v>10433</v>
      </c>
      <c r="J445" s="800" t="s">
        <v>10426</v>
      </c>
      <c r="K445" s="800">
        <v>1</v>
      </c>
      <c r="L445" s="802" t="s">
        <v>10398</v>
      </c>
      <c r="M445" s="802" t="s">
        <v>12945</v>
      </c>
      <c r="N445" s="802" t="s">
        <v>12946</v>
      </c>
      <c r="O445" s="802" t="s">
        <v>12947</v>
      </c>
      <c r="P445" s="807" t="s">
        <v>12948</v>
      </c>
    </row>
    <row r="446" spans="1:16" s="341" customFormat="1" ht="38.25" customHeight="1">
      <c r="A446" s="806" t="s">
        <v>6473</v>
      </c>
      <c r="B446" s="800" t="s">
        <v>4098</v>
      </c>
      <c r="C446" s="800" t="s">
        <v>57</v>
      </c>
      <c r="D446" s="800" t="s">
        <v>12949</v>
      </c>
      <c r="E446" s="801">
        <v>43026</v>
      </c>
      <c r="F446" s="800" t="s">
        <v>12950</v>
      </c>
      <c r="G446" s="800" t="s">
        <v>12951</v>
      </c>
      <c r="H446" s="800" t="s">
        <v>10433</v>
      </c>
      <c r="I446" s="800" t="s">
        <v>10433</v>
      </c>
      <c r="J446" s="800" t="s">
        <v>10426</v>
      </c>
      <c r="K446" s="800">
        <v>1</v>
      </c>
      <c r="L446" s="802" t="s">
        <v>10398</v>
      </c>
      <c r="M446" s="802" t="s">
        <v>12952</v>
      </c>
      <c r="N446" s="802" t="s">
        <v>12953</v>
      </c>
      <c r="O446" s="802" t="s">
        <v>12954</v>
      </c>
      <c r="P446" s="807" t="s">
        <v>12955</v>
      </c>
    </row>
    <row r="447" spans="1:16" s="341" customFormat="1" ht="25.5">
      <c r="A447" s="806" t="s">
        <v>6473</v>
      </c>
      <c r="B447" s="800" t="s">
        <v>4098</v>
      </c>
      <c r="C447" s="800" t="s">
        <v>57</v>
      </c>
      <c r="D447" s="800" t="s">
        <v>12956</v>
      </c>
      <c r="E447" s="801">
        <v>43026</v>
      </c>
      <c r="F447" s="800" t="s">
        <v>1858</v>
      </c>
      <c r="G447" s="800" t="s">
        <v>12957</v>
      </c>
      <c r="H447" s="800" t="s">
        <v>10433</v>
      </c>
      <c r="I447" s="800" t="s">
        <v>10433</v>
      </c>
      <c r="J447" s="800" t="s">
        <v>10447</v>
      </c>
      <c r="K447" s="800">
        <v>1</v>
      </c>
      <c r="L447" s="802" t="s">
        <v>10398</v>
      </c>
      <c r="M447" s="802" t="s">
        <v>12958</v>
      </c>
      <c r="N447" s="802" t="s">
        <v>12350</v>
      </c>
      <c r="O447" s="802" t="s">
        <v>12934</v>
      </c>
      <c r="P447" s="807" t="s">
        <v>12959</v>
      </c>
    </row>
    <row r="448" spans="1:16" s="341" customFormat="1" ht="25.5">
      <c r="A448" s="806" t="s">
        <v>6473</v>
      </c>
      <c r="B448" s="800" t="s">
        <v>4098</v>
      </c>
      <c r="C448" s="800" t="s">
        <v>57</v>
      </c>
      <c r="D448" s="800" t="s">
        <v>12960</v>
      </c>
      <c r="E448" s="801">
        <v>43026</v>
      </c>
      <c r="F448" s="800" t="s">
        <v>2885</v>
      </c>
      <c r="G448" s="800" t="s">
        <v>12961</v>
      </c>
      <c r="H448" s="800" t="s">
        <v>10531</v>
      </c>
      <c r="I448" s="800" t="s">
        <v>10531</v>
      </c>
      <c r="J448" s="800" t="s">
        <v>10426</v>
      </c>
      <c r="K448" s="800">
        <v>1</v>
      </c>
      <c r="L448" s="802" t="s">
        <v>10398</v>
      </c>
      <c r="M448" s="802" t="s">
        <v>12962</v>
      </c>
      <c r="N448" s="802" t="s">
        <v>12963</v>
      </c>
      <c r="O448" s="802" t="s">
        <v>12964</v>
      </c>
      <c r="P448" s="807" t="s">
        <v>12965</v>
      </c>
    </row>
    <row r="449" spans="1:16" s="341" customFormat="1" ht="25.5" customHeight="1">
      <c r="A449" s="806" t="s">
        <v>6473</v>
      </c>
      <c r="B449" s="800" t="s">
        <v>4098</v>
      </c>
      <c r="C449" s="800" t="s">
        <v>57</v>
      </c>
      <c r="D449" s="800" t="s">
        <v>12966</v>
      </c>
      <c r="E449" s="801">
        <v>43026</v>
      </c>
      <c r="F449" s="800" t="s">
        <v>57</v>
      </c>
      <c r="G449" s="800" t="s">
        <v>12967</v>
      </c>
      <c r="H449" s="800" t="s">
        <v>10433</v>
      </c>
      <c r="I449" s="800" t="s">
        <v>10433</v>
      </c>
      <c r="J449" s="800" t="s">
        <v>10447</v>
      </c>
      <c r="K449" s="800">
        <v>1</v>
      </c>
      <c r="L449" s="802" t="s">
        <v>10398</v>
      </c>
      <c r="M449" s="802" t="s">
        <v>12968</v>
      </c>
      <c r="N449" s="802" t="s">
        <v>12969</v>
      </c>
      <c r="O449" s="802" t="s">
        <v>12970</v>
      </c>
      <c r="P449" s="807" t="s">
        <v>12971</v>
      </c>
    </row>
    <row r="450" spans="1:16" s="341" customFormat="1" ht="38.25" customHeight="1">
      <c r="A450" s="806" t="s">
        <v>6473</v>
      </c>
      <c r="B450" s="800" t="s">
        <v>4098</v>
      </c>
      <c r="C450" s="800" t="s">
        <v>57</v>
      </c>
      <c r="D450" s="800" t="s">
        <v>12972</v>
      </c>
      <c r="E450" s="801">
        <v>43041</v>
      </c>
      <c r="F450" s="800" t="s">
        <v>12973</v>
      </c>
      <c r="G450" s="800" t="s">
        <v>32</v>
      </c>
      <c r="H450" s="800" t="s">
        <v>10404</v>
      </c>
      <c r="I450" s="800" t="s">
        <v>10404</v>
      </c>
      <c r="J450" s="800" t="s">
        <v>10664</v>
      </c>
      <c r="K450" s="800">
        <v>1</v>
      </c>
      <c r="L450" s="802" t="s">
        <v>10398</v>
      </c>
      <c r="M450" s="802" t="s">
        <v>12974</v>
      </c>
      <c r="N450" s="802" t="s">
        <v>10514</v>
      </c>
      <c r="O450" s="802" t="s">
        <v>12975</v>
      </c>
      <c r="P450" s="807" t="s">
        <v>12976</v>
      </c>
    </row>
    <row r="451" spans="1:16" s="341" customFormat="1" ht="38.25" customHeight="1">
      <c r="A451" s="806" t="s">
        <v>6473</v>
      </c>
      <c r="B451" s="800" t="s">
        <v>4098</v>
      </c>
      <c r="C451" s="800" t="s">
        <v>57</v>
      </c>
      <c r="D451" s="800" t="s">
        <v>12977</v>
      </c>
      <c r="E451" s="801">
        <v>43026</v>
      </c>
      <c r="F451" s="800" t="s">
        <v>12943</v>
      </c>
      <c r="G451" s="800" t="s">
        <v>12978</v>
      </c>
      <c r="H451" s="800" t="s">
        <v>10531</v>
      </c>
      <c r="I451" s="800" t="s">
        <v>10531</v>
      </c>
      <c r="J451" s="800" t="s">
        <v>10426</v>
      </c>
      <c r="K451" s="800">
        <v>1</v>
      </c>
      <c r="L451" s="802" t="s">
        <v>10398</v>
      </c>
      <c r="M451" s="802" t="s">
        <v>12979</v>
      </c>
      <c r="N451" s="802" t="s">
        <v>4122</v>
      </c>
      <c r="O451" s="802" t="s">
        <v>12980</v>
      </c>
      <c r="P451" s="807" t="s">
        <v>12981</v>
      </c>
    </row>
    <row r="452" spans="1:16" s="341" customFormat="1" ht="38.25" customHeight="1">
      <c r="A452" s="806" t="s">
        <v>6473</v>
      </c>
      <c r="B452" s="800" t="s">
        <v>4098</v>
      </c>
      <c r="C452" s="800" t="s">
        <v>57</v>
      </c>
      <c r="D452" s="800" t="s">
        <v>12982</v>
      </c>
      <c r="E452" s="801">
        <v>43026</v>
      </c>
      <c r="F452" s="800" t="s">
        <v>12983</v>
      </c>
      <c r="G452" s="800" t="s">
        <v>12984</v>
      </c>
      <c r="H452" s="800" t="s">
        <v>10433</v>
      </c>
      <c r="I452" s="800" t="s">
        <v>10433</v>
      </c>
      <c r="J452" s="800" t="s">
        <v>10447</v>
      </c>
      <c r="K452" s="800">
        <v>1</v>
      </c>
      <c r="L452" s="802" t="s">
        <v>10398</v>
      </c>
      <c r="M452" s="802" t="s">
        <v>12985</v>
      </c>
      <c r="N452" s="802" t="s">
        <v>12986</v>
      </c>
      <c r="O452" s="802" t="s">
        <v>12987</v>
      </c>
      <c r="P452" s="807" t="s">
        <v>12988</v>
      </c>
    </row>
    <row r="453" spans="1:16" s="341" customFormat="1" ht="25.5" customHeight="1">
      <c r="A453" s="806" t="s">
        <v>6473</v>
      </c>
      <c r="B453" s="800" t="s">
        <v>4098</v>
      </c>
      <c r="C453" s="800" t="s">
        <v>1800</v>
      </c>
      <c r="D453" s="800" t="s">
        <v>12989</v>
      </c>
      <c r="E453" s="801">
        <v>43026</v>
      </c>
      <c r="F453" s="800" t="s">
        <v>4108</v>
      </c>
      <c r="G453" s="800" t="s">
        <v>12990</v>
      </c>
      <c r="H453" s="800" t="s">
        <v>10396</v>
      </c>
      <c r="I453" s="800" t="s">
        <v>10396</v>
      </c>
      <c r="J453" s="800" t="s">
        <v>10426</v>
      </c>
      <c r="K453" s="800">
        <v>1</v>
      </c>
      <c r="L453" s="802" t="s">
        <v>10398</v>
      </c>
      <c r="M453" s="802" t="s">
        <v>12991</v>
      </c>
      <c r="N453" s="802" t="s">
        <v>12992</v>
      </c>
      <c r="O453" s="802" t="s">
        <v>12993</v>
      </c>
      <c r="P453" s="807" t="s">
        <v>32</v>
      </c>
    </row>
    <row r="454" spans="1:16" s="341" customFormat="1" ht="38.25" customHeight="1">
      <c r="A454" s="806" t="s">
        <v>6473</v>
      </c>
      <c r="B454" s="800" t="s">
        <v>4098</v>
      </c>
      <c r="C454" s="800" t="s">
        <v>1800</v>
      </c>
      <c r="D454" s="800" t="s">
        <v>12994</v>
      </c>
      <c r="E454" s="801">
        <v>43026</v>
      </c>
      <c r="F454" s="800" t="s">
        <v>4109</v>
      </c>
      <c r="G454" s="800" t="s">
        <v>12995</v>
      </c>
      <c r="H454" s="800" t="s">
        <v>10433</v>
      </c>
      <c r="I454" s="800" t="s">
        <v>10433</v>
      </c>
      <c r="J454" s="800" t="s">
        <v>10426</v>
      </c>
      <c r="K454" s="800">
        <v>1</v>
      </c>
      <c r="L454" s="802" t="s">
        <v>10398</v>
      </c>
      <c r="M454" s="802" t="s">
        <v>12996</v>
      </c>
      <c r="N454" s="802" t="s">
        <v>12997</v>
      </c>
      <c r="O454" s="802" t="s">
        <v>12998</v>
      </c>
      <c r="P454" s="807" t="s">
        <v>12999</v>
      </c>
    </row>
    <row r="455" spans="1:16" s="341" customFormat="1" ht="25.5" customHeight="1">
      <c r="A455" s="806" t="s">
        <v>6473</v>
      </c>
      <c r="B455" s="800" t="s">
        <v>4098</v>
      </c>
      <c r="C455" s="800" t="s">
        <v>1800</v>
      </c>
      <c r="D455" s="800" t="s">
        <v>13000</v>
      </c>
      <c r="E455" s="801">
        <v>43026</v>
      </c>
      <c r="F455" s="800" t="s">
        <v>886</v>
      </c>
      <c r="G455" s="800" t="s">
        <v>13001</v>
      </c>
      <c r="H455" s="800" t="s">
        <v>10531</v>
      </c>
      <c r="I455" s="800" t="s">
        <v>10531</v>
      </c>
      <c r="J455" s="800" t="s">
        <v>10426</v>
      </c>
      <c r="K455" s="800">
        <v>1</v>
      </c>
      <c r="L455" s="802" t="s">
        <v>10398</v>
      </c>
      <c r="M455" s="802" t="s">
        <v>13002</v>
      </c>
      <c r="N455" s="802" t="s">
        <v>13003</v>
      </c>
      <c r="O455" s="802" t="s">
        <v>13004</v>
      </c>
      <c r="P455" s="807" t="s">
        <v>13005</v>
      </c>
    </row>
    <row r="456" spans="1:16" s="341" customFormat="1" ht="25.5" customHeight="1">
      <c r="A456" s="806" t="s">
        <v>6473</v>
      </c>
      <c r="B456" s="800" t="s">
        <v>4098</v>
      </c>
      <c r="C456" s="800" t="s">
        <v>1800</v>
      </c>
      <c r="D456" s="800" t="s">
        <v>13006</v>
      </c>
      <c r="E456" s="801">
        <v>43026</v>
      </c>
      <c r="F456" s="800" t="s">
        <v>4109</v>
      </c>
      <c r="G456" s="800" t="s">
        <v>13007</v>
      </c>
      <c r="H456" s="800" t="s">
        <v>10531</v>
      </c>
      <c r="I456" s="800" t="s">
        <v>10531</v>
      </c>
      <c r="J456" s="800" t="s">
        <v>10447</v>
      </c>
      <c r="K456" s="800">
        <v>1</v>
      </c>
      <c r="L456" s="802" t="s">
        <v>10398</v>
      </c>
      <c r="M456" s="802" t="s">
        <v>13008</v>
      </c>
      <c r="N456" s="802" t="s">
        <v>13009</v>
      </c>
      <c r="O456" s="802" t="s">
        <v>13010</v>
      </c>
      <c r="P456" s="807" t="s">
        <v>13011</v>
      </c>
    </row>
    <row r="457" spans="1:16" s="341" customFormat="1" ht="38.25" customHeight="1">
      <c r="A457" s="806" t="s">
        <v>6473</v>
      </c>
      <c r="B457" s="800" t="s">
        <v>4098</v>
      </c>
      <c r="C457" s="800" t="s">
        <v>1800</v>
      </c>
      <c r="D457" s="800" t="s">
        <v>13012</v>
      </c>
      <c r="E457" s="801">
        <v>43041</v>
      </c>
      <c r="F457" s="800" t="s">
        <v>13013</v>
      </c>
      <c r="G457" s="800" t="s">
        <v>32</v>
      </c>
      <c r="H457" s="800" t="s">
        <v>10531</v>
      </c>
      <c r="I457" s="800" t="s">
        <v>10531</v>
      </c>
      <c r="J457" s="800" t="s">
        <v>10426</v>
      </c>
      <c r="K457" s="800">
        <v>1</v>
      </c>
      <c r="L457" s="802" t="s">
        <v>10398</v>
      </c>
      <c r="M457" s="802" t="s">
        <v>13014</v>
      </c>
      <c r="N457" s="802" t="s">
        <v>11939</v>
      </c>
      <c r="O457" s="802" t="s">
        <v>13015</v>
      </c>
      <c r="P457" s="807" t="s">
        <v>13016</v>
      </c>
    </row>
    <row r="458" spans="1:16" s="341" customFormat="1" ht="25.5" customHeight="1">
      <c r="A458" s="806" t="s">
        <v>6473</v>
      </c>
      <c r="B458" s="800" t="s">
        <v>4098</v>
      </c>
      <c r="C458" s="800" t="s">
        <v>1800</v>
      </c>
      <c r="D458" s="800" t="s">
        <v>13017</v>
      </c>
      <c r="E458" s="801">
        <v>43026</v>
      </c>
      <c r="F458" s="800" t="s">
        <v>13018</v>
      </c>
      <c r="G458" s="800" t="s">
        <v>13019</v>
      </c>
      <c r="H458" s="800" t="s">
        <v>10531</v>
      </c>
      <c r="I458" s="800" t="s">
        <v>10531</v>
      </c>
      <c r="J458" s="800" t="s">
        <v>4342</v>
      </c>
      <c r="K458" s="800">
        <v>1</v>
      </c>
      <c r="L458" s="802" t="s">
        <v>10398</v>
      </c>
      <c r="M458" s="802" t="s">
        <v>13020</v>
      </c>
      <c r="N458" s="802" t="s">
        <v>13021</v>
      </c>
      <c r="O458" s="802" t="s">
        <v>13022</v>
      </c>
      <c r="P458" s="807" t="s">
        <v>13023</v>
      </c>
    </row>
    <row r="459" spans="1:16" s="341" customFormat="1" ht="25.5" customHeight="1">
      <c r="A459" s="806" t="s">
        <v>6473</v>
      </c>
      <c r="B459" s="800" t="s">
        <v>4098</v>
      </c>
      <c r="C459" s="800" t="s">
        <v>1792</v>
      </c>
      <c r="D459" s="800" t="s">
        <v>13024</v>
      </c>
      <c r="E459" s="801">
        <v>43026</v>
      </c>
      <c r="F459" s="800" t="s">
        <v>12042</v>
      </c>
      <c r="G459" s="800" t="s">
        <v>32</v>
      </c>
      <c r="H459" s="800" t="s">
        <v>10433</v>
      </c>
      <c r="I459" s="800" t="s">
        <v>10433</v>
      </c>
      <c r="J459" s="800" t="s">
        <v>10447</v>
      </c>
      <c r="K459" s="800">
        <v>1</v>
      </c>
      <c r="L459" s="802" t="s">
        <v>10398</v>
      </c>
      <c r="M459" s="802" t="s">
        <v>13025</v>
      </c>
      <c r="N459" s="802" t="s">
        <v>13026</v>
      </c>
      <c r="O459" s="802" t="s">
        <v>13027</v>
      </c>
      <c r="P459" s="807" t="s">
        <v>13028</v>
      </c>
    </row>
    <row r="460" spans="1:16" s="341" customFormat="1" ht="25.5" customHeight="1">
      <c r="A460" s="806" t="s">
        <v>6473</v>
      </c>
      <c r="B460" s="800" t="s">
        <v>4098</v>
      </c>
      <c r="C460" s="800" t="s">
        <v>1792</v>
      </c>
      <c r="D460" s="800" t="s">
        <v>13029</v>
      </c>
      <c r="E460" s="801">
        <v>43026</v>
      </c>
      <c r="F460" s="800" t="s">
        <v>6326</v>
      </c>
      <c r="G460" s="800" t="s">
        <v>13030</v>
      </c>
      <c r="H460" s="800" t="s">
        <v>10396</v>
      </c>
      <c r="I460" s="800" t="s">
        <v>10396</v>
      </c>
      <c r="J460" s="800" t="s">
        <v>10426</v>
      </c>
      <c r="K460" s="800">
        <v>1</v>
      </c>
      <c r="L460" s="802" t="s">
        <v>10398</v>
      </c>
      <c r="M460" s="802" t="s">
        <v>13031</v>
      </c>
      <c r="N460" s="802" t="s">
        <v>13032</v>
      </c>
      <c r="O460" s="802" t="s">
        <v>13033</v>
      </c>
      <c r="P460" s="807" t="s">
        <v>13034</v>
      </c>
    </row>
    <row r="461" spans="1:16" s="341" customFormat="1" ht="25.5" customHeight="1">
      <c r="A461" s="806" t="s">
        <v>6473</v>
      </c>
      <c r="B461" s="800" t="s">
        <v>4098</v>
      </c>
      <c r="C461" s="800" t="s">
        <v>1792</v>
      </c>
      <c r="D461" s="800" t="s">
        <v>13035</v>
      </c>
      <c r="E461" s="801">
        <v>43034</v>
      </c>
      <c r="F461" s="800" t="s">
        <v>783</v>
      </c>
      <c r="G461" s="800" t="s">
        <v>32</v>
      </c>
      <c r="H461" s="800" t="s">
        <v>10531</v>
      </c>
      <c r="I461" s="800" t="s">
        <v>10531</v>
      </c>
      <c r="J461" s="800" t="s">
        <v>10426</v>
      </c>
      <c r="K461" s="800">
        <v>1</v>
      </c>
      <c r="L461" s="802" t="s">
        <v>10398</v>
      </c>
      <c r="M461" s="802" t="s">
        <v>13036</v>
      </c>
      <c r="N461" s="802" t="s">
        <v>13037</v>
      </c>
      <c r="O461" s="802" t="s">
        <v>13038</v>
      </c>
      <c r="P461" s="807" t="s">
        <v>13039</v>
      </c>
    </row>
    <row r="462" spans="1:16" s="341" customFormat="1" ht="25.5" customHeight="1">
      <c r="A462" s="806" t="s">
        <v>6473</v>
      </c>
      <c r="B462" s="800" t="s">
        <v>4098</v>
      </c>
      <c r="C462" s="800" t="s">
        <v>1792</v>
      </c>
      <c r="D462" s="800" t="s">
        <v>13040</v>
      </c>
      <c r="E462" s="801">
        <v>43026</v>
      </c>
      <c r="F462" s="800" t="s">
        <v>13041</v>
      </c>
      <c r="G462" s="800" t="s">
        <v>32</v>
      </c>
      <c r="H462" s="800" t="s">
        <v>10404</v>
      </c>
      <c r="I462" s="800" t="s">
        <v>10404</v>
      </c>
      <c r="J462" s="800" t="s">
        <v>10426</v>
      </c>
      <c r="K462" s="800">
        <v>1</v>
      </c>
      <c r="L462" s="802" t="s">
        <v>10398</v>
      </c>
      <c r="M462" s="802" t="s">
        <v>13042</v>
      </c>
      <c r="N462" s="802" t="s">
        <v>11611</v>
      </c>
      <c r="O462" s="802" t="s">
        <v>13043</v>
      </c>
      <c r="P462" s="807" t="s">
        <v>13044</v>
      </c>
    </row>
    <row r="463" spans="1:16" s="341" customFormat="1" ht="25.5" customHeight="1">
      <c r="A463" s="806" t="s">
        <v>6473</v>
      </c>
      <c r="B463" s="800" t="s">
        <v>4098</v>
      </c>
      <c r="C463" s="800" t="s">
        <v>1792</v>
      </c>
      <c r="D463" s="800" t="s">
        <v>13045</v>
      </c>
      <c r="E463" s="801">
        <v>43026</v>
      </c>
      <c r="F463" s="800" t="s">
        <v>13046</v>
      </c>
      <c r="G463" s="800" t="s">
        <v>13047</v>
      </c>
      <c r="H463" s="800" t="s">
        <v>10404</v>
      </c>
      <c r="I463" s="800" t="s">
        <v>10404</v>
      </c>
      <c r="J463" s="800" t="s">
        <v>10426</v>
      </c>
      <c r="K463" s="800">
        <v>1</v>
      </c>
      <c r="L463" s="802" t="s">
        <v>10398</v>
      </c>
      <c r="M463" s="802" t="s">
        <v>13048</v>
      </c>
      <c r="N463" s="802" t="s">
        <v>11799</v>
      </c>
      <c r="O463" s="802" t="s">
        <v>13049</v>
      </c>
      <c r="P463" s="807" t="s">
        <v>13050</v>
      </c>
    </row>
    <row r="464" spans="1:16" s="341" customFormat="1" ht="25.5" customHeight="1">
      <c r="A464" s="806" t="s">
        <v>6473</v>
      </c>
      <c r="B464" s="800" t="s">
        <v>4098</v>
      </c>
      <c r="C464" s="800" t="s">
        <v>1792</v>
      </c>
      <c r="D464" s="800" t="s">
        <v>13051</v>
      </c>
      <c r="E464" s="801">
        <v>43041</v>
      </c>
      <c r="F464" s="800" t="s">
        <v>1804</v>
      </c>
      <c r="G464" s="800" t="s">
        <v>13052</v>
      </c>
      <c r="H464" s="800" t="s">
        <v>10404</v>
      </c>
      <c r="I464" s="800" t="s">
        <v>10404</v>
      </c>
      <c r="J464" s="800" t="s">
        <v>10426</v>
      </c>
      <c r="K464" s="800">
        <v>1</v>
      </c>
      <c r="L464" s="802" t="s">
        <v>10398</v>
      </c>
      <c r="M464" s="802" t="s">
        <v>13053</v>
      </c>
      <c r="N464" s="802" t="s">
        <v>12933</v>
      </c>
      <c r="O464" s="802" t="s">
        <v>13054</v>
      </c>
      <c r="P464" s="807" t="s">
        <v>13055</v>
      </c>
    </row>
    <row r="465" spans="1:16" s="341" customFormat="1" ht="25.5" customHeight="1">
      <c r="A465" s="806" t="s">
        <v>6473</v>
      </c>
      <c r="B465" s="800" t="s">
        <v>4098</v>
      </c>
      <c r="C465" s="800" t="s">
        <v>1792</v>
      </c>
      <c r="D465" s="800" t="s">
        <v>13056</v>
      </c>
      <c r="E465" s="801">
        <v>43041</v>
      </c>
      <c r="F465" s="800" t="s">
        <v>1804</v>
      </c>
      <c r="G465" s="800" t="s">
        <v>13057</v>
      </c>
      <c r="H465" s="800" t="s">
        <v>10404</v>
      </c>
      <c r="I465" s="800" t="s">
        <v>10404</v>
      </c>
      <c r="J465" s="800" t="s">
        <v>10426</v>
      </c>
      <c r="K465" s="800">
        <v>1</v>
      </c>
      <c r="L465" s="802" t="s">
        <v>10398</v>
      </c>
      <c r="M465" s="802" t="s">
        <v>13058</v>
      </c>
      <c r="N465" s="802" t="s">
        <v>13059</v>
      </c>
      <c r="O465" s="802" t="s">
        <v>12884</v>
      </c>
      <c r="P465" s="807" t="s">
        <v>13060</v>
      </c>
    </row>
    <row r="466" spans="1:16" s="341" customFormat="1" ht="25.5" customHeight="1">
      <c r="A466" s="806" t="s">
        <v>6473</v>
      </c>
      <c r="B466" s="800" t="s">
        <v>4098</v>
      </c>
      <c r="C466" s="800" t="s">
        <v>1792</v>
      </c>
      <c r="D466" s="800" t="s">
        <v>13061</v>
      </c>
      <c r="E466" s="801">
        <v>43041</v>
      </c>
      <c r="F466" s="800" t="s">
        <v>13062</v>
      </c>
      <c r="G466" s="800" t="s">
        <v>13063</v>
      </c>
      <c r="H466" s="800" t="s">
        <v>10404</v>
      </c>
      <c r="I466" s="800" t="s">
        <v>10404</v>
      </c>
      <c r="J466" s="800" t="s">
        <v>10426</v>
      </c>
      <c r="K466" s="800">
        <v>1</v>
      </c>
      <c r="L466" s="802" t="s">
        <v>10398</v>
      </c>
      <c r="M466" s="802" t="s">
        <v>13064</v>
      </c>
      <c r="N466" s="802" t="s">
        <v>13065</v>
      </c>
      <c r="O466" s="802" t="s">
        <v>11685</v>
      </c>
      <c r="P466" s="807" t="s">
        <v>13066</v>
      </c>
    </row>
    <row r="467" spans="1:16" s="341" customFormat="1" ht="25.5" customHeight="1">
      <c r="A467" s="806" t="s">
        <v>6473</v>
      </c>
      <c r="B467" s="800" t="s">
        <v>4098</v>
      </c>
      <c r="C467" s="800" t="s">
        <v>1792</v>
      </c>
      <c r="D467" s="800" t="s">
        <v>13067</v>
      </c>
      <c r="E467" s="801">
        <v>43041</v>
      </c>
      <c r="F467" s="800" t="s">
        <v>13068</v>
      </c>
      <c r="G467" s="800" t="s">
        <v>13069</v>
      </c>
      <c r="H467" s="800" t="s">
        <v>10433</v>
      </c>
      <c r="I467" s="800" t="s">
        <v>10433</v>
      </c>
      <c r="J467" s="800" t="s">
        <v>10447</v>
      </c>
      <c r="K467" s="800">
        <v>1</v>
      </c>
      <c r="L467" s="802" t="s">
        <v>10398</v>
      </c>
      <c r="M467" s="802" t="s">
        <v>13070</v>
      </c>
      <c r="N467" s="802" t="s">
        <v>13071</v>
      </c>
      <c r="O467" s="802" t="s">
        <v>12089</v>
      </c>
      <c r="P467" s="807" t="s">
        <v>13072</v>
      </c>
    </row>
    <row r="468" spans="1:16" s="341" customFormat="1" ht="25.5" customHeight="1">
      <c r="A468" s="806" t="s">
        <v>6473</v>
      </c>
      <c r="B468" s="800" t="s">
        <v>4098</v>
      </c>
      <c r="C468" s="800" t="s">
        <v>1792</v>
      </c>
      <c r="D468" s="800" t="s">
        <v>13073</v>
      </c>
      <c r="E468" s="801">
        <v>43041</v>
      </c>
      <c r="F468" s="800" t="s">
        <v>1804</v>
      </c>
      <c r="G468" s="800" t="s">
        <v>13074</v>
      </c>
      <c r="H468" s="800" t="s">
        <v>10404</v>
      </c>
      <c r="I468" s="800" t="s">
        <v>10404</v>
      </c>
      <c r="J468" s="800" t="s">
        <v>10426</v>
      </c>
      <c r="K468" s="800">
        <v>1</v>
      </c>
      <c r="L468" s="802" t="s">
        <v>10398</v>
      </c>
      <c r="M468" s="802" t="s">
        <v>13075</v>
      </c>
      <c r="N468" s="802" t="s">
        <v>13076</v>
      </c>
      <c r="O468" s="802" t="s">
        <v>13077</v>
      </c>
      <c r="P468" s="807" t="s">
        <v>13078</v>
      </c>
    </row>
    <row r="469" spans="1:16" s="341" customFormat="1" ht="25.5" customHeight="1">
      <c r="A469" s="806" t="s">
        <v>6473</v>
      </c>
      <c r="B469" s="800" t="s">
        <v>4098</v>
      </c>
      <c r="C469" s="800" t="s">
        <v>1792</v>
      </c>
      <c r="D469" s="800" t="s">
        <v>13079</v>
      </c>
      <c r="E469" s="801">
        <v>43041</v>
      </c>
      <c r="F469" s="800" t="s">
        <v>1813</v>
      </c>
      <c r="G469" s="800" t="s">
        <v>13080</v>
      </c>
      <c r="H469" s="800" t="s">
        <v>10433</v>
      </c>
      <c r="I469" s="800" t="s">
        <v>10433</v>
      </c>
      <c r="J469" s="800" t="s">
        <v>10447</v>
      </c>
      <c r="K469" s="800">
        <v>1</v>
      </c>
      <c r="L469" s="802" t="s">
        <v>10398</v>
      </c>
      <c r="M469" s="802" t="s">
        <v>13081</v>
      </c>
      <c r="N469" s="802" t="s">
        <v>13082</v>
      </c>
      <c r="O469" s="802" t="s">
        <v>13054</v>
      </c>
      <c r="P469" s="807" t="s">
        <v>13083</v>
      </c>
    </row>
    <row r="470" spans="1:16" s="341" customFormat="1" ht="38.25" customHeight="1">
      <c r="A470" s="806" t="s">
        <v>6473</v>
      </c>
      <c r="B470" s="800" t="s">
        <v>4098</v>
      </c>
      <c r="C470" s="800" t="s">
        <v>1792</v>
      </c>
      <c r="D470" s="800" t="s">
        <v>13084</v>
      </c>
      <c r="E470" s="801">
        <v>43041</v>
      </c>
      <c r="F470" s="800" t="s">
        <v>1813</v>
      </c>
      <c r="G470" s="800" t="s">
        <v>13085</v>
      </c>
      <c r="H470" s="800" t="s">
        <v>10433</v>
      </c>
      <c r="I470" s="800" t="s">
        <v>10433</v>
      </c>
      <c r="J470" s="800" t="s">
        <v>10447</v>
      </c>
      <c r="K470" s="800">
        <v>1</v>
      </c>
      <c r="L470" s="802" t="s">
        <v>10398</v>
      </c>
      <c r="M470" s="802" t="s">
        <v>13086</v>
      </c>
      <c r="N470" s="802" t="s">
        <v>13087</v>
      </c>
      <c r="O470" s="802" t="s">
        <v>13088</v>
      </c>
      <c r="P470" s="807" t="s">
        <v>13089</v>
      </c>
    </row>
    <row r="471" spans="1:16" s="341" customFormat="1" ht="25.5" customHeight="1">
      <c r="A471" s="806" t="s">
        <v>6473</v>
      </c>
      <c r="B471" s="800" t="s">
        <v>4098</v>
      </c>
      <c r="C471" s="800" t="s">
        <v>1792</v>
      </c>
      <c r="D471" s="800" t="s">
        <v>13090</v>
      </c>
      <c r="E471" s="801">
        <v>43041</v>
      </c>
      <c r="F471" s="800" t="s">
        <v>13068</v>
      </c>
      <c r="G471" s="800" t="s">
        <v>13091</v>
      </c>
      <c r="H471" s="800" t="s">
        <v>10404</v>
      </c>
      <c r="I471" s="800" t="s">
        <v>10404</v>
      </c>
      <c r="J471" s="800" t="s">
        <v>10447</v>
      </c>
      <c r="K471" s="800">
        <v>1</v>
      </c>
      <c r="L471" s="802" t="s">
        <v>10398</v>
      </c>
      <c r="M471" s="802" t="s">
        <v>13092</v>
      </c>
      <c r="N471" s="802" t="s">
        <v>13093</v>
      </c>
      <c r="O471" s="802" t="s">
        <v>13094</v>
      </c>
      <c r="P471" s="807" t="s">
        <v>13095</v>
      </c>
    </row>
    <row r="472" spans="1:16" s="341" customFormat="1" ht="25.5" customHeight="1">
      <c r="A472" s="806" t="s">
        <v>6473</v>
      </c>
      <c r="B472" s="800" t="s">
        <v>4098</v>
      </c>
      <c r="C472" s="800" t="s">
        <v>1792</v>
      </c>
      <c r="D472" s="800" t="s">
        <v>13096</v>
      </c>
      <c r="E472" s="801">
        <v>43041</v>
      </c>
      <c r="F472" s="800" t="s">
        <v>13097</v>
      </c>
      <c r="G472" s="800" t="s">
        <v>13098</v>
      </c>
      <c r="H472" s="800" t="s">
        <v>10396</v>
      </c>
      <c r="I472" s="800" t="s">
        <v>10396</v>
      </c>
      <c r="J472" s="800" t="s">
        <v>10664</v>
      </c>
      <c r="K472" s="800">
        <v>1</v>
      </c>
      <c r="L472" s="802" t="s">
        <v>10398</v>
      </c>
      <c r="M472" s="802" t="s">
        <v>13099</v>
      </c>
      <c r="N472" s="802" t="s">
        <v>13100</v>
      </c>
      <c r="O472" s="802" t="s">
        <v>13101</v>
      </c>
      <c r="P472" s="807" t="s">
        <v>13102</v>
      </c>
    </row>
    <row r="473" spans="1:16" s="341" customFormat="1" ht="25.5" customHeight="1">
      <c r="A473" s="806" t="s">
        <v>6473</v>
      </c>
      <c r="B473" s="800" t="s">
        <v>4098</v>
      </c>
      <c r="C473" s="800" t="s">
        <v>1792</v>
      </c>
      <c r="D473" s="800" t="s">
        <v>13103</v>
      </c>
      <c r="E473" s="801">
        <v>43041</v>
      </c>
      <c r="F473" s="800" t="s">
        <v>1813</v>
      </c>
      <c r="G473" s="800" t="s">
        <v>13104</v>
      </c>
      <c r="H473" s="800" t="s">
        <v>10396</v>
      </c>
      <c r="I473" s="800" t="s">
        <v>10396</v>
      </c>
      <c r="J473" s="800" t="s">
        <v>10397</v>
      </c>
      <c r="K473" s="800">
        <v>1</v>
      </c>
      <c r="L473" s="802" t="s">
        <v>10398</v>
      </c>
      <c r="M473" s="802" t="s">
        <v>13105</v>
      </c>
      <c r="N473" s="802" t="s">
        <v>13106</v>
      </c>
      <c r="O473" s="802" t="s">
        <v>13107</v>
      </c>
      <c r="P473" s="807" t="s">
        <v>13108</v>
      </c>
    </row>
    <row r="474" spans="1:16" s="341" customFormat="1" ht="25.5" customHeight="1">
      <c r="A474" s="806" t="s">
        <v>6473</v>
      </c>
      <c r="B474" s="800" t="s">
        <v>4098</v>
      </c>
      <c r="C474" s="800" t="s">
        <v>1792</v>
      </c>
      <c r="D474" s="800" t="s">
        <v>13109</v>
      </c>
      <c r="E474" s="801">
        <v>43041</v>
      </c>
      <c r="F474" s="800" t="s">
        <v>13110</v>
      </c>
      <c r="G474" s="800" t="s">
        <v>32</v>
      </c>
      <c r="H474" s="800" t="s">
        <v>10404</v>
      </c>
      <c r="I474" s="800" t="s">
        <v>10404</v>
      </c>
      <c r="J474" s="800" t="s">
        <v>10447</v>
      </c>
      <c r="K474" s="800">
        <v>1</v>
      </c>
      <c r="L474" s="802" t="s">
        <v>10398</v>
      </c>
      <c r="M474" s="802" t="s">
        <v>13111</v>
      </c>
      <c r="N474" s="802" t="s">
        <v>13112</v>
      </c>
      <c r="O474" s="802" t="s">
        <v>12089</v>
      </c>
      <c r="P474" s="807" t="s">
        <v>13113</v>
      </c>
    </row>
    <row r="475" spans="1:16" s="341" customFormat="1" ht="25.5" customHeight="1">
      <c r="A475" s="806" t="s">
        <v>6473</v>
      </c>
      <c r="B475" s="800" t="s">
        <v>4098</v>
      </c>
      <c r="C475" s="800" t="s">
        <v>1792</v>
      </c>
      <c r="D475" s="800" t="s">
        <v>13114</v>
      </c>
      <c r="E475" s="801">
        <v>43041</v>
      </c>
      <c r="F475" s="800" t="s">
        <v>1813</v>
      </c>
      <c r="G475" s="800" t="s">
        <v>32</v>
      </c>
      <c r="H475" s="800" t="s">
        <v>10404</v>
      </c>
      <c r="I475" s="800" t="s">
        <v>10404</v>
      </c>
      <c r="J475" s="800" t="s">
        <v>10405</v>
      </c>
      <c r="K475" s="800">
        <v>1</v>
      </c>
      <c r="L475" s="802" t="s">
        <v>10398</v>
      </c>
      <c r="M475" s="802" t="s">
        <v>13115</v>
      </c>
      <c r="N475" s="802" t="s">
        <v>13116</v>
      </c>
      <c r="O475" s="802" t="s">
        <v>13054</v>
      </c>
      <c r="P475" s="807" t="s">
        <v>13117</v>
      </c>
    </row>
    <row r="476" spans="1:16" s="341" customFormat="1" ht="38.25" customHeight="1">
      <c r="A476" s="806" t="s">
        <v>6473</v>
      </c>
      <c r="B476" s="800" t="s">
        <v>4098</v>
      </c>
      <c r="C476" s="800" t="s">
        <v>1792</v>
      </c>
      <c r="D476" s="800" t="s">
        <v>13118</v>
      </c>
      <c r="E476" s="801">
        <v>43041</v>
      </c>
      <c r="F476" s="800" t="s">
        <v>13110</v>
      </c>
      <c r="G476" s="800" t="s">
        <v>13119</v>
      </c>
      <c r="H476" s="800" t="s">
        <v>10531</v>
      </c>
      <c r="I476" s="800" t="s">
        <v>10531</v>
      </c>
      <c r="J476" s="800" t="s">
        <v>10447</v>
      </c>
      <c r="K476" s="800">
        <v>1</v>
      </c>
      <c r="L476" s="802" t="s">
        <v>10398</v>
      </c>
      <c r="M476" s="802" t="s">
        <v>13120</v>
      </c>
      <c r="N476" s="802" t="s">
        <v>13121</v>
      </c>
      <c r="O476" s="802" t="s">
        <v>12089</v>
      </c>
      <c r="P476" s="807" t="s">
        <v>13122</v>
      </c>
    </row>
    <row r="477" spans="1:16" s="341" customFormat="1" ht="38.25" customHeight="1">
      <c r="A477" s="806" t="s">
        <v>6473</v>
      </c>
      <c r="B477" s="800" t="s">
        <v>4098</v>
      </c>
      <c r="C477" s="800" t="s">
        <v>1792</v>
      </c>
      <c r="D477" s="800" t="s">
        <v>13123</v>
      </c>
      <c r="E477" s="801">
        <v>43026</v>
      </c>
      <c r="F477" s="800" t="s">
        <v>12874</v>
      </c>
      <c r="G477" s="800" t="s">
        <v>13124</v>
      </c>
      <c r="H477" s="800" t="s">
        <v>10404</v>
      </c>
      <c r="I477" s="800" t="s">
        <v>10404</v>
      </c>
      <c r="J477" s="800" t="s">
        <v>10426</v>
      </c>
      <c r="K477" s="800">
        <v>1</v>
      </c>
      <c r="L477" s="802" t="s">
        <v>10398</v>
      </c>
      <c r="M477" s="802" t="s">
        <v>13125</v>
      </c>
      <c r="N477" s="802" t="s">
        <v>13126</v>
      </c>
      <c r="O477" s="802" t="s">
        <v>13127</v>
      </c>
      <c r="P477" s="807" t="s">
        <v>13128</v>
      </c>
    </row>
    <row r="478" spans="1:16" s="341" customFormat="1" ht="15" customHeight="1">
      <c r="A478" s="806" t="s">
        <v>6473</v>
      </c>
      <c r="B478" s="800" t="s">
        <v>4098</v>
      </c>
      <c r="C478" s="800" t="s">
        <v>1792</v>
      </c>
      <c r="D478" s="800" t="s">
        <v>13129</v>
      </c>
      <c r="E478" s="801">
        <v>43026</v>
      </c>
      <c r="F478" s="800" t="s">
        <v>4123</v>
      </c>
      <c r="G478" s="800" t="s">
        <v>13130</v>
      </c>
      <c r="H478" s="800" t="s">
        <v>10396</v>
      </c>
      <c r="I478" s="800" t="s">
        <v>10396</v>
      </c>
      <c r="J478" s="800" t="s">
        <v>10447</v>
      </c>
      <c r="K478" s="800">
        <v>1</v>
      </c>
      <c r="L478" s="802" t="s">
        <v>10398</v>
      </c>
      <c r="M478" s="802" t="s">
        <v>13131</v>
      </c>
      <c r="N478" s="802" t="s">
        <v>13132</v>
      </c>
      <c r="O478" s="802" t="s">
        <v>13133</v>
      </c>
      <c r="P478" s="807" t="s">
        <v>13134</v>
      </c>
    </row>
    <row r="479" spans="1:16" s="341" customFormat="1" ht="38.25" customHeight="1">
      <c r="A479" s="806" t="s">
        <v>6473</v>
      </c>
      <c r="B479" s="800" t="s">
        <v>4098</v>
      </c>
      <c r="C479" s="800" t="s">
        <v>1792</v>
      </c>
      <c r="D479" s="800" t="s">
        <v>13135</v>
      </c>
      <c r="E479" s="801">
        <v>43025</v>
      </c>
      <c r="F479" s="800" t="s">
        <v>13136</v>
      </c>
      <c r="G479" s="800" t="s">
        <v>32</v>
      </c>
      <c r="H479" s="800" t="s">
        <v>10396</v>
      </c>
      <c r="I479" s="800" t="s">
        <v>10396</v>
      </c>
      <c r="J479" s="800" t="s">
        <v>10426</v>
      </c>
      <c r="K479" s="800">
        <v>1</v>
      </c>
      <c r="L479" s="802" t="s">
        <v>10398</v>
      </c>
      <c r="M479" s="802" t="s">
        <v>13137</v>
      </c>
      <c r="N479" s="802" t="s">
        <v>13138</v>
      </c>
      <c r="O479" s="802" t="s">
        <v>13139</v>
      </c>
      <c r="P479" s="807" t="s">
        <v>13140</v>
      </c>
    </row>
    <row r="480" spans="1:16" s="341" customFormat="1" ht="15" customHeight="1">
      <c r="A480" s="806" t="s">
        <v>6473</v>
      </c>
      <c r="B480" s="800" t="s">
        <v>4098</v>
      </c>
      <c r="C480" s="800" t="s">
        <v>1792</v>
      </c>
      <c r="D480" s="800" t="s">
        <v>13141</v>
      </c>
      <c r="E480" s="801">
        <v>43028</v>
      </c>
      <c r="F480" s="800" t="s">
        <v>1819</v>
      </c>
      <c r="G480" s="800" t="s">
        <v>1876</v>
      </c>
      <c r="H480" s="800" t="s">
        <v>10531</v>
      </c>
      <c r="I480" s="800" t="s">
        <v>10531</v>
      </c>
      <c r="J480" s="800" t="s">
        <v>4342</v>
      </c>
      <c r="K480" s="800">
        <v>1</v>
      </c>
      <c r="L480" s="802" t="s">
        <v>10398</v>
      </c>
      <c r="M480" s="802" t="s">
        <v>13142</v>
      </c>
      <c r="N480" s="802" t="s">
        <v>11330</v>
      </c>
      <c r="O480" s="802" t="s">
        <v>13143</v>
      </c>
      <c r="P480" s="807" t="s">
        <v>13144</v>
      </c>
    </row>
    <row r="481" spans="1:16" s="341" customFormat="1" ht="15" customHeight="1">
      <c r="A481" s="806" t="s">
        <v>6473</v>
      </c>
      <c r="B481" s="800" t="s">
        <v>4098</v>
      </c>
      <c r="C481" s="800" t="s">
        <v>1792</v>
      </c>
      <c r="D481" s="800" t="s">
        <v>13145</v>
      </c>
      <c r="E481" s="801">
        <v>43026</v>
      </c>
      <c r="F481" s="800" t="s">
        <v>11936</v>
      </c>
      <c r="G481" s="800" t="s">
        <v>13146</v>
      </c>
      <c r="H481" s="800" t="s">
        <v>10404</v>
      </c>
      <c r="I481" s="800" t="s">
        <v>10404</v>
      </c>
      <c r="J481" s="800" t="s">
        <v>10426</v>
      </c>
      <c r="K481" s="800">
        <v>1</v>
      </c>
      <c r="L481" s="802" t="s">
        <v>10398</v>
      </c>
      <c r="M481" s="802" t="s">
        <v>13147</v>
      </c>
      <c r="N481" s="802" t="s">
        <v>13148</v>
      </c>
      <c r="O481" s="802" t="s">
        <v>13149</v>
      </c>
      <c r="P481" s="807" t="s">
        <v>13150</v>
      </c>
    </row>
    <row r="482" spans="1:16" s="341" customFormat="1" ht="15" customHeight="1">
      <c r="A482" s="806" t="s">
        <v>6473</v>
      </c>
      <c r="B482" s="800" t="s">
        <v>4098</v>
      </c>
      <c r="C482" s="800" t="s">
        <v>1792</v>
      </c>
      <c r="D482" s="800" t="s">
        <v>13151</v>
      </c>
      <c r="E482" s="801">
        <v>43025</v>
      </c>
      <c r="F482" s="800" t="s">
        <v>13152</v>
      </c>
      <c r="G482" s="800" t="s">
        <v>32</v>
      </c>
      <c r="H482" s="800" t="s">
        <v>10433</v>
      </c>
      <c r="I482" s="800" t="s">
        <v>10433</v>
      </c>
      <c r="J482" s="800" t="s">
        <v>10447</v>
      </c>
      <c r="K482" s="800">
        <v>1</v>
      </c>
      <c r="L482" s="802" t="s">
        <v>10398</v>
      </c>
      <c r="M482" s="802" t="s">
        <v>13153</v>
      </c>
      <c r="N482" s="802" t="s">
        <v>13154</v>
      </c>
      <c r="O482" s="802" t="s">
        <v>13155</v>
      </c>
      <c r="P482" s="807" t="s">
        <v>13156</v>
      </c>
    </row>
    <row r="483" spans="1:16" s="341" customFormat="1" ht="15" customHeight="1">
      <c r="A483" s="806" t="s">
        <v>6473</v>
      </c>
      <c r="B483" s="800" t="s">
        <v>4098</v>
      </c>
      <c r="C483" s="800" t="s">
        <v>1792</v>
      </c>
      <c r="D483" s="800" t="s">
        <v>13157</v>
      </c>
      <c r="E483" s="801">
        <v>43025</v>
      </c>
      <c r="F483" s="800" t="s">
        <v>1813</v>
      </c>
      <c r="G483" s="800" t="s">
        <v>13158</v>
      </c>
      <c r="H483" s="800" t="s">
        <v>10404</v>
      </c>
      <c r="I483" s="800" t="s">
        <v>10404</v>
      </c>
      <c r="J483" s="800" t="s">
        <v>10447</v>
      </c>
      <c r="K483" s="800">
        <v>1</v>
      </c>
      <c r="L483" s="802" t="s">
        <v>10398</v>
      </c>
      <c r="M483" s="802" t="s">
        <v>13159</v>
      </c>
      <c r="N483" s="802" t="s">
        <v>13160</v>
      </c>
      <c r="O483" s="802" t="s">
        <v>13161</v>
      </c>
      <c r="P483" s="807" t="s">
        <v>13162</v>
      </c>
    </row>
    <row r="484" spans="1:16" s="341" customFormat="1" ht="25.5" customHeight="1">
      <c r="A484" s="806" t="s">
        <v>6473</v>
      </c>
      <c r="B484" s="800" t="s">
        <v>4098</v>
      </c>
      <c r="C484" s="800" t="s">
        <v>1792</v>
      </c>
      <c r="D484" s="800" t="s">
        <v>13163</v>
      </c>
      <c r="E484" s="801">
        <v>43025</v>
      </c>
      <c r="F484" s="800" t="s">
        <v>1707</v>
      </c>
      <c r="G484" s="800" t="s">
        <v>13164</v>
      </c>
      <c r="H484" s="800" t="s">
        <v>10531</v>
      </c>
      <c r="I484" s="800" t="s">
        <v>10531</v>
      </c>
      <c r="J484" s="800" t="s">
        <v>10447</v>
      </c>
      <c r="K484" s="800">
        <v>1</v>
      </c>
      <c r="L484" s="802" t="s">
        <v>10398</v>
      </c>
      <c r="M484" s="802" t="s">
        <v>13165</v>
      </c>
      <c r="N484" s="802" t="s">
        <v>13166</v>
      </c>
      <c r="O484" s="802" t="s">
        <v>13167</v>
      </c>
      <c r="P484" s="807" t="s">
        <v>13168</v>
      </c>
    </row>
    <row r="485" spans="1:16" s="341" customFormat="1" ht="25.5" customHeight="1">
      <c r="A485" s="806" t="s">
        <v>6473</v>
      </c>
      <c r="B485" s="800" t="s">
        <v>4098</v>
      </c>
      <c r="C485" s="800" t="s">
        <v>1792</v>
      </c>
      <c r="D485" s="800" t="s">
        <v>13169</v>
      </c>
      <c r="E485" s="801">
        <v>43025</v>
      </c>
      <c r="F485" s="800" t="s">
        <v>13152</v>
      </c>
      <c r="G485" s="800" t="s">
        <v>32</v>
      </c>
      <c r="H485" s="800" t="s">
        <v>10531</v>
      </c>
      <c r="I485" s="800" t="s">
        <v>10531</v>
      </c>
      <c r="J485" s="800" t="s">
        <v>10397</v>
      </c>
      <c r="K485" s="800">
        <v>1</v>
      </c>
      <c r="L485" s="802" t="s">
        <v>10398</v>
      </c>
      <c r="M485" s="802" t="s">
        <v>13170</v>
      </c>
      <c r="N485" s="802" t="s">
        <v>13171</v>
      </c>
      <c r="O485" s="802" t="s">
        <v>13172</v>
      </c>
      <c r="P485" s="807" t="s">
        <v>13173</v>
      </c>
    </row>
    <row r="486" spans="1:16" s="341" customFormat="1" ht="25.5" customHeight="1">
      <c r="A486" s="806" t="s">
        <v>6473</v>
      </c>
      <c r="B486" s="800" t="s">
        <v>4098</v>
      </c>
      <c r="C486" s="800" t="s">
        <v>1792</v>
      </c>
      <c r="D486" s="800" t="s">
        <v>13174</v>
      </c>
      <c r="E486" s="801">
        <v>43026</v>
      </c>
      <c r="F486" s="800" t="s">
        <v>12874</v>
      </c>
      <c r="G486" s="800" t="s">
        <v>13175</v>
      </c>
      <c r="H486" s="800" t="s">
        <v>10404</v>
      </c>
      <c r="I486" s="800" t="s">
        <v>10404</v>
      </c>
      <c r="J486" s="800" t="s">
        <v>10426</v>
      </c>
      <c r="K486" s="800">
        <v>1</v>
      </c>
      <c r="L486" s="802" t="s">
        <v>10398</v>
      </c>
      <c r="M486" s="802" t="s">
        <v>13176</v>
      </c>
      <c r="N486" s="802" t="s">
        <v>13177</v>
      </c>
      <c r="O486" s="802" t="s">
        <v>13178</v>
      </c>
      <c r="P486" s="807" t="s">
        <v>13179</v>
      </c>
    </row>
    <row r="487" spans="1:16" s="341" customFormat="1" ht="25.5" customHeight="1">
      <c r="A487" s="806" t="s">
        <v>6473</v>
      </c>
      <c r="B487" s="800" t="s">
        <v>4098</v>
      </c>
      <c r="C487" s="800" t="s">
        <v>1792</v>
      </c>
      <c r="D487" s="800" t="s">
        <v>13180</v>
      </c>
      <c r="E487" s="801">
        <v>43026</v>
      </c>
      <c r="F487" s="800" t="s">
        <v>12874</v>
      </c>
      <c r="G487" s="800" t="s">
        <v>13181</v>
      </c>
      <c r="H487" s="800" t="s">
        <v>10396</v>
      </c>
      <c r="I487" s="800" t="s">
        <v>10396</v>
      </c>
      <c r="J487" s="800" t="s">
        <v>10426</v>
      </c>
      <c r="K487" s="800">
        <v>1</v>
      </c>
      <c r="L487" s="802" t="s">
        <v>10398</v>
      </c>
      <c r="M487" s="802" t="s">
        <v>13182</v>
      </c>
      <c r="N487" s="802" t="s">
        <v>13183</v>
      </c>
      <c r="O487" s="802" t="s">
        <v>12878</v>
      </c>
      <c r="P487" s="807" t="s">
        <v>13184</v>
      </c>
    </row>
    <row r="488" spans="1:16" s="341" customFormat="1" ht="15" customHeight="1">
      <c r="A488" s="806" t="s">
        <v>6473</v>
      </c>
      <c r="B488" s="800" t="s">
        <v>4098</v>
      </c>
      <c r="C488" s="800" t="s">
        <v>1792</v>
      </c>
      <c r="D488" s="800" t="s">
        <v>13185</v>
      </c>
      <c r="E488" s="801">
        <v>43028</v>
      </c>
      <c r="F488" s="800" t="s">
        <v>1819</v>
      </c>
      <c r="G488" s="800" t="s">
        <v>32</v>
      </c>
      <c r="H488" s="800" t="s">
        <v>10396</v>
      </c>
      <c r="I488" s="800" t="s">
        <v>10396</v>
      </c>
      <c r="J488" s="800" t="s">
        <v>10426</v>
      </c>
      <c r="K488" s="800">
        <v>1</v>
      </c>
      <c r="L488" s="802" t="s">
        <v>10398</v>
      </c>
      <c r="M488" s="802" t="s">
        <v>13186</v>
      </c>
      <c r="N488" s="802" t="s">
        <v>13187</v>
      </c>
      <c r="O488" s="802" t="s">
        <v>13188</v>
      </c>
      <c r="P488" s="807" t="s">
        <v>13189</v>
      </c>
    </row>
    <row r="489" spans="1:16" s="341" customFormat="1" ht="25.5" customHeight="1">
      <c r="A489" s="806" t="s">
        <v>6473</v>
      </c>
      <c r="B489" s="800" t="s">
        <v>4098</v>
      </c>
      <c r="C489" s="800" t="s">
        <v>1792</v>
      </c>
      <c r="D489" s="800" t="s">
        <v>13190</v>
      </c>
      <c r="E489" s="801">
        <v>43026</v>
      </c>
      <c r="F489" s="800" t="s">
        <v>4123</v>
      </c>
      <c r="G489" s="800" t="s">
        <v>32</v>
      </c>
      <c r="H489" s="800" t="s">
        <v>10531</v>
      </c>
      <c r="I489" s="800" t="s">
        <v>10531</v>
      </c>
      <c r="J489" s="800" t="s">
        <v>10426</v>
      </c>
      <c r="K489" s="800">
        <v>1</v>
      </c>
      <c r="L489" s="802" t="s">
        <v>10398</v>
      </c>
      <c r="M489" s="802" t="s">
        <v>13191</v>
      </c>
      <c r="N489" s="802" t="s">
        <v>13192</v>
      </c>
      <c r="O489" s="802" t="s">
        <v>13193</v>
      </c>
      <c r="P489" s="807" t="s">
        <v>13194</v>
      </c>
    </row>
    <row r="490" spans="1:16" s="341" customFormat="1" ht="25.5" customHeight="1">
      <c r="A490" s="806" t="s">
        <v>6473</v>
      </c>
      <c r="B490" s="800" t="s">
        <v>4098</v>
      </c>
      <c r="C490" s="800" t="s">
        <v>1792</v>
      </c>
      <c r="D490" s="800" t="s">
        <v>13195</v>
      </c>
      <c r="E490" s="801">
        <v>43026</v>
      </c>
      <c r="F490" s="800" t="s">
        <v>1824</v>
      </c>
      <c r="G490" s="800" t="s">
        <v>13196</v>
      </c>
      <c r="H490" s="800" t="s">
        <v>10433</v>
      </c>
      <c r="I490" s="800" t="s">
        <v>10433</v>
      </c>
      <c r="J490" s="800" t="s">
        <v>10447</v>
      </c>
      <c r="K490" s="800">
        <v>1</v>
      </c>
      <c r="L490" s="802" t="s">
        <v>10398</v>
      </c>
      <c r="M490" s="802" t="s">
        <v>13197</v>
      </c>
      <c r="N490" s="802" t="s">
        <v>13171</v>
      </c>
      <c r="O490" s="802" t="s">
        <v>13198</v>
      </c>
      <c r="P490" s="807" t="s">
        <v>32</v>
      </c>
    </row>
    <row r="491" spans="1:16" s="341" customFormat="1" ht="15" customHeight="1">
      <c r="A491" s="806" t="s">
        <v>6473</v>
      </c>
      <c r="B491" s="800" t="s">
        <v>4098</v>
      </c>
      <c r="C491" s="800" t="s">
        <v>1792</v>
      </c>
      <c r="D491" s="800" t="s">
        <v>13199</v>
      </c>
      <c r="E491" s="801">
        <v>43025</v>
      </c>
      <c r="F491" s="800" t="s">
        <v>1707</v>
      </c>
      <c r="G491" s="800" t="s">
        <v>13200</v>
      </c>
      <c r="H491" s="800" t="s">
        <v>10531</v>
      </c>
      <c r="I491" s="800" t="s">
        <v>10531</v>
      </c>
      <c r="J491" s="800" t="s">
        <v>10426</v>
      </c>
      <c r="K491" s="800">
        <v>1</v>
      </c>
      <c r="L491" s="802" t="s">
        <v>10398</v>
      </c>
      <c r="M491" s="802" t="s">
        <v>13201</v>
      </c>
      <c r="N491" s="802" t="s">
        <v>12350</v>
      </c>
      <c r="O491" s="802" t="s">
        <v>13202</v>
      </c>
      <c r="P491" s="807" t="s">
        <v>13203</v>
      </c>
    </row>
    <row r="492" spans="1:16" s="341" customFormat="1" ht="25.5" customHeight="1">
      <c r="A492" s="806" t="s">
        <v>6473</v>
      </c>
      <c r="B492" s="800" t="s">
        <v>4098</v>
      </c>
      <c r="C492" s="800" t="s">
        <v>1792</v>
      </c>
      <c r="D492" s="800" t="s">
        <v>13204</v>
      </c>
      <c r="E492" s="801">
        <v>43025</v>
      </c>
      <c r="F492" s="800" t="s">
        <v>13205</v>
      </c>
      <c r="G492" s="800" t="s">
        <v>32</v>
      </c>
      <c r="H492" s="800" t="s">
        <v>10433</v>
      </c>
      <c r="I492" s="800" t="s">
        <v>10433</v>
      </c>
      <c r="J492" s="800" t="s">
        <v>10426</v>
      </c>
      <c r="K492" s="800">
        <v>1</v>
      </c>
      <c r="L492" s="802" t="s">
        <v>10398</v>
      </c>
      <c r="M492" s="802" t="s">
        <v>13206</v>
      </c>
      <c r="N492" s="802" t="s">
        <v>13207</v>
      </c>
      <c r="O492" s="802" t="s">
        <v>13208</v>
      </c>
      <c r="P492" s="807" t="s">
        <v>13209</v>
      </c>
    </row>
    <row r="493" spans="1:16" s="341" customFormat="1" ht="15" customHeight="1">
      <c r="A493" s="806" t="s">
        <v>6473</v>
      </c>
      <c r="B493" s="800" t="s">
        <v>4098</v>
      </c>
      <c r="C493" s="800" t="s">
        <v>1792</v>
      </c>
      <c r="D493" s="800" t="s">
        <v>13210</v>
      </c>
      <c r="E493" s="801">
        <v>43026</v>
      </c>
      <c r="F493" s="800" t="s">
        <v>11936</v>
      </c>
      <c r="G493" s="800" t="s">
        <v>32</v>
      </c>
      <c r="H493" s="800" t="s">
        <v>10531</v>
      </c>
      <c r="I493" s="800" t="s">
        <v>10531</v>
      </c>
      <c r="J493" s="800" t="s">
        <v>10426</v>
      </c>
      <c r="K493" s="800">
        <v>1</v>
      </c>
      <c r="L493" s="802" t="s">
        <v>10398</v>
      </c>
      <c r="M493" s="802" t="s">
        <v>13211</v>
      </c>
      <c r="N493" s="802" t="s">
        <v>13212</v>
      </c>
      <c r="O493" s="802" t="s">
        <v>13213</v>
      </c>
      <c r="P493" s="807" t="s">
        <v>13214</v>
      </c>
    </row>
    <row r="494" spans="1:16" s="341" customFormat="1" ht="25.5" customHeight="1">
      <c r="A494" s="806" t="s">
        <v>6473</v>
      </c>
      <c r="B494" s="800" t="s">
        <v>13215</v>
      </c>
      <c r="C494" s="800" t="s">
        <v>938</v>
      </c>
      <c r="D494" s="800" t="s">
        <v>13216</v>
      </c>
      <c r="E494" s="801">
        <v>43062</v>
      </c>
      <c r="F494" s="800" t="s">
        <v>6020</v>
      </c>
      <c r="G494" s="800" t="s">
        <v>13217</v>
      </c>
      <c r="H494" s="800" t="s">
        <v>10531</v>
      </c>
      <c r="I494" s="800" t="s">
        <v>10531</v>
      </c>
      <c r="J494" s="800" t="s">
        <v>10447</v>
      </c>
      <c r="K494" s="800">
        <v>1</v>
      </c>
      <c r="L494" s="802" t="s">
        <v>10398</v>
      </c>
      <c r="M494" s="802" t="s">
        <v>13218</v>
      </c>
      <c r="N494" s="802" t="s">
        <v>13219</v>
      </c>
      <c r="O494" s="802" t="s">
        <v>13220</v>
      </c>
      <c r="P494" s="807" t="s">
        <v>13221</v>
      </c>
    </row>
    <row r="495" spans="1:16" s="341" customFormat="1" ht="25.5" customHeight="1">
      <c r="A495" s="806" t="s">
        <v>6473</v>
      </c>
      <c r="B495" s="800" t="s">
        <v>13215</v>
      </c>
      <c r="C495" s="800" t="s">
        <v>938</v>
      </c>
      <c r="D495" s="800" t="s">
        <v>13222</v>
      </c>
      <c r="E495" s="801">
        <v>43062</v>
      </c>
      <c r="F495" s="800" t="s">
        <v>6020</v>
      </c>
      <c r="G495" s="800" t="s">
        <v>13223</v>
      </c>
      <c r="H495" s="800" t="s">
        <v>10531</v>
      </c>
      <c r="I495" s="800" t="s">
        <v>10531</v>
      </c>
      <c r="J495" s="800" t="s">
        <v>10447</v>
      </c>
      <c r="K495" s="800">
        <v>1</v>
      </c>
      <c r="L495" s="802" t="s">
        <v>10398</v>
      </c>
      <c r="M495" s="802" t="s">
        <v>13224</v>
      </c>
      <c r="N495" s="802" t="s">
        <v>13225</v>
      </c>
      <c r="O495" s="802" t="s">
        <v>13226</v>
      </c>
      <c r="P495" s="807" t="s">
        <v>13227</v>
      </c>
    </row>
    <row r="496" spans="1:16" s="341" customFormat="1" ht="15" customHeight="1">
      <c r="A496" s="806" t="s">
        <v>6473</v>
      </c>
      <c r="B496" s="800" t="s">
        <v>13215</v>
      </c>
      <c r="C496" s="800" t="s">
        <v>938</v>
      </c>
      <c r="D496" s="800" t="s">
        <v>13228</v>
      </c>
      <c r="E496" s="801">
        <v>43062</v>
      </c>
      <c r="F496" s="800" t="s">
        <v>6020</v>
      </c>
      <c r="G496" s="800" t="s">
        <v>13229</v>
      </c>
      <c r="H496" s="800" t="s">
        <v>10531</v>
      </c>
      <c r="I496" s="800" t="s">
        <v>10531</v>
      </c>
      <c r="J496" s="800" t="s">
        <v>10447</v>
      </c>
      <c r="K496" s="800">
        <v>1</v>
      </c>
      <c r="L496" s="802" t="s">
        <v>10398</v>
      </c>
      <c r="M496" s="802" t="s">
        <v>13230</v>
      </c>
      <c r="N496" s="802" t="s">
        <v>13231</v>
      </c>
      <c r="O496" s="802" t="s">
        <v>13232</v>
      </c>
      <c r="P496" s="807" t="s">
        <v>13233</v>
      </c>
    </row>
    <row r="497" spans="1:16" s="341" customFormat="1" ht="15" customHeight="1">
      <c r="A497" s="806" t="s">
        <v>6473</v>
      </c>
      <c r="B497" s="800" t="s">
        <v>13215</v>
      </c>
      <c r="C497" s="800" t="s">
        <v>938</v>
      </c>
      <c r="D497" s="800" t="s">
        <v>13234</v>
      </c>
      <c r="E497" s="801">
        <v>43062</v>
      </c>
      <c r="F497" s="800" t="s">
        <v>13235</v>
      </c>
      <c r="G497" s="800" t="s">
        <v>13236</v>
      </c>
      <c r="H497" s="800" t="s">
        <v>10531</v>
      </c>
      <c r="I497" s="800" t="s">
        <v>10531</v>
      </c>
      <c r="J497" s="800" t="s">
        <v>10447</v>
      </c>
      <c r="K497" s="800">
        <v>1</v>
      </c>
      <c r="L497" s="802" t="s">
        <v>10398</v>
      </c>
      <c r="M497" s="802" t="s">
        <v>13237</v>
      </c>
      <c r="N497" s="802" t="s">
        <v>13238</v>
      </c>
      <c r="O497" s="802" t="s">
        <v>13232</v>
      </c>
      <c r="P497" s="807" t="s">
        <v>13239</v>
      </c>
    </row>
    <row r="498" spans="1:16" s="341" customFormat="1" ht="25.5" customHeight="1">
      <c r="A498" s="806" t="s">
        <v>6473</v>
      </c>
      <c r="B498" s="800" t="s">
        <v>13215</v>
      </c>
      <c r="C498" s="800" t="s">
        <v>938</v>
      </c>
      <c r="D498" s="800" t="s">
        <v>13240</v>
      </c>
      <c r="E498" s="801">
        <v>43062</v>
      </c>
      <c r="F498" s="800" t="s">
        <v>6020</v>
      </c>
      <c r="G498" s="800" t="s">
        <v>13241</v>
      </c>
      <c r="H498" s="800" t="s">
        <v>10531</v>
      </c>
      <c r="I498" s="800" t="s">
        <v>10531</v>
      </c>
      <c r="J498" s="800" t="s">
        <v>10447</v>
      </c>
      <c r="K498" s="800">
        <v>1</v>
      </c>
      <c r="L498" s="802" t="s">
        <v>10398</v>
      </c>
      <c r="M498" s="802" t="s">
        <v>13242</v>
      </c>
      <c r="N498" s="802" t="s">
        <v>13243</v>
      </c>
      <c r="O498" s="802" t="s">
        <v>13244</v>
      </c>
      <c r="P498" s="807" t="s">
        <v>13245</v>
      </c>
    </row>
    <row r="499" spans="1:16" s="341" customFormat="1" ht="15" customHeight="1">
      <c r="A499" s="806" t="s">
        <v>6473</v>
      </c>
      <c r="B499" s="800" t="s">
        <v>13215</v>
      </c>
      <c r="C499" s="800" t="s">
        <v>938</v>
      </c>
      <c r="D499" s="800" t="s">
        <v>13246</v>
      </c>
      <c r="E499" s="801">
        <v>43062</v>
      </c>
      <c r="F499" s="800" t="s">
        <v>13247</v>
      </c>
      <c r="G499" s="800" t="s">
        <v>13248</v>
      </c>
      <c r="H499" s="800" t="s">
        <v>10433</v>
      </c>
      <c r="I499" s="800" t="s">
        <v>10433</v>
      </c>
      <c r="J499" s="800" t="s">
        <v>10447</v>
      </c>
      <c r="K499" s="800">
        <v>1</v>
      </c>
      <c r="L499" s="802" t="s">
        <v>10398</v>
      </c>
      <c r="M499" s="802" t="s">
        <v>13249</v>
      </c>
      <c r="N499" s="802" t="s">
        <v>13250</v>
      </c>
      <c r="O499" s="802" t="s">
        <v>13251</v>
      </c>
      <c r="P499" s="807" t="s">
        <v>13252</v>
      </c>
    </row>
    <row r="500" spans="1:16" s="341" customFormat="1" ht="15" customHeight="1">
      <c r="A500" s="806" t="s">
        <v>6473</v>
      </c>
      <c r="B500" s="800" t="s">
        <v>13215</v>
      </c>
      <c r="C500" s="800" t="s">
        <v>938</v>
      </c>
      <c r="D500" s="800" t="s">
        <v>13253</v>
      </c>
      <c r="E500" s="801">
        <v>43062</v>
      </c>
      <c r="F500" s="800" t="s">
        <v>6020</v>
      </c>
      <c r="G500" s="800" t="s">
        <v>13254</v>
      </c>
      <c r="H500" s="800" t="s">
        <v>10433</v>
      </c>
      <c r="I500" s="800" t="s">
        <v>10433</v>
      </c>
      <c r="J500" s="800" t="s">
        <v>10447</v>
      </c>
      <c r="K500" s="800">
        <v>1</v>
      </c>
      <c r="L500" s="802" t="s">
        <v>10398</v>
      </c>
      <c r="M500" s="802" t="s">
        <v>13255</v>
      </c>
      <c r="N500" s="802" t="s">
        <v>13256</v>
      </c>
      <c r="O500" s="802" t="s">
        <v>13257</v>
      </c>
      <c r="P500" s="807" t="s">
        <v>13258</v>
      </c>
    </row>
    <row r="501" spans="1:16" s="341" customFormat="1" ht="25.5" customHeight="1">
      <c r="A501" s="806" t="s">
        <v>6473</v>
      </c>
      <c r="B501" s="800" t="s">
        <v>13215</v>
      </c>
      <c r="C501" s="800" t="s">
        <v>938</v>
      </c>
      <c r="D501" s="800" t="s">
        <v>13259</v>
      </c>
      <c r="E501" s="801">
        <v>43062</v>
      </c>
      <c r="F501" s="800" t="s">
        <v>6020</v>
      </c>
      <c r="G501" s="800" t="s">
        <v>13260</v>
      </c>
      <c r="H501" s="800" t="s">
        <v>10433</v>
      </c>
      <c r="I501" s="800" t="s">
        <v>10433</v>
      </c>
      <c r="J501" s="800" t="s">
        <v>10447</v>
      </c>
      <c r="K501" s="800">
        <v>1</v>
      </c>
      <c r="L501" s="802" t="s">
        <v>10398</v>
      </c>
      <c r="M501" s="802" t="s">
        <v>13261</v>
      </c>
      <c r="N501" s="802" t="s">
        <v>13262</v>
      </c>
      <c r="O501" s="802" t="s">
        <v>13263</v>
      </c>
      <c r="P501" s="807" t="s">
        <v>13264</v>
      </c>
    </row>
    <row r="502" spans="1:16" s="341" customFormat="1" ht="25.5" customHeight="1">
      <c r="A502" s="806" t="s">
        <v>6473</v>
      </c>
      <c r="B502" s="800" t="s">
        <v>13215</v>
      </c>
      <c r="C502" s="800" t="s">
        <v>938</v>
      </c>
      <c r="D502" s="800" t="s">
        <v>13265</v>
      </c>
      <c r="E502" s="801">
        <v>43062</v>
      </c>
      <c r="F502" s="800" t="s">
        <v>6020</v>
      </c>
      <c r="G502" s="800" t="s">
        <v>13254</v>
      </c>
      <c r="H502" s="800" t="s">
        <v>10433</v>
      </c>
      <c r="I502" s="800" t="s">
        <v>10433</v>
      </c>
      <c r="J502" s="800" t="s">
        <v>10447</v>
      </c>
      <c r="K502" s="800">
        <v>1</v>
      </c>
      <c r="L502" s="802" t="s">
        <v>10398</v>
      </c>
      <c r="M502" s="802" t="s">
        <v>13266</v>
      </c>
      <c r="N502" s="802" t="s">
        <v>13267</v>
      </c>
      <c r="O502" s="802" t="s">
        <v>13268</v>
      </c>
      <c r="P502" s="807" t="s">
        <v>13269</v>
      </c>
    </row>
    <row r="503" spans="1:16" s="341" customFormat="1" ht="25.5" customHeight="1">
      <c r="A503" s="806" t="s">
        <v>6473</v>
      </c>
      <c r="B503" s="800" t="s">
        <v>13215</v>
      </c>
      <c r="C503" s="800" t="s">
        <v>938</v>
      </c>
      <c r="D503" s="800" t="s">
        <v>13270</v>
      </c>
      <c r="E503" s="801">
        <v>43062</v>
      </c>
      <c r="F503" s="800" t="s">
        <v>6020</v>
      </c>
      <c r="G503" s="800" t="s">
        <v>13260</v>
      </c>
      <c r="H503" s="800" t="s">
        <v>10404</v>
      </c>
      <c r="I503" s="800" t="s">
        <v>10404</v>
      </c>
      <c r="J503" s="800" t="s">
        <v>10447</v>
      </c>
      <c r="K503" s="800">
        <v>1</v>
      </c>
      <c r="L503" s="802" t="s">
        <v>10398</v>
      </c>
      <c r="M503" s="802" t="s">
        <v>13271</v>
      </c>
      <c r="N503" s="802" t="s">
        <v>11028</v>
      </c>
      <c r="O503" s="802" t="s">
        <v>13272</v>
      </c>
      <c r="P503" s="807" t="s">
        <v>13273</v>
      </c>
    </row>
    <row r="504" spans="1:16" s="341" customFormat="1" ht="25.5" customHeight="1">
      <c r="A504" s="806" t="s">
        <v>6473</v>
      </c>
      <c r="B504" s="800" t="s">
        <v>13215</v>
      </c>
      <c r="C504" s="800" t="s">
        <v>938</v>
      </c>
      <c r="D504" s="800" t="s">
        <v>13274</v>
      </c>
      <c r="E504" s="801">
        <v>43062</v>
      </c>
      <c r="F504" s="800" t="s">
        <v>6020</v>
      </c>
      <c r="G504" s="800" t="s">
        <v>13254</v>
      </c>
      <c r="H504" s="800" t="s">
        <v>10404</v>
      </c>
      <c r="I504" s="800" t="s">
        <v>10404</v>
      </c>
      <c r="J504" s="800" t="s">
        <v>10447</v>
      </c>
      <c r="K504" s="800">
        <v>1</v>
      </c>
      <c r="L504" s="802" t="s">
        <v>10398</v>
      </c>
      <c r="M504" s="802" t="s">
        <v>13275</v>
      </c>
      <c r="N504" s="802" t="s">
        <v>13276</v>
      </c>
      <c r="O504" s="802" t="s">
        <v>13277</v>
      </c>
      <c r="P504" s="807" t="s">
        <v>13278</v>
      </c>
    </row>
    <row r="505" spans="1:16" s="341" customFormat="1" ht="15" customHeight="1">
      <c r="A505" s="806" t="s">
        <v>6473</v>
      </c>
      <c r="B505" s="800" t="s">
        <v>13215</v>
      </c>
      <c r="C505" s="800" t="s">
        <v>938</v>
      </c>
      <c r="D505" s="800" t="s">
        <v>13279</v>
      </c>
      <c r="E505" s="801">
        <v>43062</v>
      </c>
      <c r="F505" s="800" t="s">
        <v>6020</v>
      </c>
      <c r="G505" s="800" t="s">
        <v>13254</v>
      </c>
      <c r="H505" s="800" t="s">
        <v>10531</v>
      </c>
      <c r="I505" s="800" t="s">
        <v>10531</v>
      </c>
      <c r="J505" s="800" t="s">
        <v>10447</v>
      </c>
      <c r="K505" s="800">
        <v>1</v>
      </c>
      <c r="L505" s="802" t="s">
        <v>10398</v>
      </c>
      <c r="M505" s="802" t="s">
        <v>32</v>
      </c>
      <c r="N505" s="802" t="s">
        <v>13280</v>
      </c>
      <c r="O505" s="802" t="s">
        <v>13281</v>
      </c>
      <c r="P505" s="807" t="s">
        <v>13282</v>
      </c>
    </row>
    <row r="506" spans="1:16" s="341" customFormat="1" ht="25.5" customHeight="1">
      <c r="A506" s="806" t="s">
        <v>6473</v>
      </c>
      <c r="B506" s="800" t="s">
        <v>13215</v>
      </c>
      <c r="C506" s="800" t="s">
        <v>938</v>
      </c>
      <c r="D506" s="800" t="s">
        <v>13283</v>
      </c>
      <c r="E506" s="801">
        <v>43062</v>
      </c>
      <c r="F506" s="800" t="s">
        <v>6020</v>
      </c>
      <c r="G506" s="800" t="s">
        <v>13284</v>
      </c>
      <c r="H506" s="800" t="s">
        <v>10531</v>
      </c>
      <c r="I506" s="800" t="s">
        <v>10531</v>
      </c>
      <c r="J506" s="800" t="s">
        <v>10447</v>
      </c>
      <c r="K506" s="800">
        <v>1</v>
      </c>
      <c r="L506" s="802" t="s">
        <v>10398</v>
      </c>
      <c r="M506" s="802" t="s">
        <v>13285</v>
      </c>
      <c r="N506" s="802" t="s">
        <v>13286</v>
      </c>
      <c r="O506" s="802" t="s">
        <v>13287</v>
      </c>
      <c r="P506" s="807" t="s">
        <v>13288</v>
      </c>
    </row>
    <row r="507" spans="1:16" s="341" customFormat="1" ht="25.5" customHeight="1">
      <c r="A507" s="806" t="s">
        <v>6473</v>
      </c>
      <c r="B507" s="800" t="s">
        <v>13215</v>
      </c>
      <c r="C507" s="800" t="s">
        <v>938</v>
      </c>
      <c r="D507" s="800" t="s">
        <v>13289</v>
      </c>
      <c r="E507" s="801">
        <v>43062</v>
      </c>
      <c r="F507" s="800" t="s">
        <v>6020</v>
      </c>
      <c r="G507" s="800" t="s">
        <v>13290</v>
      </c>
      <c r="H507" s="800" t="s">
        <v>10404</v>
      </c>
      <c r="I507" s="800" t="s">
        <v>10404</v>
      </c>
      <c r="J507" s="800" t="s">
        <v>10447</v>
      </c>
      <c r="K507" s="800">
        <v>1</v>
      </c>
      <c r="L507" s="802" t="s">
        <v>10398</v>
      </c>
      <c r="M507" s="802" t="s">
        <v>13291</v>
      </c>
      <c r="N507" s="802" t="s">
        <v>13292</v>
      </c>
      <c r="O507" s="802" t="s">
        <v>13287</v>
      </c>
      <c r="P507" s="807" t="s">
        <v>13293</v>
      </c>
    </row>
    <row r="508" spans="1:16" s="341" customFormat="1" ht="25.5" customHeight="1">
      <c r="A508" s="806" t="s">
        <v>6473</v>
      </c>
      <c r="B508" s="800" t="s">
        <v>13215</v>
      </c>
      <c r="C508" s="800" t="s">
        <v>938</v>
      </c>
      <c r="D508" s="800" t="s">
        <v>13294</v>
      </c>
      <c r="E508" s="801">
        <v>43062</v>
      </c>
      <c r="F508" s="800" t="s">
        <v>6020</v>
      </c>
      <c r="G508" s="800" t="s">
        <v>13254</v>
      </c>
      <c r="H508" s="800" t="s">
        <v>10531</v>
      </c>
      <c r="I508" s="800" t="s">
        <v>10531</v>
      </c>
      <c r="J508" s="800" t="s">
        <v>10447</v>
      </c>
      <c r="K508" s="800">
        <v>1</v>
      </c>
      <c r="L508" s="802" t="s">
        <v>10398</v>
      </c>
      <c r="M508" s="802" t="s">
        <v>13295</v>
      </c>
      <c r="N508" s="802" t="s">
        <v>13296</v>
      </c>
      <c r="O508" s="802" t="s">
        <v>13297</v>
      </c>
      <c r="P508" s="807" t="s">
        <v>13298</v>
      </c>
    </row>
    <row r="509" spans="1:16" s="341" customFormat="1" ht="15" customHeight="1">
      <c r="A509" s="806" t="s">
        <v>6473</v>
      </c>
      <c r="B509" s="800" t="s">
        <v>13215</v>
      </c>
      <c r="C509" s="800" t="s">
        <v>938</v>
      </c>
      <c r="D509" s="800" t="s">
        <v>13299</v>
      </c>
      <c r="E509" s="801">
        <v>43062</v>
      </c>
      <c r="F509" s="800" t="s">
        <v>6020</v>
      </c>
      <c r="G509" s="800" t="s">
        <v>13300</v>
      </c>
      <c r="H509" s="800" t="s">
        <v>10404</v>
      </c>
      <c r="I509" s="800" t="s">
        <v>10404</v>
      </c>
      <c r="J509" s="800" t="s">
        <v>10447</v>
      </c>
      <c r="K509" s="800">
        <v>1</v>
      </c>
      <c r="L509" s="802" t="s">
        <v>10398</v>
      </c>
      <c r="M509" s="802" t="s">
        <v>13301</v>
      </c>
      <c r="N509" s="802" t="s">
        <v>13302</v>
      </c>
      <c r="O509" s="802" t="s">
        <v>13287</v>
      </c>
      <c r="P509" s="807" t="s">
        <v>13303</v>
      </c>
    </row>
    <row r="510" spans="1:16" s="341" customFormat="1" ht="15" customHeight="1">
      <c r="A510" s="806" t="s">
        <v>6473</v>
      </c>
      <c r="B510" s="800" t="s">
        <v>13215</v>
      </c>
      <c r="C510" s="800" t="s">
        <v>938</v>
      </c>
      <c r="D510" s="800" t="s">
        <v>13304</v>
      </c>
      <c r="E510" s="801">
        <v>43062</v>
      </c>
      <c r="F510" s="800" t="s">
        <v>6020</v>
      </c>
      <c r="G510" s="800" t="s">
        <v>13305</v>
      </c>
      <c r="H510" s="800" t="s">
        <v>10404</v>
      </c>
      <c r="I510" s="800" t="s">
        <v>10404</v>
      </c>
      <c r="J510" s="800" t="s">
        <v>10447</v>
      </c>
      <c r="K510" s="800">
        <v>1</v>
      </c>
      <c r="L510" s="802" t="s">
        <v>11026</v>
      </c>
      <c r="M510" s="802" t="s">
        <v>13306</v>
      </c>
      <c r="N510" s="802" t="s">
        <v>13307</v>
      </c>
      <c r="O510" s="802" t="s">
        <v>13308</v>
      </c>
      <c r="P510" s="807" t="s">
        <v>13309</v>
      </c>
    </row>
    <row r="511" spans="1:16" s="341" customFormat="1" ht="15" customHeight="1">
      <c r="A511" s="806" t="s">
        <v>6473</v>
      </c>
      <c r="B511" s="800" t="s">
        <v>13215</v>
      </c>
      <c r="C511" s="800" t="s">
        <v>938</v>
      </c>
      <c r="D511" s="800" t="s">
        <v>13310</v>
      </c>
      <c r="E511" s="801">
        <v>43062</v>
      </c>
      <c r="F511" s="800" t="s">
        <v>6020</v>
      </c>
      <c r="G511" s="800" t="s">
        <v>13305</v>
      </c>
      <c r="H511" s="800" t="s">
        <v>10433</v>
      </c>
      <c r="I511" s="800" t="s">
        <v>10433</v>
      </c>
      <c r="J511" s="800" t="s">
        <v>10447</v>
      </c>
      <c r="K511" s="800">
        <v>1</v>
      </c>
      <c r="L511" s="802" t="s">
        <v>11026</v>
      </c>
      <c r="M511" s="802" t="s">
        <v>13311</v>
      </c>
      <c r="N511" s="802" t="s">
        <v>13312</v>
      </c>
      <c r="O511" s="802" t="s">
        <v>13313</v>
      </c>
      <c r="P511" s="807" t="s">
        <v>13314</v>
      </c>
    </row>
    <row r="512" spans="1:16" s="341" customFormat="1" ht="25.5" customHeight="1">
      <c r="A512" s="806" t="s">
        <v>6473</v>
      </c>
      <c r="B512" s="800" t="s">
        <v>13215</v>
      </c>
      <c r="C512" s="800" t="s">
        <v>938</v>
      </c>
      <c r="D512" s="800" t="s">
        <v>13315</v>
      </c>
      <c r="E512" s="801">
        <v>43062</v>
      </c>
      <c r="F512" s="800" t="s">
        <v>6020</v>
      </c>
      <c r="G512" s="800" t="s">
        <v>13305</v>
      </c>
      <c r="H512" s="800" t="s">
        <v>10433</v>
      </c>
      <c r="I512" s="800" t="s">
        <v>10433</v>
      </c>
      <c r="J512" s="800" t="s">
        <v>10447</v>
      </c>
      <c r="K512" s="800">
        <v>1</v>
      </c>
      <c r="L512" s="802" t="s">
        <v>10398</v>
      </c>
      <c r="M512" s="802" t="s">
        <v>13316</v>
      </c>
      <c r="N512" s="802" t="s">
        <v>13317</v>
      </c>
      <c r="O512" s="802" t="s">
        <v>13318</v>
      </c>
      <c r="P512" s="807" t="s">
        <v>13319</v>
      </c>
    </row>
    <row r="513" spans="1:16" s="341" customFormat="1" ht="15" customHeight="1">
      <c r="A513" s="806" t="s">
        <v>6473</v>
      </c>
      <c r="B513" s="800" t="s">
        <v>13215</v>
      </c>
      <c r="C513" s="800" t="s">
        <v>938</v>
      </c>
      <c r="D513" s="800" t="s">
        <v>13320</v>
      </c>
      <c r="E513" s="801">
        <v>43062</v>
      </c>
      <c r="F513" s="800" t="s">
        <v>6020</v>
      </c>
      <c r="G513" s="800" t="s">
        <v>13305</v>
      </c>
      <c r="H513" s="800" t="s">
        <v>10433</v>
      </c>
      <c r="I513" s="800" t="s">
        <v>10433</v>
      </c>
      <c r="J513" s="800" t="s">
        <v>10447</v>
      </c>
      <c r="K513" s="800">
        <v>1</v>
      </c>
      <c r="L513" s="802" t="s">
        <v>10398</v>
      </c>
      <c r="M513" s="802" t="s">
        <v>13321</v>
      </c>
      <c r="N513" s="802" t="s">
        <v>13322</v>
      </c>
      <c r="O513" s="802" t="s">
        <v>13323</v>
      </c>
      <c r="P513" s="807" t="s">
        <v>13324</v>
      </c>
    </row>
    <row r="514" spans="1:16" s="341" customFormat="1" ht="15" customHeight="1">
      <c r="A514" s="806" t="s">
        <v>6473</v>
      </c>
      <c r="B514" s="800" t="s">
        <v>13215</v>
      </c>
      <c r="C514" s="800" t="s">
        <v>938</v>
      </c>
      <c r="D514" s="800" t="s">
        <v>13325</v>
      </c>
      <c r="E514" s="801">
        <v>43067</v>
      </c>
      <c r="F514" s="800" t="s">
        <v>13326</v>
      </c>
      <c r="G514" s="800" t="s">
        <v>13327</v>
      </c>
      <c r="H514" s="800" t="s">
        <v>10433</v>
      </c>
      <c r="I514" s="800" t="s">
        <v>10433</v>
      </c>
      <c r="J514" s="800" t="s">
        <v>10447</v>
      </c>
      <c r="K514" s="800">
        <v>1</v>
      </c>
      <c r="L514" s="802" t="s">
        <v>10398</v>
      </c>
      <c r="M514" s="802" t="s">
        <v>13328</v>
      </c>
      <c r="N514" s="802" t="s">
        <v>13329</v>
      </c>
      <c r="O514" s="802" t="s">
        <v>13330</v>
      </c>
      <c r="P514" s="807" t="s">
        <v>13331</v>
      </c>
    </row>
    <row r="515" spans="1:16" s="341" customFormat="1" ht="15" customHeight="1">
      <c r="A515" s="806" t="s">
        <v>6473</v>
      </c>
      <c r="B515" s="800" t="s">
        <v>13215</v>
      </c>
      <c r="C515" s="800" t="s">
        <v>938</v>
      </c>
      <c r="D515" s="800" t="s">
        <v>13332</v>
      </c>
      <c r="E515" s="801">
        <v>43067</v>
      </c>
      <c r="F515" s="800" t="s">
        <v>13326</v>
      </c>
      <c r="G515" s="800" t="s">
        <v>13333</v>
      </c>
      <c r="H515" s="800" t="s">
        <v>10433</v>
      </c>
      <c r="I515" s="800" t="s">
        <v>10433</v>
      </c>
      <c r="J515" s="800" t="s">
        <v>10447</v>
      </c>
      <c r="K515" s="800">
        <v>1</v>
      </c>
      <c r="L515" s="802" t="s">
        <v>10398</v>
      </c>
      <c r="M515" s="802" t="s">
        <v>13334</v>
      </c>
      <c r="N515" s="802" t="s">
        <v>13335</v>
      </c>
      <c r="O515" s="802" t="s">
        <v>13336</v>
      </c>
      <c r="P515" s="807" t="s">
        <v>13337</v>
      </c>
    </row>
    <row r="516" spans="1:16" s="341" customFormat="1" ht="15" customHeight="1">
      <c r="A516" s="806" t="s">
        <v>107</v>
      </c>
      <c r="B516" s="800" t="s">
        <v>84</v>
      </c>
      <c r="C516" s="800" t="s">
        <v>13338</v>
      </c>
      <c r="D516" s="800" t="s">
        <v>13339</v>
      </c>
      <c r="E516" s="801">
        <v>43013</v>
      </c>
      <c r="F516" s="800" t="s">
        <v>13340</v>
      </c>
      <c r="G516" s="800" t="s">
        <v>13341</v>
      </c>
      <c r="H516" s="800" t="s">
        <v>10396</v>
      </c>
      <c r="I516" s="800" t="s">
        <v>10396</v>
      </c>
      <c r="J516" s="800" t="s">
        <v>10426</v>
      </c>
      <c r="K516" s="800">
        <v>1</v>
      </c>
      <c r="L516" s="802" t="s">
        <v>10605</v>
      </c>
      <c r="M516" s="802" t="s">
        <v>32</v>
      </c>
      <c r="N516" s="802" t="s">
        <v>10514</v>
      </c>
      <c r="O516" s="802" t="s">
        <v>13342</v>
      </c>
      <c r="P516" s="807" t="s">
        <v>32</v>
      </c>
    </row>
    <row r="517" spans="1:16" s="341" customFormat="1" ht="15" customHeight="1">
      <c r="A517" s="806" t="s">
        <v>107</v>
      </c>
      <c r="B517" s="800" t="s">
        <v>84</v>
      </c>
      <c r="C517" s="800" t="s">
        <v>13338</v>
      </c>
      <c r="D517" s="800" t="s">
        <v>13343</v>
      </c>
      <c r="E517" s="801">
        <v>43013</v>
      </c>
      <c r="F517" s="800" t="s">
        <v>9231</v>
      </c>
      <c r="G517" s="800" t="s">
        <v>13344</v>
      </c>
      <c r="H517" s="800" t="s">
        <v>10396</v>
      </c>
      <c r="I517" s="800" t="s">
        <v>10396</v>
      </c>
      <c r="J517" s="800" t="s">
        <v>10426</v>
      </c>
      <c r="K517" s="800">
        <v>1</v>
      </c>
      <c r="L517" s="802" t="s">
        <v>10398</v>
      </c>
      <c r="M517" s="802" t="s">
        <v>13345</v>
      </c>
      <c r="N517" s="802" t="s">
        <v>13346</v>
      </c>
      <c r="O517" s="802" t="s">
        <v>13347</v>
      </c>
      <c r="P517" s="807" t="s">
        <v>32</v>
      </c>
    </row>
    <row r="518" spans="1:16" s="341" customFormat="1" ht="15" customHeight="1">
      <c r="A518" s="806" t="s">
        <v>107</v>
      </c>
      <c r="B518" s="800" t="s">
        <v>84</v>
      </c>
      <c r="C518" s="800" t="s">
        <v>13338</v>
      </c>
      <c r="D518" s="800" t="s">
        <v>13348</v>
      </c>
      <c r="E518" s="801">
        <v>43013</v>
      </c>
      <c r="F518" s="800" t="s">
        <v>9231</v>
      </c>
      <c r="G518" s="800" t="s">
        <v>13349</v>
      </c>
      <c r="H518" s="800" t="s">
        <v>10396</v>
      </c>
      <c r="I518" s="800" t="s">
        <v>10396</v>
      </c>
      <c r="J518" s="800" t="s">
        <v>10426</v>
      </c>
      <c r="K518" s="800">
        <v>1</v>
      </c>
      <c r="L518" s="802" t="s">
        <v>10398</v>
      </c>
      <c r="M518" s="802" t="s">
        <v>13350</v>
      </c>
      <c r="N518" s="802" t="s">
        <v>13351</v>
      </c>
      <c r="O518" s="802" t="s">
        <v>13352</v>
      </c>
      <c r="P518" s="807" t="s">
        <v>32</v>
      </c>
    </row>
    <row r="519" spans="1:16" s="341" customFormat="1" ht="15" customHeight="1">
      <c r="A519" s="806" t="s">
        <v>107</v>
      </c>
      <c r="B519" s="800" t="s">
        <v>84</v>
      </c>
      <c r="C519" s="800" t="s">
        <v>13338</v>
      </c>
      <c r="D519" s="800" t="s">
        <v>13353</v>
      </c>
      <c r="E519" s="801">
        <v>43013</v>
      </c>
      <c r="F519" s="800" t="s">
        <v>13340</v>
      </c>
      <c r="G519" s="800" t="s">
        <v>13341</v>
      </c>
      <c r="H519" s="800" t="s">
        <v>10396</v>
      </c>
      <c r="I519" s="800" t="s">
        <v>10396</v>
      </c>
      <c r="J519" s="800" t="s">
        <v>10426</v>
      </c>
      <c r="K519" s="800">
        <v>1</v>
      </c>
      <c r="L519" s="802" t="s">
        <v>10605</v>
      </c>
      <c r="M519" s="802" t="s">
        <v>32</v>
      </c>
      <c r="N519" s="802" t="s">
        <v>13354</v>
      </c>
      <c r="O519" s="802" t="s">
        <v>13355</v>
      </c>
      <c r="P519" s="807" t="s">
        <v>32</v>
      </c>
    </row>
    <row r="520" spans="1:16" s="341" customFormat="1" ht="15" customHeight="1">
      <c r="A520" s="806" t="s">
        <v>107</v>
      </c>
      <c r="B520" s="800" t="s">
        <v>84</v>
      </c>
      <c r="C520" s="800" t="s">
        <v>13338</v>
      </c>
      <c r="D520" s="800" t="s">
        <v>13356</v>
      </c>
      <c r="E520" s="801">
        <v>43013</v>
      </c>
      <c r="F520" s="800" t="s">
        <v>13340</v>
      </c>
      <c r="G520" s="800" t="s">
        <v>13357</v>
      </c>
      <c r="H520" s="800" t="s">
        <v>10396</v>
      </c>
      <c r="I520" s="800" t="s">
        <v>10396</v>
      </c>
      <c r="J520" s="800" t="s">
        <v>10426</v>
      </c>
      <c r="K520" s="800">
        <v>1</v>
      </c>
      <c r="L520" s="802" t="s">
        <v>10398</v>
      </c>
      <c r="M520" s="802" t="s">
        <v>13358</v>
      </c>
      <c r="N520" s="802" t="s">
        <v>13359</v>
      </c>
      <c r="O520" s="802" t="s">
        <v>13360</v>
      </c>
      <c r="P520" s="807" t="s">
        <v>13361</v>
      </c>
    </row>
    <row r="521" spans="1:16" s="341" customFormat="1" ht="25.5" customHeight="1">
      <c r="A521" s="806" t="s">
        <v>107</v>
      </c>
      <c r="B521" s="800" t="s">
        <v>84</v>
      </c>
      <c r="C521" s="800" t="s">
        <v>13338</v>
      </c>
      <c r="D521" s="800" t="s">
        <v>13362</v>
      </c>
      <c r="E521" s="801">
        <v>43013</v>
      </c>
      <c r="F521" s="800" t="s">
        <v>13340</v>
      </c>
      <c r="G521" s="800" t="s">
        <v>13341</v>
      </c>
      <c r="H521" s="800" t="s">
        <v>10396</v>
      </c>
      <c r="I521" s="800" t="s">
        <v>10396</v>
      </c>
      <c r="J521" s="800" t="s">
        <v>10426</v>
      </c>
      <c r="K521" s="800">
        <v>1</v>
      </c>
      <c r="L521" s="802" t="s">
        <v>10605</v>
      </c>
      <c r="M521" s="802" t="s">
        <v>32</v>
      </c>
      <c r="N521" s="802" t="s">
        <v>13363</v>
      </c>
      <c r="O521" s="802" t="s">
        <v>13364</v>
      </c>
      <c r="P521" s="807" t="s">
        <v>32</v>
      </c>
    </row>
    <row r="522" spans="1:16" s="341" customFormat="1" ht="15" customHeight="1">
      <c r="A522" s="806" t="s">
        <v>107</v>
      </c>
      <c r="B522" s="800" t="s">
        <v>84</v>
      </c>
      <c r="C522" s="800" t="s">
        <v>13338</v>
      </c>
      <c r="D522" s="800" t="s">
        <v>13365</v>
      </c>
      <c r="E522" s="801">
        <v>43013</v>
      </c>
      <c r="F522" s="800" t="s">
        <v>13366</v>
      </c>
      <c r="G522" s="800" t="s">
        <v>13367</v>
      </c>
      <c r="H522" s="800" t="s">
        <v>10433</v>
      </c>
      <c r="I522" s="800" t="s">
        <v>10433</v>
      </c>
      <c r="J522" s="800" t="s">
        <v>10664</v>
      </c>
      <c r="K522" s="800">
        <v>1</v>
      </c>
      <c r="L522" s="802" t="s">
        <v>10398</v>
      </c>
      <c r="M522" s="802" t="s">
        <v>13368</v>
      </c>
      <c r="N522" s="802" t="s">
        <v>13369</v>
      </c>
      <c r="O522" s="802" t="s">
        <v>13370</v>
      </c>
      <c r="P522" s="807" t="s">
        <v>13371</v>
      </c>
    </row>
    <row r="523" spans="1:16" s="341" customFormat="1" ht="15" customHeight="1">
      <c r="A523" s="806" t="s">
        <v>107</v>
      </c>
      <c r="B523" s="800" t="s">
        <v>84</v>
      </c>
      <c r="C523" s="800" t="s">
        <v>13338</v>
      </c>
      <c r="D523" s="800" t="s">
        <v>13372</v>
      </c>
      <c r="E523" s="801">
        <v>43013</v>
      </c>
      <c r="F523" s="800" t="s">
        <v>13340</v>
      </c>
      <c r="G523" s="800" t="s">
        <v>13373</v>
      </c>
      <c r="H523" s="800" t="s">
        <v>10396</v>
      </c>
      <c r="I523" s="800" t="s">
        <v>10396</v>
      </c>
      <c r="J523" s="800" t="s">
        <v>10426</v>
      </c>
      <c r="K523" s="800">
        <v>1</v>
      </c>
      <c r="L523" s="802" t="s">
        <v>10605</v>
      </c>
      <c r="M523" s="802" t="s">
        <v>32</v>
      </c>
      <c r="N523" s="802" t="s">
        <v>13374</v>
      </c>
      <c r="O523" s="802" t="s">
        <v>13375</v>
      </c>
      <c r="P523" s="807" t="s">
        <v>32</v>
      </c>
    </row>
    <row r="524" spans="1:16" s="341" customFormat="1" ht="25.5" customHeight="1">
      <c r="A524" s="806" t="s">
        <v>107</v>
      </c>
      <c r="B524" s="800" t="s">
        <v>84</v>
      </c>
      <c r="C524" s="800" t="s">
        <v>13338</v>
      </c>
      <c r="D524" s="800" t="s">
        <v>13376</v>
      </c>
      <c r="E524" s="801">
        <v>43028</v>
      </c>
      <c r="F524" s="800" t="s">
        <v>13377</v>
      </c>
      <c r="G524" s="800" t="s">
        <v>13378</v>
      </c>
      <c r="H524" s="800" t="s">
        <v>10531</v>
      </c>
      <c r="I524" s="800" t="s">
        <v>10531</v>
      </c>
      <c r="J524" s="800" t="s">
        <v>10426</v>
      </c>
      <c r="K524" s="800">
        <v>1</v>
      </c>
      <c r="L524" s="802" t="s">
        <v>10398</v>
      </c>
      <c r="M524" s="802" t="s">
        <v>13379</v>
      </c>
      <c r="N524" s="802" t="s">
        <v>13380</v>
      </c>
      <c r="O524" s="802" t="s">
        <v>13381</v>
      </c>
      <c r="P524" s="807" t="s">
        <v>32</v>
      </c>
    </row>
    <row r="525" spans="1:16" s="341" customFormat="1" ht="25.5" customHeight="1">
      <c r="A525" s="806" t="s">
        <v>107</v>
      </c>
      <c r="B525" s="800" t="s">
        <v>84</v>
      </c>
      <c r="C525" s="800" t="s">
        <v>13338</v>
      </c>
      <c r="D525" s="800" t="s">
        <v>13382</v>
      </c>
      <c r="E525" s="801">
        <v>43013</v>
      </c>
      <c r="F525" s="800" t="s">
        <v>12029</v>
      </c>
      <c r="G525" s="800" t="s">
        <v>13383</v>
      </c>
      <c r="H525" s="800" t="s">
        <v>10433</v>
      </c>
      <c r="I525" s="800" t="s">
        <v>10433</v>
      </c>
      <c r="J525" s="800" t="s">
        <v>10426</v>
      </c>
      <c r="K525" s="800">
        <v>1</v>
      </c>
      <c r="L525" s="802" t="s">
        <v>10398</v>
      </c>
      <c r="M525" s="802" t="s">
        <v>13384</v>
      </c>
      <c r="N525" s="802" t="s">
        <v>13385</v>
      </c>
      <c r="O525" s="802" t="s">
        <v>13386</v>
      </c>
      <c r="P525" s="807" t="s">
        <v>13387</v>
      </c>
    </row>
    <row r="526" spans="1:16" s="341" customFormat="1" ht="15" customHeight="1">
      <c r="A526" s="806" t="s">
        <v>107</v>
      </c>
      <c r="B526" s="800" t="s">
        <v>84</v>
      </c>
      <c r="C526" s="800" t="s">
        <v>13338</v>
      </c>
      <c r="D526" s="800" t="s">
        <v>13388</v>
      </c>
      <c r="E526" s="801">
        <v>43013</v>
      </c>
      <c r="F526" s="800" t="s">
        <v>6326</v>
      </c>
      <c r="G526" s="800" t="s">
        <v>13389</v>
      </c>
      <c r="H526" s="800" t="s">
        <v>10396</v>
      </c>
      <c r="I526" s="800" t="s">
        <v>10396</v>
      </c>
      <c r="J526" s="800" t="s">
        <v>10426</v>
      </c>
      <c r="K526" s="800">
        <v>1</v>
      </c>
      <c r="L526" s="802" t="s">
        <v>10398</v>
      </c>
      <c r="M526" s="802" t="s">
        <v>13390</v>
      </c>
      <c r="N526" s="802" t="s">
        <v>13391</v>
      </c>
      <c r="O526" s="802" t="s">
        <v>13392</v>
      </c>
      <c r="P526" s="807" t="s">
        <v>13393</v>
      </c>
    </row>
    <row r="527" spans="1:16" s="341" customFormat="1" ht="25.5" customHeight="1">
      <c r="A527" s="806" t="s">
        <v>107</v>
      </c>
      <c r="B527" s="800" t="s">
        <v>84</v>
      </c>
      <c r="C527" s="800" t="s">
        <v>13338</v>
      </c>
      <c r="D527" s="800" t="s">
        <v>13394</v>
      </c>
      <c r="E527" s="801">
        <v>43013</v>
      </c>
      <c r="F527" s="800" t="s">
        <v>13366</v>
      </c>
      <c r="G527" s="800" t="s">
        <v>13395</v>
      </c>
      <c r="H527" s="800" t="s">
        <v>10433</v>
      </c>
      <c r="I527" s="800" t="s">
        <v>10433</v>
      </c>
      <c r="J527" s="800" t="s">
        <v>10664</v>
      </c>
      <c r="K527" s="800">
        <v>1</v>
      </c>
      <c r="L527" s="802" t="s">
        <v>10398</v>
      </c>
      <c r="M527" s="802" t="s">
        <v>13396</v>
      </c>
      <c r="N527" s="802" t="s">
        <v>13397</v>
      </c>
      <c r="O527" s="802" t="s">
        <v>13398</v>
      </c>
      <c r="P527" s="807" t="s">
        <v>13399</v>
      </c>
    </row>
    <row r="528" spans="1:16" s="341" customFormat="1" ht="25.5" customHeight="1">
      <c r="A528" s="806" t="s">
        <v>107</v>
      </c>
      <c r="B528" s="800" t="s">
        <v>84</v>
      </c>
      <c r="C528" s="800" t="s">
        <v>13338</v>
      </c>
      <c r="D528" s="800" t="s">
        <v>13400</v>
      </c>
      <c r="E528" s="801">
        <v>43013</v>
      </c>
      <c r="F528" s="800" t="s">
        <v>13366</v>
      </c>
      <c r="G528" s="800" t="s">
        <v>13401</v>
      </c>
      <c r="H528" s="800" t="s">
        <v>10404</v>
      </c>
      <c r="I528" s="800" t="s">
        <v>10404</v>
      </c>
      <c r="J528" s="800" t="s">
        <v>10426</v>
      </c>
      <c r="K528" s="800">
        <v>1</v>
      </c>
      <c r="L528" s="802" t="s">
        <v>10398</v>
      </c>
      <c r="M528" s="802" t="s">
        <v>13402</v>
      </c>
      <c r="N528" s="802" t="s">
        <v>13403</v>
      </c>
      <c r="O528" s="802" t="s">
        <v>13404</v>
      </c>
      <c r="P528" s="807" t="s">
        <v>13405</v>
      </c>
    </row>
    <row r="529" spans="1:16" s="341" customFormat="1" ht="15" customHeight="1">
      <c r="A529" s="806" t="s">
        <v>107</v>
      </c>
      <c r="B529" s="800" t="s">
        <v>84</v>
      </c>
      <c r="C529" s="800" t="s">
        <v>13338</v>
      </c>
      <c r="D529" s="800" t="s">
        <v>13406</v>
      </c>
      <c r="E529" s="801">
        <v>43025</v>
      </c>
      <c r="F529" s="800" t="s">
        <v>6326</v>
      </c>
      <c r="G529" s="800" t="s">
        <v>13407</v>
      </c>
      <c r="H529" s="800" t="s">
        <v>10404</v>
      </c>
      <c r="I529" s="800" t="s">
        <v>10404</v>
      </c>
      <c r="J529" s="800" t="s">
        <v>10426</v>
      </c>
      <c r="K529" s="800">
        <v>1</v>
      </c>
      <c r="L529" s="802" t="s">
        <v>10398</v>
      </c>
      <c r="M529" s="802" t="s">
        <v>13408</v>
      </c>
      <c r="N529" s="802" t="s">
        <v>13409</v>
      </c>
      <c r="O529" s="802" t="s">
        <v>13410</v>
      </c>
      <c r="P529" s="807" t="s">
        <v>13411</v>
      </c>
    </row>
    <row r="530" spans="1:16" s="341" customFormat="1" ht="25.5" customHeight="1">
      <c r="A530" s="806" t="s">
        <v>107</v>
      </c>
      <c r="B530" s="800" t="s">
        <v>84</v>
      </c>
      <c r="C530" s="800" t="s">
        <v>13338</v>
      </c>
      <c r="D530" s="800" t="s">
        <v>13412</v>
      </c>
      <c r="E530" s="801">
        <v>43035</v>
      </c>
      <c r="F530" s="800" t="s">
        <v>13377</v>
      </c>
      <c r="G530" s="800" t="s">
        <v>13413</v>
      </c>
      <c r="H530" s="800" t="s">
        <v>10396</v>
      </c>
      <c r="I530" s="800" t="s">
        <v>10396</v>
      </c>
      <c r="J530" s="800" t="s">
        <v>10426</v>
      </c>
      <c r="K530" s="800">
        <v>1</v>
      </c>
      <c r="L530" s="802" t="s">
        <v>10398</v>
      </c>
      <c r="M530" s="802" t="s">
        <v>13414</v>
      </c>
      <c r="N530" s="802" t="s">
        <v>13415</v>
      </c>
      <c r="O530" s="802" t="s">
        <v>13416</v>
      </c>
      <c r="P530" s="807" t="s">
        <v>13417</v>
      </c>
    </row>
    <row r="531" spans="1:16" s="341" customFormat="1" ht="15" customHeight="1">
      <c r="A531" s="806" t="s">
        <v>107</v>
      </c>
      <c r="B531" s="800" t="s">
        <v>84</v>
      </c>
      <c r="C531" s="800" t="s">
        <v>13338</v>
      </c>
      <c r="D531" s="800" t="s">
        <v>13418</v>
      </c>
      <c r="E531" s="801">
        <v>43013</v>
      </c>
      <c r="F531" s="800" t="s">
        <v>13366</v>
      </c>
      <c r="G531" s="800" t="s">
        <v>13419</v>
      </c>
      <c r="H531" s="800" t="s">
        <v>10433</v>
      </c>
      <c r="I531" s="800" t="s">
        <v>10433</v>
      </c>
      <c r="J531" s="800" t="s">
        <v>4342</v>
      </c>
      <c r="K531" s="800">
        <v>1</v>
      </c>
      <c r="L531" s="802" t="s">
        <v>10398</v>
      </c>
      <c r="M531" s="802" t="s">
        <v>32</v>
      </c>
      <c r="N531" s="802" t="s">
        <v>13420</v>
      </c>
      <c r="O531" s="802" t="s">
        <v>13421</v>
      </c>
      <c r="P531" s="807" t="s">
        <v>32</v>
      </c>
    </row>
    <row r="532" spans="1:16" s="341" customFormat="1" ht="15" customHeight="1">
      <c r="A532" s="806" t="s">
        <v>107</v>
      </c>
      <c r="B532" s="800" t="s">
        <v>84</v>
      </c>
      <c r="C532" s="800" t="s">
        <v>84</v>
      </c>
      <c r="D532" s="800" t="s">
        <v>13422</v>
      </c>
      <c r="E532" s="801">
        <v>43012</v>
      </c>
      <c r="F532" s="800" t="s">
        <v>13423</v>
      </c>
      <c r="G532" s="800" t="s">
        <v>13424</v>
      </c>
      <c r="H532" s="800" t="s">
        <v>10396</v>
      </c>
      <c r="I532" s="800" t="s">
        <v>10396</v>
      </c>
      <c r="J532" s="800" t="s">
        <v>10426</v>
      </c>
      <c r="K532" s="800">
        <v>1</v>
      </c>
      <c r="L532" s="802" t="s">
        <v>10398</v>
      </c>
      <c r="M532" s="802" t="s">
        <v>13425</v>
      </c>
      <c r="N532" s="802" t="s">
        <v>13426</v>
      </c>
      <c r="O532" s="802" t="s">
        <v>13427</v>
      </c>
      <c r="P532" s="807" t="s">
        <v>32</v>
      </c>
    </row>
    <row r="533" spans="1:16" s="341" customFormat="1" ht="15" customHeight="1">
      <c r="A533" s="806" t="s">
        <v>107</v>
      </c>
      <c r="B533" s="800" t="s">
        <v>84</v>
      </c>
      <c r="C533" s="800" t="s">
        <v>84</v>
      </c>
      <c r="D533" s="800" t="s">
        <v>13428</v>
      </c>
      <c r="E533" s="801">
        <v>43013</v>
      </c>
      <c r="F533" s="800" t="s">
        <v>13429</v>
      </c>
      <c r="G533" s="800" t="s">
        <v>13430</v>
      </c>
      <c r="H533" s="800" t="s">
        <v>10396</v>
      </c>
      <c r="I533" s="800" t="s">
        <v>10396</v>
      </c>
      <c r="J533" s="800" t="s">
        <v>10664</v>
      </c>
      <c r="K533" s="800">
        <v>1</v>
      </c>
      <c r="L533" s="802" t="s">
        <v>10605</v>
      </c>
      <c r="M533" s="802" t="s">
        <v>32</v>
      </c>
      <c r="N533" s="802" t="s">
        <v>13431</v>
      </c>
      <c r="O533" s="802" t="s">
        <v>13432</v>
      </c>
      <c r="P533" s="807" t="s">
        <v>32</v>
      </c>
    </row>
    <row r="534" spans="1:16" s="341" customFormat="1" ht="15" customHeight="1">
      <c r="A534" s="806" t="s">
        <v>107</v>
      </c>
      <c r="B534" s="800" t="s">
        <v>84</v>
      </c>
      <c r="C534" s="800" t="s">
        <v>84</v>
      </c>
      <c r="D534" s="800" t="s">
        <v>13433</v>
      </c>
      <c r="E534" s="801">
        <v>43013</v>
      </c>
      <c r="F534" s="800" t="s">
        <v>13434</v>
      </c>
      <c r="G534" s="800" t="s">
        <v>13435</v>
      </c>
      <c r="H534" s="800" t="s">
        <v>10404</v>
      </c>
      <c r="I534" s="800" t="s">
        <v>10404</v>
      </c>
      <c r="J534" s="800" t="s">
        <v>10426</v>
      </c>
      <c r="K534" s="800">
        <v>1</v>
      </c>
      <c r="L534" s="802" t="s">
        <v>10398</v>
      </c>
      <c r="M534" s="802" t="s">
        <v>32</v>
      </c>
      <c r="N534" s="802" t="s">
        <v>13436</v>
      </c>
      <c r="O534" s="802" t="s">
        <v>13437</v>
      </c>
      <c r="P534" s="807" t="s">
        <v>13438</v>
      </c>
    </row>
    <row r="535" spans="1:16" s="341" customFormat="1" ht="15" customHeight="1">
      <c r="A535" s="806" t="s">
        <v>107</v>
      </c>
      <c r="B535" s="800" t="s">
        <v>84</v>
      </c>
      <c r="C535" s="800" t="s">
        <v>84</v>
      </c>
      <c r="D535" s="800" t="s">
        <v>13439</v>
      </c>
      <c r="E535" s="801">
        <v>43013</v>
      </c>
      <c r="F535" s="800" t="s">
        <v>13440</v>
      </c>
      <c r="G535" s="800" t="s">
        <v>13441</v>
      </c>
      <c r="H535" s="800" t="s">
        <v>10433</v>
      </c>
      <c r="I535" s="800" t="s">
        <v>10433</v>
      </c>
      <c r="J535" s="800" t="s">
        <v>10664</v>
      </c>
      <c r="K535" s="800">
        <v>1</v>
      </c>
      <c r="L535" s="802" t="s">
        <v>11045</v>
      </c>
      <c r="M535" s="802" t="s">
        <v>13442</v>
      </c>
      <c r="N535" s="802" t="s">
        <v>13443</v>
      </c>
      <c r="O535" s="802" t="s">
        <v>13444</v>
      </c>
      <c r="P535" s="807" t="s">
        <v>32</v>
      </c>
    </row>
    <row r="536" spans="1:16" s="341" customFormat="1" ht="25.5" customHeight="1">
      <c r="A536" s="806" t="s">
        <v>107</v>
      </c>
      <c r="B536" s="800" t="s">
        <v>84</v>
      </c>
      <c r="C536" s="800" t="s">
        <v>84</v>
      </c>
      <c r="D536" s="800" t="s">
        <v>13445</v>
      </c>
      <c r="E536" s="801">
        <v>43013</v>
      </c>
      <c r="F536" s="800" t="s">
        <v>13440</v>
      </c>
      <c r="G536" s="800" t="s">
        <v>13446</v>
      </c>
      <c r="H536" s="800" t="s">
        <v>10433</v>
      </c>
      <c r="I536" s="800" t="s">
        <v>10433</v>
      </c>
      <c r="J536" s="800" t="s">
        <v>10664</v>
      </c>
      <c r="K536" s="800">
        <v>1</v>
      </c>
      <c r="L536" s="802" t="s">
        <v>10605</v>
      </c>
      <c r="M536" s="802" t="s">
        <v>32</v>
      </c>
      <c r="N536" s="802" t="s">
        <v>13447</v>
      </c>
      <c r="O536" s="802" t="s">
        <v>13448</v>
      </c>
      <c r="P536" s="807" t="s">
        <v>32</v>
      </c>
    </row>
    <row r="537" spans="1:16" s="341" customFormat="1" ht="25.5" customHeight="1">
      <c r="A537" s="806" t="s">
        <v>107</v>
      </c>
      <c r="B537" s="800" t="s">
        <v>84</v>
      </c>
      <c r="C537" s="800" t="s">
        <v>84</v>
      </c>
      <c r="D537" s="800" t="s">
        <v>13449</v>
      </c>
      <c r="E537" s="801">
        <v>43013</v>
      </c>
      <c r="F537" s="800" t="s">
        <v>13440</v>
      </c>
      <c r="G537" s="800" t="s">
        <v>13446</v>
      </c>
      <c r="H537" s="800" t="s">
        <v>10433</v>
      </c>
      <c r="I537" s="800" t="s">
        <v>10433</v>
      </c>
      <c r="J537" s="800" t="s">
        <v>10664</v>
      </c>
      <c r="K537" s="800">
        <v>1</v>
      </c>
      <c r="L537" s="802" t="s">
        <v>10398</v>
      </c>
      <c r="M537" s="802" t="s">
        <v>13450</v>
      </c>
      <c r="N537" s="802" t="s">
        <v>13451</v>
      </c>
      <c r="O537" s="802" t="s">
        <v>13452</v>
      </c>
      <c r="P537" s="807" t="s">
        <v>32</v>
      </c>
    </row>
    <row r="538" spans="1:16" s="341" customFormat="1" ht="25.5" customHeight="1">
      <c r="A538" s="806" t="s">
        <v>107</v>
      </c>
      <c r="B538" s="800" t="s">
        <v>84</v>
      </c>
      <c r="C538" s="800" t="s">
        <v>84</v>
      </c>
      <c r="D538" s="800" t="s">
        <v>13453</v>
      </c>
      <c r="E538" s="801">
        <v>43013</v>
      </c>
      <c r="F538" s="800" t="s">
        <v>13440</v>
      </c>
      <c r="G538" s="800" t="s">
        <v>13446</v>
      </c>
      <c r="H538" s="800" t="s">
        <v>10433</v>
      </c>
      <c r="I538" s="800" t="s">
        <v>10433</v>
      </c>
      <c r="J538" s="800" t="s">
        <v>10664</v>
      </c>
      <c r="K538" s="800">
        <v>1</v>
      </c>
      <c r="L538" s="802" t="s">
        <v>10398</v>
      </c>
      <c r="M538" s="802" t="s">
        <v>13454</v>
      </c>
      <c r="N538" s="802" t="s">
        <v>13455</v>
      </c>
      <c r="O538" s="802" t="s">
        <v>13456</v>
      </c>
      <c r="P538" s="807" t="s">
        <v>13457</v>
      </c>
    </row>
    <row r="539" spans="1:16" s="341" customFormat="1" ht="25.5">
      <c r="A539" s="806" t="s">
        <v>107</v>
      </c>
      <c r="B539" s="800" t="s">
        <v>84</v>
      </c>
      <c r="C539" s="800" t="s">
        <v>84</v>
      </c>
      <c r="D539" s="800" t="s">
        <v>13458</v>
      </c>
      <c r="E539" s="801">
        <v>43013</v>
      </c>
      <c r="F539" s="800" t="s">
        <v>13440</v>
      </c>
      <c r="G539" s="800" t="s">
        <v>13459</v>
      </c>
      <c r="H539" s="800" t="s">
        <v>10433</v>
      </c>
      <c r="I539" s="800" t="s">
        <v>10433</v>
      </c>
      <c r="J539" s="800" t="s">
        <v>10664</v>
      </c>
      <c r="K539" s="800">
        <v>1</v>
      </c>
      <c r="L539" s="802" t="s">
        <v>10398</v>
      </c>
      <c r="M539" s="802" t="s">
        <v>13460</v>
      </c>
      <c r="N539" s="802" t="s">
        <v>13461</v>
      </c>
      <c r="O539" s="802" t="s">
        <v>13462</v>
      </c>
      <c r="P539" s="807" t="s">
        <v>13463</v>
      </c>
    </row>
    <row r="540" spans="1:16" s="341" customFormat="1" ht="38.25" customHeight="1">
      <c r="A540" s="806" t="s">
        <v>107</v>
      </c>
      <c r="B540" s="800" t="s">
        <v>84</v>
      </c>
      <c r="C540" s="800" t="s">
        <v>84</v>
      </c>
      <c r="D540" s="800" t="s">
        <v>13464</v>
      </c>
      <c r="E540" s="801">
        <v>43013</v>
      </c>
      <c r="F540" s="800" t="s">
        <v>13440</v>
      </c>
      <c r="G540" s="800" t="s">
        <v>13465</v>
      </c>
      <c r="H540" s="800" t="s">
        <v>10433</v>
      </c>
      <c r="I540" s="800" t="s">
        <v>10433</v>
      </c>
      <c r="J540" s="800" t="s">
        <v>10664</v>
      </c>
      <c r="K540" s="800">
        <v>1</v>
      </c>
      <c r="L540" s="802" t="s">
        <v>10398</v>
      </c>
      <c r="M540" s="802" t="s">
        <v>13466</v>
      </c>
      <c r="N540" s="802" t="s">
        <v>13467</v>
      </c>
      <c r="O540" s="802" t="s">
        <v>13468</v>
      </c>
      <c r="P540" s="807" t="s">
        <v>32</v>
      </c>
    </row>
    <row r="541" spans="1:16" s="341" customFormat="1" ht="25.5" customHeight="1">
      <c r="A541" s="806" t="s">
        <v>107</v>
      </c>
      <c r="B541" s="800" t="s">
        <v>84</v>
      </c>
      <c r="C541" s="800" t="s">
        <v>84</v>
      </c>
      <c r="D541" s="800" t="s">
        <v>13469</v>
      </c>
      <c r="E541" s="801">
        <v>43013</v>
      </c>
      <c r="F541" s="800" t="s">
        <v>13440</v>
      </c>
      <c r="G541" s="800" t="s">
        <v>13446</v>
      </c>
      <c r="H541" s="800" t="s">
        <v>10433</v>
      </c>
      <c r="I541" s="800" t="s">
        <v>10433</v>
      </c>
      <c r="J541" s="800" t="s">
        <v>10664</v>
      </c>
      <c r="K541" s="800">
        <v>1</v>
      </c>
      <c r="L541" s="802" t="s">
        <v>10398</v>
      </c>
      <c r="M541" s="802" t="s">
        <v>13470</v>
      </c>
      <c r="N541" s="802" t="s">
        <v>13471</v>
      </c>
      <c r="O541" s="802" t="s">
        <v>13472</v>
      </c>
      <c r="P541" s="807" t="s">
        <v>32</v>
      </c>
    </row>
    <row r="542" spans="1:16" s="341" customFormat="1" ht="25.5" customHeight="1">
      <c r="A542" s="806" t="s">
        <v>107</v>
      </c>
      <c r="B542" s="800" t="s">
        <v>84</v>
      </c>
      <c r="C542" s="800" t="s">
        <v>84</v>
      </c>
      <c r="D542" s="800" t="s">
        <v>13473</v>
      </c>
      <c r="E542" s="801">
        <v>43013</v>
      </c>
      <c r="F542" s="800" t="s">
        <v>13440</v>
      </c>
      <c r="G542" s="800" t="s">
        <v>13474</v>
      </c>
      <c r="H542" s="800" t="s">
        <v>10433</v>
      </c>
      <c r="I542" s="800" t="s">
        <v>10433</v>
      </c>
      <c r="J542" s="800" t="s">
        <v>10664</v>
      </c>
      <c r="K542" s="800">
        <v>1</v>
      </c>
      <c r="L542" s="802" t="s">
        <v>10398</v>
      </c>
      <c r="M542" s="802" t="s">
        <v>13475</v>
      </c>
      <c r="N542" s="802" t="s">
        <v>13476</v>
      </c>
      <c r="O542" s="802" t="s">
        <v>13477</v>
      </c>
      <c r="P542" s="807" t="s">
        <v>32</v>
      </c>
    </row>
    <row r="543" spans="1:16" s="341" customFormat="1" ht="25.5" customHeight="1">
      <c r="A543" s="806" t="s">
        <v>107</v>
      </c>
      <c r="B543" s="800" t="s">
        <v>84</v>
      </c>
      <c r="C543" s="800" t="s">
        <v>84</v>
      </c>
      <c r="D543" s="800" t="s">
        <v>13478</v>
      </c>
      <c r="E543" s="801">
        <v>43013</v>
      </c>
      <c r="F543" s="800" t="s">
        <v>13440</v>
      </c>
      <c r="G543" s="800" t="s">
        <v>13446</v>
      </c>
      <c r="H543" s="800" t="s">
        <v>10433</v>
      </c>
      <c r="I543" s="800" t="s">
        <v>10433</v>
      </c>
      <c r="J543" s="800" t="s">
        <v>10664</v>
      </c>
      <c r="K543" s="800">
        <v>1</v>
      </c>
      <c r="L543" s="802" t="s">
        <v>10398</v>
      </c>
      <c r="M543" s="802" t="s">
        <v>13479</v>
      </c>
      <c r="N543" s="802" t="s">
        <v>13480</v>
      </c>
      <c r="O543" s="802" t="s">
        <v>13481</v>
      </c>
      <c r="P543" s="807" t="s">
        <v>32</v>
      </c>
    </row>
    <row r="544" spans="1:16" s="341" customFormat="1" ht="38.25" customHeight="1">
      <c r="A544" s="806" t="s">
        <v>107</v>
      </c>
      <c r="B544" s="800" t="s">
        <v>84</v>
      </c>
      <c r="C544" s="800" t="s">
        <v>84</v>
      </c>
      <c r="D544" s="800" t="s">
        <v>13482</v>
      </c>
      <c r="E544" s="801">
        <v>43013</v>
      </c>
      <c r="F544" s="800" t="s">
        <v>13440</v>
      </c>
      <c r="G544" s="800" t="s">
        <v>13474</v>
      </c>
      <c r="H544" s="800" t="s">
        <v>10433</v>
      </c>
      <c r="I544" s="800" t="s">
        <v>10433</v>
      </c>
      <c r="J544" s="800" t="s">
        <v>10664</v>
      </c>
      <c r="K544" s="800">
        <v>1</v>
      </c>
      <c r="L544" s="802" t="s">
        <v>10398</v>
      </c>
      <c r="M544" s="802" t="s">
        <v>13483</v>
      </c>
      <c r="N544" s="802" t="s">
        <v>13484</v>
      </c>
      <c r="O544" s="802" t="s">
        <v>13485</v>
      </c>
      <c r="P544" s="807" t="s">
        <v>13486</v>
      </c>
    </row>
    <row r="545" spans="1:16" s="341" customFormat="1" ht="25.5" customHeight="1">
      <c r="A545" s="806" t="s">
        <v>107</v>
      </c>
      <c r="B545" s="800" t="s">
        <v>84</v>
      </c>
      <c r="C545" s="800" t="s">
        <v>84</v>
      </c>
      <c r="D545" s="800" t="s">
        <v>13487</v>
      </c>
      <c r="E545" s="801">
        <v>43013</v>
      </c>
      <c r="F545" s="800" t="s">
        <v>13440</v>
      </c>
      <c r="G545" s="800" t="s">
        <v>13446</v>
      </c>
      <c r="H545" s="800" t="s">
        <v>10433</v>
      </c>
      <c r="I545" s="800" t="s">
        <v>10433</v>
      </c>
      <c r="J545" s="800" t="s">
        <v>10664</v>
      </c>
      <c r="K545" s="800">
        <v>1</v>
      </c>
      <c r="L545" s="802" t="s">
        <v>10398</v>
      </c>
      <c r="M545" s="802" t="s">
        <v>13488</v>
      </c>
      <c r="N545" s="802" t="s">
        <v>13489</v>
      </c>
      <c r="O545" s="802" t="s">
        <v>13456</v>
      </c>
      <c r="P545" s="807" t="s">
        <v>13490</v>
      </c>
    </row>
    <row r="546" spans="1:16" s="341" customFormat="1" ht="25.5" customHeight="1">
      <c r="A546" s="806" t="s">
        <v>107</v>
      </c>
      <c r="B546" s="800" t="s">
        <v>84</v>
      </c>
      <c r="C546" s="800" t="s">
        <v>84</v>
      </c>
      <c r="D546" s="800" t="s">
        <v>13491</v>
      </c>
      <c r="E546" s="801">
        <v>43013</v>
      </c>
      <c r="F546" s="800" t="s">
        <v>13440</v>
      </c>
      <c r="G546" s="800" t="s">
        <v>13446</v>
      </c>
      <c r="H546" s="800" t="s">
        <v>10433</v>
      </c>
      <c r="I546" s="800" t="s">
        <v>10433</v>
      </c>
      <c r="J546" s="800" t="s">
        <v>10664</v>
      </c>
      <c r="K546" s="800">
        <v>1</v>
      </c>
      <c r="L546" s="802" t="s">
        <v>10398</v>
      </c>
      <c r="M546" s="802" t="s">
        <v>13492</v>
      </c>
      <c r="N546" s="802" t="s">
        <v>13493</v>
      </c>
      <c r="O546" s="802" t="s">
        <v>13494</v>
      </c>
      <c r="P546" s="807" t="s">
        <v>32</v>
      </c>
    </row>
    <row r="547" spans="1:16" s="341" customFormat="1" ht="25.5" customHeight="1">
      <c r="A547" s="806" t="s">
        <v>107</v>
      </c>
      <c r="B547" s="800" t="s">
        <v>84</v>
      </c>
      <c r="C547" s="800" t="s">
        <v>84</v>
      </c>
      <c r="D547" s="800" t="s">
        <v>13495</v>
      </c>
      <c r="E547" s="801">
        <v>43013</v>
      </c>
      <c r="F547" s="800" t="s">
        <v>13440</v>
      </c>
      <c r="G547" s="800" t="s">
        <v>13496</v>
      </c>
      <c r="H547" s="800" t="s">
        <v>10433</v>
      </c>
      <c r="I547" s="800" t="s">
        <v>10433</v>
      </c>
      <c r="J547" s="800" t="s">
        <v>10664</v>
      </c>
      <c r="K547" s="800">
        <v>1</v>
      </c>
      <c r="L547" s="802" t="s">
        <v>10398</v>
      </c>
      <c r="M547" s="802" t="s">
        <v>13497</v>
      </c>
      <c r="N547" s="802" t="s">
        <v>13498</v>
      </c>
      <c r="O547" s="802" t="s">
        <v>13499</v>
      </c>
      <c r="P547" s="807" t="s">
        <v>32</v>
      </c>
    </row>
    <row r="548" spans="1:16" s="341" customFormat="1" ht="25.5" customHeight="1">
      <c r="A548" s="806" t="s">
        <v>107</v>
      </c>
      <c r="B548" s="800" t="s">
        <v>84</v>
      </c>
      <c r="C548" s="800" t="s">
        <v>84</v>
      </c>
      <c r="D548" s="800" t="s">
        <v>13500</v>
      </c>
      <c r="E548" s="801">
        <v>43013</v>
      </c>
      <c r="F548" s="800" t="s">
        <v>13440</v>
      </c>
      <c r="G548" s="800" t="s">
        <v>13501</v>
      </c>
      <c r="H548" s="800" t="s">
        <v>10433</v>
      </c>
      <c r="I548" s="800" t="s">
        <v>10433</v>
      </c>
      <c r="J548" s="800" t="s">
        <v>10664</v>
      </c>
      <c r="K548" s="800">
        <v>1</v>
      </c>
      <c r="L548" s="802" t="s">
        <v>11045</v>
      </c>
      <c r="M548" s="802" t="s">
        <v>13502</v>
      </c>
      <c r="N548" s="802" t="s">
        <v>13503</v>
      </c>
      <c r="O548" s="802" t="s">
        <v>13504</v>
      </c>
      <c r="P548" s="807" t="s">
        <v>32</v>
      </c>
    </row>
    <row r="549" spans="1:16" s="341" customFormat="1" ht="25.5" customHeight="1">
      <c r="A549" s="806" t="s">
        <v>107</v>
      </c>
      <c r="B549" s="800" t="s">
        <v>84</v>
      </c>
      <c r="C549" s="800" t="s">
        <v>84</v>
      </c>
      <c r="D549" s="800" t="s">
        <v>13505</v>
      </c>
      <c r="E549" s="801">
        <v>43013</v>
      </c>
      <c r="F549" s="800" t="s">
        <v>13440</v>
      </c>
      <c r="G549" s="800" t="s">
        <v>13501</v>
      </c>
      <c r="H549" s="800" t="s">
        <v>10433</v>
      </c>
      <c r="I549" s="800" t="s">
        <v>10433</v>
      </c>
      <c r="J549" s="800" t="s">
        <v>10664</v>
      </c>
      <c r="K549" s="800">
        <v>1</v>
      </c>
      <c r="L549" s="802" t="s">
        <v>10605</v>
      </c>
      <c r="M549" s="802" t="s">
        <v>32</v>
      </c>
      <c r="N549" s="802" t="s">
        <v>13506</v>
      </c>
      <c r="O549" s="802" t="s">
        <v>13504</v>
      </c>
      <c r="P549" s="807" t="s">
        <v>32</v>
      </c>
    </row>
    <row r="550" spans="1:16" s="341" customFormat="1" ht="25.5" customHeight="1">
      <c r="A550" s="806" t="s">
        <v>107</v>
      </c>
      <c r="B550" s="800" t="s">
        <v>84</v>
      </c>
      <c r="C550" s="800" t="s">
        <v>84</v>
      </c>
      <c r="D550" s="800" t="s">
        <v>13507</v>
      </c>
      <c r="E550" s="801">
        <v>43013</v>
      </c>
      <c r="F550" s="800" t="s">
        <v>13440</v>
      </c>
      <c r="G550" s="800" t="s">
        <v>13501</v>
      </c>
      <c r="H550" s="800" t="s">
        <v>10433</v>
      </c>
      <c r="I550" s="800" t="s">
        <v>10433</v>
      </c>
      <c r="J550" s="800" t="s">
        <v>10664</v>
      </c>
      <c r="K550" s="800">
        <v>1</v>
      </c>
      <c r="L550" s="802" t="s">
        <v>10398</v>
      </c>
      <c r="M550" s="802" t="s">
        <v>13508</v>
      </c>
      <c r="N550" s="802" t="s">
        <v>13509</v>
      </c>
      <c r="O550" s="802" t="s">
        <v>13510</v>
      </c>
      <c r="P550" s="807" t="s">
        <v>32</v>
      </c>
    </row>
    <row r="551" spans="1:16" s="341" customFormat="1" ht="25.5" customHeight="1">
      <c r="A551" s="806" t="s">
        <v>107</v>
      </c>
      <c r="B551" s="800" t="s">
        <v>84</v>
      </c>
      <c r="C551" s="800" t="s">
        <v>84</v>
      </c>
      <c r="D551" s="800" t="s">
        <v>13511</v>
      </c>
      <c r="E551" s="801">
        <v>43013</v>
      </c>
      <c r="F551" s="800" t="s">
        <v>13440</v>
      </c>
      <c r="G551" s="800" t="s">
        <v>13501</v>
      </c>
      <c r="H551" s="800" t="s">
        <v>10433</v>
      </c>
      <c r="I551" s="800" t="s">
        <v>10433</v>
      </c>
      <c r="J551" s="800" t="s">
        <v>10664</v>
      </c>
      <c r="K551" s="800">
        <v>1</v>
      </c>
      <c r="L551" s="802" t="s">
        <v>10398</v>
      </c>
      <c r="M551" s="802" t="s">
        <v>13512</v>
      </c>
      <c r="N551" s="802" t="s">
        <v>13513</v>
      </c>
      <c r="O551" s="802" t="s">
        <v>13514</v>
      </c>
      <c r="P551" s="807" t="s">
        <v>32</v>
      </c>
    </row>
    <row r="552" spans="1:16" s="341" customFormat="1" ht="25.5" customHeight="1">
      <c r="A552" s="806" t="s">
        <v>107</v>
      </c>
      <c r="B552" s="800" t="s">
        <v>84</v>
      </c>
      <c r="C552" s="800" t="s">
        <v>84</v>
      </c>
      <c r="D552" s="800" t="s">
        <v>13515</v>
      </c>
      <c r="E552" s="801">
        <v>43013</v>
      </c>
      <c r="F552" s="800" t="s">
        <v>2394</v>
      </c>
      <c r="G552" s="800" t="s">
        <v>13501</v>
      </c>
      <c r="H552" s="800" t="s">
        <v>10433</v>
      </c>
      <c r="I552" s="800" t="s">
        <v>10433</v>
      </c>
      <c r="J552" s="800" t="s">
        <v>10664</v>
      </c>
      <c r="K552" s="800">
        <v>1</v>
      </c>
      <c r="L552" s="802" t="s">
        <v>10398</v>
      </c>
      <c r="M552" s="802" t="s">
        <v>13516</v>
      </c>
      <c r="N552" s="802" t="s">
        <v>13517</v>
      </c>
      <c r="O552" s="802" t="s">
        <v>13518</v>
      </c>
      <c r="P552" s="807" t="s">
        <v>32</v>
      </c>
    </row>
    <row r="553" spans="1:16" s="341" customFormat="1" ht="38.25" customHeight="1">
      <c r="A553" s="806" t="s">
        <v>107</v>
      </c>
      <c r="B553" s="800" t="s">
        <v>84</v>
      </c>
      <c r="C553" s="800" t="s">
        <v>84</v>
      </c>
      <c r="D553" s="800" t="s">
        <v>13519</v>
      </c>
      <c r="E553" s="801">
        <v>43013</v>
      </c>
      <c r="F553" s="800" t="s">
        <v>2394</v>
      </c>
      <c r="G553" s="800" t="s">
        <v>13501</v>
      </c>
      <c r="H553" s="800" t="s">
        <v>10433</v>
      </c>
      <c r="I553" s="800" t="s">
        <v>10433</v>
      </c>
      <c r="J553" s="800" t="s">
        <v>10664</v>
      </c>
      <c r="K553" s="800">
        <v>1</v>
      </c>
      <c r="L553" s="802" t="s">
        <v>10398</v>
      </c>
      <c r="M553" s="802" t="s">
        <v>13520</v>
      </c>
      <c r="N553" s="802" t="s">
        <v>13521</v>
      </c>
      <c r="O553" s="802" t="s">
        <v>13522</v>
      </c>
      <c r="P553" s="807" t="s">
        <v>32</v>
      </c>
    </row>
    <row r="554" spans="1:16" s="341" customFormat="1" ht="25.5" customHeight="1">
      <c r="A554" s="806" t="s">
        <v>107</v>
      </c>
      <c r="B554" s="800" t="s">
        <v>84</v>
      </c>
      <c r="C554" s="800" t="s">
        <v>84</v>
      </c>
      <c r="D554" s="800" t="s">
        <v>13523</v>
      </c>
      <c r="E554" s="801">
        <v>43013</v>
      </c>
      <c r="F554" s="800" t="s">
        <v>2394</v>
      </c>
      <c r="G554" s="800" t="s">
        <v>13501</v>
      </c>
      <c r="H554" s="800" t="s">
        <v>10433</v>
      </c>
      <c r="I554" s="800" t="s">
        <v>10433</v>
      </c>
      <c r="J554" s="800" t="s">
        <v>10664</v>
      </c>
      <c r="K554" s="800">
        <v>1</v>
      </c>
      <c r="L554" s="802" t="s">
        <v>10398</v>
      </c>
      <c r="M554" s="802" t="s">
        <v>13524</v>
      </c>
      <c r="N554" s="802" t="s">
        <v>13525</v>
      </c>
      <c r="O554" s="802" t="s">
        <v>13526</v>
      </c>
      <c r="P554" s="807" t="s">
        <v>13527</v>
      </c>
    </row>
    <row r="555" spans="1:16" s="341" customFormat="1" ht="25.5" customHeight="1">
      <c r="A555" s="806" t="s">
        <v>107</v>
      </c>
      <c r="B555" s="800" t="s">
        <v>84</v>
      </c>
      <c r="C555" s="800" t="s">
        <v>84</v>
      </c>
      <c r="D555" s="800" t="s">
        <v>13528</v>
      </c>
      <c r="E555" s="801">
        <v>43013</v>
      </c>
      <c r="F555" s="800" t="s">
        <v>2394</v>
      </c>
      <c r="G555" s="800" t="s">
        <v>13501</v>
      </c>
      <c r="H555" s="800" t="s">
        <v>10433</v>
      </c>
      <c r="I555" s="800" t="s">
        <v>10433</v>
      </c>
      <c r="J555" s="800" t="s">
        <v>10664</v>
      </c>
      <c r="K555" s="800">
        <v>1</v>
      </c>
      <c r="L555" s="802" t="s">
        <v>10398</v>
      </c>
      <c r="M555" s="802" t="s">
        <v>13529</v>
      </c>
      <c r="N555" s="802" t="s">
        <v>13530</v>
      </c>
      <c r="O555" s="802" t="s">
        <v>13531</v>
      </c>
      <c r="P555" s="807" t="s">
        <v>13532</v>
      </c>
    </row>
    <row r="556" spans="1:16" s="341" customFormat="1" ht="25.5" customHeight="1">
      <c r="A556" s="806" t="s">
        <v>107</v>
      </c>
      <c r="B556" s="800" t="s">
        <v>84</v>
      </c>
      <c r="C556" s="800" t="s">
        <v>84</v>
      </c>
      <c r="D556" s="800" t="s">
        <v>13533</v>
      </c>
      <c r="E556" s="801">
        <v>43013</v>
      </c>
      <c r="F556" s="800" t="s">
        <v>2394</v>
      </c>
      <c r="G556" s="800" t="s">
        <v>13534</v>
      </c>
      <c r="H556" s="800" t="s">
        <v>10433</v>
      </c>
      <c r="I556" s="800" t="s">
        <v>10433</v>
      </c>
      <c r="J556" s="800" t="s">
        <v>10664</v>
      </c>
      <c r="K556" s="800">
        <v>1</v>
      </c>
      <c r="L556" s="802" t="s">
        <v>10398</v>
      </c>
      <c r="M556" s="802" t="s">
        <v>13535</v>
      </c>
      <c r="N556" s="802" t="s">
        <v>13503</v>
      </c>
      <c r="O556" s="802" t="s">
        <v>13536</v>
      </c>
      <c r="P556" s="807" t="s">
        <v>32</v>
      </c>
    </row>
    <row r="557" spans="1:16" s="341" customFormat="1" ht="25.5" customHeight="1">
      <c r="A557" s="806" t="s">
        <v>107</v>
      </c>
      <c r="B557" s="800" t="s">
        <v>84</v>
      </c>
      <c r="C557" s="800" t="s">
        <v>84</v>
      </c>
      <c r="D557" s="800" t="s">
        <v>13537</v>
      </c>
      <c r="E557" s="801">
        <v>43013</v>
      </c>
      <c r="F557" s="800" t="s">
        <v>2394</v>
      </c>
      <c r="G557" s="800" t="s">
        <v>13534</v>
      </c>
      <c r="H557" s="800" t="s">
        <v>10433</v>
      </c>
      <c r="I557" s="800" t="s">
        <v>10433</v>
      </c>
      <c r="J557" s="800" t="s">
        <v>10664</v>
      </c>
      <c r="K557" s="800">
        <v>1</v>
      </c>
      <c r="L557" s="802" t="s">
        <v>10398</v>
      </c>
      <c r="M557" s="802" t="s">
        <v>13538</v>
      </c>
      <c r="N557" s="802" t="s">
        <v>13539</v>
      </c>
      <c r="O557" s="802" t="s">
        <v>13540</v>
      </c>
      <c r="P557" s="807" t="s">
        <v>32</v>
      </c>
    </row>
    <row r="558" spans="1:16" s="341" customFormat="1" ht="25.5" customHeight="1">
      <c r="A558" s="806" t="s">
        <v>107</v>
      </c>
      <c r="B558" s="800" t="s">
        <v>84</v>
      </c>
      <c r="C558" s="800" t="s">
        <v>84</v>
      </c>
      <c r="D558" s="800" t="s">
        <v>13541</v>
      </c>
      <c r="E558" s="801">
        <v>43013</v>
      </c>
      <c r="F558" s="800" t="s">
        <v>2394</v>
      </c>
      <c r="G558" s="800" t="s">
        <v>13534</v>
      </c>
      <c r="H558" s="800" t="s">
        <v>10433</v>
      </c>
      <c r="I558" s="800" t="s">
        <v>10433</v>
      </c>
      <c r="J558" s="800" t="s">
        <v>10664</v>
      </c>
      <c r="K558" s="800">
        <v>1</v>
      </c>
      <c r="L558" s="802" t="s">
        <v>10398</v>
      </c>
      <c r="M558" s="802" t="s">
        <v>13542</v>
      </c>
      <c r="N558" s="802" t="s">
        <v>13543</v>
      </c>
      <c r="O558" s="802" t="s">
        <v>13544</v>
      </c>
      <c r="P558" s="807" t="s">
        <v>13545</v>
      </c>
    </row>
    <row r="559" spans="1:16" s="341" customFormat="1" ht="25.5" customHeight="1">
      <c r="A559" s="806" t="s">
        <v>107</v>
      </c>
      <c r="B559" s="800" t="s">
        <v>84</v>
      </c>
      <c r="C559" s="800" t="s">
        <v>84</v>
      </c>
      <c r="D559" s="800" t="s">
        <v>13546</v>
      </c>
      <c r="E559" s="801">
        <v>43013</v>
      </c>
      <c r="F559" s="800" t="s">
        <v>2394</v>
      </c>
      <c r="G559" s="800" t="s">
        <v>13534</v>
      </c>
      <c r="H559" s="800" t="s">
        <v>10433</v>
      </c>
      <c r="I559" s="800" t="s">
        <v>10433</v>
      </c>
      <c r="J559" s="800" t="s">
        <v>10664</v>
      </c>
      <c r="K559" s="800">
        <v>1</v>
      </c>
      <c r="L559" s="802" t="s">
        <v>10398</v>
      </c>
      <c r="M559" s="802" t="s">
        <v>13547</v>
      </c>
      <c r="N559" s="802" t="s">
        <v>10698</v>
      </c>
      <c r="O559" s="802" t="s">
        <v>13548</v>
      </c>
      <c r="P559" s="807" t="s">
        <v>13549</v>
      </c>
    </row>
    <row r="560" spans="1:16" s="341" customFormat="1" ht="38.25" customHeight="1">
      <c r="A560" s="806" t="s">
        <v>107</v>
      </c>
      <c r="B560" s="800" t="s">
        <v>84</v>
      </c>
      <c r="C560" s="800" t="s">
        <v>84</v>
      </c>
      <c r="D560" s="800" t="s">
        <v>13550</v>
      </c>
      <c r="E560" s="801">
        <v>43013</v>
      </c>
      <c r="F560" s="800" t="s">
        <v>2394</v>
      </c>
      <c r="G560" s="800" t="s">
        <v>13534</v>
      </c>
      <c r="H560" s="800" t="s">
        <v>10433</v>
      </c>
      <c r="I560" s="800" t="s">
        <v>10433</v>
      </c>
      <c r="J560" s="800" t="s">
        <v>10664</v>
      </c>
      <c r="K560" s="800">
        <v>1</v>
      </c>
      <c r="L560" s="802" t="s">
        <v>10398</v>
      </c>
      <c r="M560" s="802" t="s">
        <v>13551</v>
      </c>
      <c r="N560" s="802" t="s">
        <v>11290</v>
      </c>
      <c r="O560" s="802" t="s">
        <v>13552</v>
      </c>
      <c r="P560" s="807" t="s">
        <v>32</v>
      </c>
    </row>
    <row r="561" spans="1:16" s="341" customFormat="1" ht="25.5" customHeight="1">
      <c r="A561" s="806" t="s">
        <v>107</v>
      </c>
      <c r="B561" s="800" t="s">
        <v>84</v>
      </c>
      <c r="C561" s="800" t="s">
        <v>84</v>
      </c>
      <c r="D561" s="800" t="s">
        <v>13553</v>
      </c>
      <c r="E561" s="801">
        <v>43013</v>
      </c>
      <c r="F561" s="800" t="s">
        <v>2394</v>
      </c>
      <c r="G561" s="800" t="s">
        <v>13534</v>
      </c>
      <c r="H561" s="800" t="s">
        <v>10433</v>
      </c>
      <c r="I561" s="800" t="s">
        <v>10433</v>
      </c>
      <c r="J561" s="800" t="s">
        <v>10664</v>
      </c>
      <c r="K561" s="800">
        <v>1</v>
      </c>
      <c r="L561" s="802" t="s">
        <v>10398</v>
      </c>
      <c r="M561" s="802" t="s">
        <v>13554</v>
      </c>
      <c r="N561" s="802" t="s">
        <v>12229</v>
      </c>
      <c r="O561" s="802" t="s">
        <v>13552</v>
      </c>
      <c r="P561" s="807" t="s">
        <v>32</v>
      </c>
    </row>
    <row r="562" spans="1:16" s="341" customFormat="1" ht="15" customHeight="1">
      <c r="A562" s="806" t="s">
        <v>107</v>
      </c>
      <c r="B562" s="800" t="s">
        <v>84</v>
      </c>
      <c r="C562" s="800" t="s">
        <v>84</v>
      </c>
      <c r="D562" s="800" t="s">
        <v>13555</v>
      </c>
      <c r="E562" s="801">
        <v>43013</v>
      </c>
      <c r="F562" s="800" t="s">
        <v>2394</v>
      </c>
      <c r="G562" s="800" t="s">
        <v>13534</v>
      </c>
      <c r="H562" s="800" t="s">
        <v>10433</v>
      </c>
      <c r="I562" s="800" t="s">
        <v>10433</v>
      </c>
      <c r="J562" s="800" t="s">
        <v>10664</v>
      </c>
      <c r="K562" s="800">
        <v>1</v>
      </c>
      <c r="L562" s="802" t="s">
        <v>10398</v>
      </c>
      <c r="M562" s="802" t="s">
        <v>13556</v>
      </c>
      <c r="N562" s="802" t="s">
        <v>13557</v>
      </c>
      <c r="O562" s="802" t="s">
        <v>13558</v>
      </c>
      <c r="P562" s="807" t="s">
        <v>32</v>
      </c>
    </row>
    <row r="563" spans="1:16" s="341" customFormat="1" ht="25.5" customHeight="1">
      <c r="A563" s="806" t="s">
        <v>107</v>
      </c>
      <c r="B563" s="800" t="s">
        <v>84</v>
      </c>
      <c r="C563" s="800" t="s">
        <v>84</v>
      </c>
      <c r="D563" s="800" t="s">
        <v>13559</v>
      </c>
      <c r="E563" s="801">
        <v>43013</v>
      </c>
      <c r="F563" s="800" t="s">
        <v>2394</v>
      </c>
      <c r="G563" s="800" t="s">
        <v>13534</v>
      </c>
      <c r="H563" s="800" t="s">
        <v>10433</v>
      </c>
      <c r="I563" s="800" t="s">
        <v>10433</v>
      </c>
      <c r="J563" s="800" t="s">
        <v>10664</v>
      </c>
      <c r="K563" s="800">
        <v>1</v>
      </c>
      <c r="L563" s="802" t="s">
        <v>10398</v>
      </c>
      <c r="M563" s="802" t="s">
        <v>13560</v>
      </c>
      <c r="N563" s="802" t="s">
        <v>13561</v>
      </c>
      <c r="O563" s="802" t="s">
        <v>13562</v>
      </c>
      <c r="P563" s="807" t="s">
        <v>32</v>
      </c>
    </row>
    <row r="564" spans="1:16" s="341" customFormat="1" ht="15" customHeight="1">
      <c r="A564" s="806" t="s">
        <v>107</v>
      </c>
      <c r="B564" s="800" t="s">
        <v>84</v>
      </c>
      <c r="C564" s="800" t="s">
        <v>84</v>
      </c>
      <c r="D564" s="800" t="s">
        <v>13563</v>
      </c>
      <c r="E564" s="801">
        <v>43013</v>
      </c>
      <c r="F564" s="800" t="s">
        <v>2394</v>
      </c>
      <c r="G564" s="800" t="s">
        <v>13534</v>
      </c>
      <c r="H564" s="800" t="s">
        <v>10433</v>
      </c>
      <c r="I564" s="800" t="s">
        <v>10433</v>
      </c>
      <c r="J564" s="800" t="s">
        <v>10664</v>
      </c>
      <c r="K564" s="800">
        <v>1</v>
      </c>
      <c r="L564" s="802" t="s">
        <v>10398</v>
      </c>
      <c r="M564" s="802" t="s">
        <v>13564</v>
      </c>
      <c r="N564" s="802" t="s">
        <v>13565</v>
      </c>
      <c r="O564" s="802" t="s">
        <v>13566</v>
      </c>
      <c r="P564" s="807" t="s">
        <v>32</v>
      </c>
    </row>
    <row r="565" spans="1:16" s="341" customFormat="1" ht="15" customHeight="1">
      <c r="A565" s="806" t="s">
        <v>107</v>
      </c>
      <c r="B565" s="800" t="s">
        <v>84</v>
      </c>
      <c r="C565" s="800" t="s">
        <v>13567</v>
      </c>
      <c r="D565" s="800" t="s">
        <v>13568</v>
      </c>
      <c r="E565" s="801">
        <v>43013</v>
      </c>
      <c r="F565" s="800" t="s">
        <v>13569</v>
      </c>
      <c r="G565" s="800" t="s">
        <v>13569</v>
      </c>
      <c r="H565" s="800" t="s">
        <v>10433</v>
      </c>
      <c r="I565" s="800" t="s">
        <v>10433</v>
      </c>
      <c r="J565" s="800" t="s">
        <v>10426</v>
      </c>
      <c r="K565" s="800">
        <v>1</v>
      </c>
      <c r="L565" s="802" t="s">
        <v>10398</v>
      </c>
      <c r="M565" s="802" t="s">
        <v>13570</v>
      </c>
      <c r="N565" s="802" t="s">
        <v>10808</v>
      </c>
      <c r="O565" s="802" t="s">
        <v>13571</v>
      </c>
      <c r="P565" s="807" t="s">
        <v>32</v>
      </c>
    </row>
    <row r="566" spans="1:16" s="341" customFormat="1" ht="25.5" customHeight="1">
      <c r="A566" s="806" t="s">
        <v>107</v>
      </c>
      <c r="B566" s="800" t="s">
        <v>84</v>
      </c>
      <c r="C566" s="800" t="s">
        <v>13567</v>
      </c>
      <c r="D566" s="800" t="s">
        <v>13572</v>
      </c>
      <c r="E566" s="801">
        <v>43013</v>
      </c>
      <c r="F566" s="800" t="s">
        <v>13573</v>
      </c>
      <c r="G566" s="800" t="s">
        <v>13574</v>
      </c>
      <c r="H566" s="800" t="s">
        <v>10433</v>
      </c>
      <c r="I566" s="800" t="s">
        <v>10433</v>
      </c>
      <c r="J566" s="800" t="s">
        <v>10664</v>
      </c>
      <c r="K566" s="800">
        <v>1</v>
      </c>
      <c r="L566" s="802" t="s">
        <v>10398</v>
      </c>
      <c r="M566" s="802" t="s">
        <v>13575</v>
      </c>
      <c r="N566" s="802" t="s">
        <v>13576</v>
      </c>
      <c r="O566" s="802" t="s">
        <v>13577</v>
      </c>
      <c r="P566" s="807" t="s">
        <v>13578</v>
      </c>
    </row>
    <row r="567" spans="1:16" s="341" customFormat="1" ht="38.25" customHeight="1">
      <c r="A567" s="806" t="s">
        <v>107</v>
      </c>
      <c r="B567" s="800" t="s">
        <v>84</v>
      </c>
      <c r="C567" s="800" t="s">
        <v>13567</v>
      </c>
      <c r="D567" s="800" t="s">
        <v>13579</v>
      </c>
      <c r="E567" s="801">
        <v>43028</v>
      </c>
      <c r="F567" s="800" t="s">
        <v>13580</v>
      </c>
      <c r="G567" s="800" t="s">
        <v>13581</v>
      </c>
      <c r="H567" s="800" t="s">
        <v>10531</v>
      </c>
      <c r="I567" s="800" t="s">
        <v>10531</v>
      </c>
      <c r="J567" s="800" t="s">
        <v>10426</v>
      </c>
      <c r="K567" s="800">
        <v>1</v>
      </c>
      <c r="L567" s="802" t="s">
        <v>10398</v>
      </c>
      <c r="M567" s="802" t="s">
        <v>13582</v>
      </c>
      <c r="N567" s="802" t="s">
        <v>11371</v>
      </c>
      <c r="O567" s="802" t="s">
        <v>13583</v>
      </c>
      <c r="P567" s="807" t="s">
        <v>13584</v>
      </c>
    </row>
    <row r="568" spans="1:16" s="341" customFormat="1" ht="15" customHeight="1">
      <c r="A568" s="806" t="s">
        <v>107</v>
      </c>
      <c r="B568" s="800" t="s">
        <v>84</v>
      </c>
      <c r="C568" s="800" t="s">
        <v>13567</v>
      </c>
      <c r="D568" s="800" t="s">
        <v>13585</v>
      </c>
      <c r="E568" s="801">
        <v>43013</v>
      </c>
      <c r="F568" s="800" t="s">
        <v>13586</v>
      </c>
      <c r="G568" s="800" t="s">
        <v>13587</v>
      </c>
      <c r="H568" s="800" t="s">
        <v>10404</v>
      </c>
      <c r="I568" s="800" t="s">
        <v>10404</v>
      </c>
      <c r="J568" s="800" t="s">
        <v>10426</v>
      </c>
      <c r="K568" s="800">
        <v>1</v>
      </c>
      <c r="L568" s="802" t="s">
        <v>10605</v>
      </c>
      <c r="M568" s="802" t="s">
        <v>32</v>
      </c>
      <c r="N568" s="802" t="s">
        <v>13588</v>
      </c>
      <c r="O568" s="802" t="s">
        <v>13589</v>
      </c>
      <c r="P568" s="807" t="s">
        <v>13590</v>
      </c>
    </row>
    <row r="569" spans="1:16" s="341" customFormat="1" ht="15" customHeight="1">
      <c r="A569" s="806" t="s">
        <v>107</v>
      </c>
      <c r="B569" s="800" t="s">
        <v>84</v>
      </c>
      <c r="C569" s="800" t="s">
        <v>13567</v>
      </c>
      <c r="D569" s="800" t="s">
        <v>13591</v>
      </c>
      <c r="E569" s="801">
        <v>43013</v>
      </c>
      <c r="F569" s="800" t="s">
        <v>13586</v>
      </c>
      <c r="G569" s="800" t="s">
        <v>13592</v>
      </c>
      <c r="H569" s="800" t="s">
        <v>10404</v>
      </c>
      <c r="I569" s="800" t="s">
        <v>10404</v>
      </c>
      <c r="J569" s="800" t="s">
        <v>10426</v>
      </c>
      <c r="K569" s="800">
        <v>1</v>
      </c>
      <c r="L569" s="802" t="s">
        <v>10398</v>
      </c>
      <c r="M569" s="802" t="s">
        <v>13593</v>
      </c>
      <c r="N569" s="802" t="s">
        <v>13594</v>
      </c>
      <c r="O569" s="802" t="s">
        <v>13595</v>
      </c>
      <c r="P569" s="807" t="s">
        <v>13596</v>
      </c>
    </row>
    <row r="570" spans="1:16" s="341" customFormat="1" ht="25.5" customHeight="1">
      <c r="A570" s="806" t="s">
        <v>107</v>
      </c>
      <c r="B570" s="800" t="s">
        <v>84</v>
      </c>
      <c r="C570" s="800" t="s">
        <v>13567</v>
      </c>
      <c r="D570" s="800" t="s">
        <v>13597</v>
      </c>
      <c r="E570" s="801">
        <v>43013</v>
      </c>
      <c r="F570" s="800" t="s">
        <v>13586</v>
      </c>
      <c r="G570" s="800" t="s">
        <v>13598</v>
      </c>
      <c r="H570" s="800" t="s">
        <v>10404</v>
      </c>
      <c r="I570" s="800" t="s">
        <v>10404</v>
      </c>
      <c r="J570" s="800" t="s">
        <v>10426</v>
      </c>
      <c r="K570" s="800">
        <v>1</v>
      </c>
      <c r="L570" s="802" t="s">
        <v>10398</v>
      </c>
      <c r="M570" s="802" t="s">
        <v>13599</v>
      </c>
      <c r="N570" s="802" t="s">
        <v>13600</v>
      </c>
      <c r="O570" s="802" t="s">
        <v>10515</v>
      </c>
      <c r="P570" s="807" t="s">
        <v>13596</v>
      </c>
    </row>
    <row r="571" spans="1:16" s="341" customFormat="1" ht="15" customHeight="1">
      <c r="A571" s="806" t="s">
        <v>107</v>
      </c>
      <c r="B571" s="800" t="s">
        <v>84</v>
      </c>
      <c r="C571" s="800" t="s">
        <v>13567</v>
      </c>
      <c r="D571" s="800" t="s">
        <v>13601</v>
      </c>
      <c r="E571" s="801">
        <v>43013</v>
      </c>
      <c r="F571" s="800" t="s">
        <v>13602</v>
      </c>
      <c r="G571" s="800" t="s">
        <v>13603</v>
      </c>
      <c r="H571" s="800" t="s">
        <v>10433</v>
      </c>
      <c r="I571" s="800" t="s">
        <v>10433</v>
      </c>
      <c r="J571" s="800" t="s">
        <v>10426</v>
      </c>
      <c r="K571" s="800">
        <v>1</v>
      </c>
      <c r="L571" s="802" t="s">
        <v>10398</v>
      </c>
      <c r="M571" s="802" t="s">
        <v>13604</v>
      </c>
      <c r="N571" s="802" t="s">
        <v>13605</v>
      </c>
      <c r="O571" s="802" t="s">
        <v>13606</v>
      </c>
      <c r="P571" s="807" t="s">
        <v>13607</v>
      </c>
    </row>
    <row r="572" spans="1:16" s="341" customFormat="1" ht="15" customHeight="1">
      <c r="A572" s="806" t="s">
        <v>107</v>
      </c>
      <c r="B572" s="800" t="s">
        <v>84</v>
      </c>
      <c r="C572" s="800" t="s">
        <v>13567</v>
      </c>
      <c r="D572" s="800" t="s">
        <v>13608</v>
      </c>
      <c r="E572" s="801">
        <v>43021</v>
      </c>
      <c r="F572" s="800" t="s">
        <v>13602</v>
      </c>
      <c r="G572" s="800" t="s">
        <v>13609</v>
      </c>
      <c r="H572" s="800" t="s">
        <v>10433</v>
      </c>
      <c r="I572" s="800" t="s">
        <v>10433</v>
      </c>
      <c r="J572" s="800" t="s">
        <v>10426</v>
      </c>
      <c r="K572" s="800">
        <v>1</v>
      </c>
      <c r="L572" s="802" t="s">
        <v>10398</v>
      </c>
      <c r="M572" s="802" t="s">
        <v>13610</v>
      </c>
      <c r="N572" s="802" t="s">
        <v>13611</v>
      </c>
      <c r="O572" s="802" t="s">
        <v>13612</v>
      </c>
      <c r="P572" s="807" t="s">
        <v>13613</v>
      </c>
    </row>
    <row r="573" spans="1:16" s="341" customFormat="1" ht="15" customHeight="1">
      <c r="A573" s="806" t="s">
        <v>107</v>
      </c>
      <c r="B573" s="800" t="s">
        <v>84</v>
      </c>
      <c r="C573" s="800" t="s">
        <v>13567</v>
      </c>
      <c r="D573" s="800" t="s">
        <v>13614</v>
      </c>
      <c r="E573" s="801">
        <v>43021</v>
      </c>
      <c r="F573" s="800" t="s">
        <v>13602</v>
      </c>
      <c r="G573" s="800" t="s">
        <v>13615</v>
      </c>
      <c r="H573" s="800" t="s">
        <v>10404</v>
      </c>
      <c r="I573" s="800" t="s">
        <v>10404</v>
      </c>
      <c r="J573" s="800" t="s">
        <v>10426</v>
      </c>
      <c r="K573" s="800">
        <v>1</v>
      </c>
      <c r="L573" s="802" t="s">
        <v>10398</v>
      </c>
      <c r="M573" s="802" t="s">
        <v>13616</v>
      </c>
      <c r="N573" s="802" t="s">
        <v>13617</v>
      </c>
      <c r="O573" s="802" t="s">
        <v>13618</v>
      </c>
      <c r="P573" s="807" t="s">
        <v>13619</v>
      </c>
    </row>
    <row r="574" spans="1:16" s="341" customFormat="1" ht="38.25">
      <c r="A574" s="806" t="s">
        <v>107</v>
      </c>
      <c r="B574" s="800" t="s">
        <v>84</v>
      </c>
      <c r="C574" s="800" t="s">
        <v>13567</v>
      </c>
      <c r="D574" s="800" t="s">
        <v>13620</v>
      </c>
      <c r="E574" s="801">
        <v>43038</v>
      </c>
      <c r="F574" s="800" t="s">
        <v>13621</v>
      </c>
      <c r="G574" s="800" t="s">
        <v>13622</v>
      </c>
      <c r="H574" s="800" t="s">
        <v>10396</v>
      </c>
      <c r="I574" s="800" t="s">
        <v>10396</v>
      </c>
      <c r="J574" s="800" t="s">
        <v>10426</v>
      </c>
      <c r="K574" s="800">
        <v>1</v>
      </c>
      <c r="L574" s="802" t="s">
        <v>10398</v>
      </c>
      <c r="M574" s="802" t="s">
        <v>13623</v>
      </c>
      <c r="N574" s="802" t="s">
        <v>13624</v>
      </c>
      <c r="O574" s="802" t="s">
        <v>13625</v>
      </c>
      <c r="P574" s="807" t="s">
        <v>13626</v>
      </c>
    </row>
    <row r="575" spans="1:16" s="341" customFormat="1" ht="25.5" customHeight="1">
      <c r="A575" s="806" t="s">
        <v>107</v>
      </c>
      <c r="B575" s="800" t="s">
        <v>84</v>
      </c>
      <c r="C575" s="800" t="s">
        <v>19</v>
      </c>
      <c r="D575" s="800" t="s">
        <v>13627</v>
      </c>
      <c r="E575" s="801">
        <v>43013</v>
      </c>
      <c r="F575" s="800" t="s">
        <v>13628</v>
      </c>
      <c r="G575" s="800" t="s">
        <v>13629</v>
      </c>
      <c r="H575" s="800" t="s">
        <v>10396</v>
      </c>
      <c r="I575" s="800" t="s">
        <v>10396</v>
      </c>
      <c r="J575" s="800" t="s">
        <v>10426</v>
      </c>
      <c r="K575" s="800">
        <v>1</v>
      </c>
      <c r="L575" s="802" t="s">
        <v>10398</v>
      </c>
      <c r="M575" s="802" t="s">
        <v>13630</v>
      </c>
      <c r="N575" s="802" t="s">
        <v>13631</v>
      </c>
      <c r="O575" s="802" t="s">
        <v>13632</v>
      </c>
      <c r="P575" s="807" t="s">
        <v>13633</v>
      </c>
    </row>
    <row r="576" spans="1:16" s="341" customFormat="1" ht="25.5" customHeight="1">
      <c r="A576" s="806" t="s">
        <v>107</v>
      </c>
      <c r="B576" s="800" t="s">
        <v>84</v>
      </c>
      <c r="C576" s="800" t="s">
        <v>19</v>
      </c>
      <c r="D576" s="800" t="s">
        <v>13634</v>
      </c>
      <c r="E576" s="801">
        <v>43013</v>
      </c>
      <c r="F576" s="800" t="s">
        <v>13628</v>
      </c>
      <c r="G576" s="800" t="s">
        <v>13635</v>
      </c>
      <c r="H576" s="800" t="s">
        <v>10396</v>
      </c>
      <c r="I576" s="800" t="s">
        <v>10396</v>
      </c>
      <c r="J576" s="800" t="s">
        <v>10664</v>
      </c>
      <c r="K576" s="800">
        <v>1</v>
      </c>
      <c r="L576" s="802" t="s">
        <v>10398</v>
      </c>
      <c r="M576" s="802" t="s">
        <v>13636</v>
      </c>
      <c r="N576" s="802" t="s">
        <v>13637</v>
      </c>
      <c r="O576" s="802" t="s">
        <v>13638</v>
      </c>
      <c r="P576" s="807" t="s">
        <v>13639</v>
      </c>
    </row>
    <row r="577" spans="1:16" s="341" customFormat="1" ht="25.5" customHeight="1">
      <c r="A577" s="806" t="s">
        <v>107</v>
      </c>
      <c r="B577" s="800" t="s">
        <v>84</v>
      </c>
      <c r="C577" s="800" t="s">
        <v>19</v>
      </c>
      <c r="D577" s="800" t="s">
        <v>13640</v>
      </c>
      <c r="E577" s="801">
        <v>43026</v>
      </c>
      <c r="F577" s="800" t="s">
        <v>13641</v>
      </c>
      <c r="G577" s="800" t="s">
        <v>13642</v>
      </c>
      <c r="H577" s="800" t="s">
        <v>10396</v>
      </c>
      <c r="I577" s="800" t="s">
        <v>10396</v>
      </c>
      <c r="J577" s="800" t="s">
        <v>10397</v>
      </c>
      <c r="K577" s="800">
        <v>1</v>
      </c>
      <c r="L577" s="802" t="s">
        <v>10398</v>
      </c>
      <c r="M577" s="802" t="s">
        <v>13643</v>
      </c>
      <c r="N577" s="802" t="s">
        <v>13644</v>
      </c>
      <c r="O577" s="802" t="s">
        <v>13645</v>
      </c>
      <c r="P577" s="807" t="s">
        <v>32</v>
      </c>
    </row>
    <row r="578" spans="1:16" s="341" customFormat="1" ht="25.5" customHeight="1">
      <c r="A578" s="806" t="s">
        <v>107</v>
      </c>
      <c r="B578" s="800" t="s">
        <v>84</v>
      </c>
      <c r="C578" s="800" t="s">
        <v>19</v>
      </c>
      <c r="D578" s="800" t="s">
        <v>13646</v>
      </c>
      <c r="E578" s="801">
        <v>43013</v>
      </c>
      <c r="F578" s="800" t="s">
        <v>13628</v>
      </c>
      <c r="G578" s="800" t="s">
        <v>13647</v>
      </c>
      <c r="H578" s="800" t="s">
        <v>10531</v>
      </c>
      <c r="I578" s="800" t="s">
        <v>10531</v>
      </c>
      <c r="J578" s="800" t="s">
        <v>10426</v>
      </c>
      <c r="K578" s="800">
        <v>1</v>
      </c>
      <c r="L578" s="802" t="s">
        <v>10398</v>
      </c>
      <c r="M578" s="802" t="s">
        <v>13648</v>
      </c>
      <c r="N578" s="802" t="s">
        <v>13649</v>
      </c>
      <c r="O578" s="802" t="s">
        <v>13650</v>
      </c>
      <c r="P578" s="807" t="s">
        <v>13651</v>
      </c>
    </row>
    <row r="579" spans="1:16" s="341" customFormat="1" ht="51">
      <c r="A579" s="806" t="s">
        <v>107</v>
      </c>
      <c r="B579" s="800" t="s">
        <v>84</v>
      </c>
      <c r="C579" s="800" t="s">
        <v>6473</v>
      </c>
      <c r="D579" s="800" t="s">
        <v>13652</v>
      </c>
      <c r="E579" s="801">
        <v>43018</v>
      </c>
      <c r="F579" s="800" t="s">
        <v>13653</v>
      </c>
      <c r="G579" s="800" t="s">
        <v>13654</v>
      </c>
      <c r="H579" s="800" t="s">
        <v>10396</v>
      </c>
      <c r="I579" s="800" t="s">
        <v>10396</v>
      </c>
      <c r="J579" s="800" t="s">
        <v>10426</v>
      </c>
      <c r="K579" s="800">
        <v>1</v>
      </c>
      <c r="L579" s="802" t="s">
        <v>10398</v>
      </c>
      <c r="M579" s="802" t="s">
        <v>13655</v>
      </c>
      <c r="N579" s="802" t="s">
        <v>13656</v>
      </c>
      <c r="O579" s="802" t="s">
        <v>13657</v>
      </c>
      <c r="P579" s="807" t="s">
        <v>13658</v>
      </c>
    </row>
    <row r="580" spans="1:16" s="341" customFormat="1" ht="25.5" customHeight="1">
      <c r="A580" s="806" t="s">
        <v>107</v>
      </c>
      <c r="B580" s="800" t="s">
        <v>84</v>
      </c>
      <c r="C580" s="800" t="s">
        <v>6473</v>
      </c>
      <c r="D580" s="800" t="s">
        <v>13659</v>
      </c>
      <c r="E580" s="801">
        <v>43013</v>
      </c>
      <c r="F580" s="800" t="s">
        <v>13660</v>
      </c>
      <c r="G580" s="800" t="s">
        <v>13661</v>
      </c>
      <c r="H580" s="800" t="s">
        <v>10396</v>
      </c>
      <c r="I580" s="800" t="s">
        <v>10396</v>
      </c>
      <c r="J580" s="800" t="s">
        <v>10426</v>
      </c>
      <c r="K580" s="800">
        <v>1</v>
      </c>
      <c r="L580" s="802" t="s">
        <v>10398</v>
      </c>
      <c r="M580" s="802" t="s">
        <v>13662</v>
      </c>
      <c r="N580" s="802" t="s">
        <v>13663</v>
      </c>
      <c r="O580" s="802" t="s">
        <v>13664</v>
      </c>
      <c r="P580" s="807" t="s">
        <v>13665</v>
      </c>
    </row>
    <row r="581" spans="1:16" s="341" customFormat="1" ht="25.5" customHeight="1">
      <c r="A581" s="806" t="s">
        <v>107</v>
      </c>
      <c r="B581" s="800" t="s">
        <v>84</v>
      </c>
      <c r="C581" s="800" t="s">
        <v>6473</v>
      </c>
      <c r="D581" s="800" t="s">
        <v>13666</v>
      </c>
      <c r="E581" s="801">
        <v>43013</v>
      </c>
      <c r="F581" s="800" t="s">
        <v>13660</v>
      </c>
      <c r="G581" s="800" t="s">
        <v>13661</v>
      </c>
      <c r="H581" s="800" t="s">
        <v>10396</v>
      </c>
      <c r="I581" s="800" t="s">
        <v>10396</v>
      </c>
      <c r="J581" s="800" t="s">
        <v>10426</v>
      </c>
      <c r="K581" s="800">
        <v>1</v>
      </c>
      <c r="L581" s="802" t="s">
        <v>10398</v>
      </c>
      <c r="M581" s="802" t="s">
        <v>13667</v>
      </c>
      <c r="N581" s="802" t="s">
        <v>13668</v>
      </c>
      <c r="O581" s="802" t="s">
        <v>13669</v>
      </c>
      <c r="P581" s="807" t="s">
        <v>13670</v>
      </c>
    </row>
    <row r="582" spans="1:16" s="341" customFormat="1" ht="25.5" customHeight="1">
      <c r="A582" s="806" t="s">
        <v>107</v>
      </c>
      <c r="B582" s="800" t="s">
        <v>84</v>
      </c>
      <c r="C582" s="800" t="s">
        <v>6473</v>
      </c>
      <c r="D582" s="800" t="s">
        <v>13671</v>
      </c>
      <c r="E582" s="801">
        <v>43013</v>
      </c>
      <c r="F582" s="800" t="s">
        <v>13672</v>
      </c>
      <c r="G582" s="800" t="s">
        <v>13673</v>
      </c>
      <c r="H582" s="800" t="s">
        <v>10396</v>
      </c>
      <c r="I582" s="800" t="s">
        <v>10396</v>
      </c>
      <c r="J582" s="800" t="s">
        <v>10426</v>
      </c>
      <c r="K582" s="800">
        <v>1</v>
      </c>
      <c r="L582" s="802" t="s">
        <v>10398</v>
      </c>
      <c r="M582" s="802" t="s">
        <v>13674</v>
      </c>
      <c r="N582" s="802" t="s">
        <v>13675</v>
      </c>
      <c r="O582" s="802" t="s">
        <v>13676</v>
      </c>
      <c r="P582" s="807" t="s">
        <v>32</v>
      </c>
    </row>
    <row r="583" spans="1:16" s="341" customFormat="1" ht="25.5" customHeight="1">
      <c r="A583" s="806" t="s">
        <v>107</v>
      </c>
      <c r="B583" s="800" t="s">
        <v>84</v>
      </c>
      <c r="C583" s="800" t="s">
        <v>4032</v>
      </c>
      <c r="D583" s="800" t="s">
        <v>13677</v>
      </c>
      <c r="E583" s="801">
        <v>43019</v>
      </c>
      <c r="F583" s="800" t="s">
        <v>13678</v>
      </c>
      <c r="G583" s="800" t="s">
        <v>13679</v>
      </c>
      <c r="H583" s="800" t="s">
        <v>10531</v>
      </c>
      <c r="I583" s="800" t="s">
        <v>10531</v>
      </c>
      <c r="J583" s="800" t="s">
        <v>10426</v>
      </c>
      <c r="K583" s="800">
        <v>1</v>
      </c>
      <c r="L583" s="802" t="s">
        <v>10398</v>
      </c>
      <c r="M583" s="802" t="s">
        <v>13680</v>
      </c>
      <c r="N583" s="802" t="s">
        <v>13681</v>
      </c>
      <c r="O583" s="802" t="s">
        <v>13682</v>
      </c>
      <c r="P583" s="807" t="s">
        <v>13683</v>
      </c>
    </row>
    <row r="584" spans="1:16" s="341" customFormat="1" ht="25.5" customHeight="1">
      <c r="A584" s="806" t="s">
        <v>107</v>
      </c>
      <c r="B584" s="800" t="s">
        <v>84</v>
      </c>
      <c r="C584" s="800" t="s">
        <v>4032</v>
      </c>
      <c r="D584" s="800" t="s">
        <v>13684</v>
      </c>
      <c r="E584" s="801">
        <v>43019</v>
      </c>
      <c r="F584" s="800" t="s">
        <v>13678</v>
      </c>
      <c r="G584" s="800" t="s">
        <v>13685</v>
      </c>
      <c r="H584" s="800" t="s">
        <v>10531</v>
      </c>
      <c r="I584" s="800" t="s">
        <v>10531</v>
      </c>
      <c r="J584" s="800" t="s">
        <v>10426</v>
      </c>
      <c r="K584" s="800">
        <v>1</v>
      </c>
      <c r="L584" s="802" t="s">
        <v>10398</v>
      </c>
      <c r="M584" s="802" t="s">
        <v>13686</v>
      </c>
      <c r="N584" s="802" t="s">
        <v>13687</v>
      </c>
      <c r="O584" s="802" t="s">
        <v>13682</v>
      </c>
      <c r="P584" s="807" t="s">
        <v>13683</v>
      </c>
    </row>
    <row r="585" spans="1:16" s="341" customFormat="1" ht="25.5" customHeight="1">
      <c r="A585" s="806" t="s">
        <v>107</v>
      </c>
      <c r="B585" s="800" t="s">
        <v>84</v>
      </c>
      <c r="C585" s="800" t="s">
        <v>13688</v>
      </c>
      <c r="D585" s="800" t="s">
        <v>13689</v>
      </c>
      <c r="E585" s="801">
        <v>43013</v>
      </c>
      <c r="F585" s="800" t="s">
        <v>13690</v>
      </c>
      <c r="G585" s="800" t="s">
        <v>13691</v>
      </c>
      <c r="H585" s="800" t="s">
        <v>10433</v>
      </c>
      <c r="I585" s="800" t="s">
        <v>10433</v>
      </c>
      <c r="J585" s="800" t="s">
        <v>10426</v>
      </c>
      <c r="K585" s="800">
        <v>1</v>
      </c>
      <c r="L585" s="802" t="s">
        <v>10398</v>
      </c>
      <c r="M585" s="802" t="s">
        <v>13692</v>
      </c>
      <c r="N585" s="802" t="s">
        <v>13693</v>
      </c>
      <c r="O585" s="802" t="s">
        <v>13694</v>
      </c>
      <c r="P585" s="807" t="s">
        <v>13695</v>
      </c>
    </row>
    <row r="586" spans="1:16" s="341" customFormat="1" ht="38.25" customHeight="1">
      <c r="A586" s="806" t="s">
        <v>107</v>
      </c>
      <c r="B586" s="800" t="s">
        <v>84</v>
      </c>
      <c r="C586" s="800" t="s">
        <v>13688</v>
      </c>
      <c r="D586" s="800" t="s">
        <v>13696</v>
      </c>
      <c r="E586" s="801">
        <v>43013</v>
      </c>
      <c r="F586" s="800" t="s">
        <v>13697</v>
      </c>
      <c r="G586" s="800" t="s">
        <v>13698</v>
      </c>
      <c r="H586" s="800" t="s">
        <v>10396</v>
      </c>
      <c r="I586" s="800" t="s">
        <v>10396</v>
      </c>
      <c r="J586" s="800" t="s">
        <v>10426</v>
      </c>
      <c r="K586" s="800">
        <v>1</v>
      </c>
      <c r="L586" s="802" t="s">
        <v>10398</v>
      </c>
      <c r="M586" s="802" t="s">
        <v>13699</v>
      </c>
      <c r="N586" s="802" t="s">
        <v>13700</v>
      </c>
      <c r="O586" s="802" t="s">
        <v>13701</v>
      </c>
      <c r="P586" s="807" t="s">
        <v>13695</v>
      </c>
    </row>
    <row r="587" spans="1:16" s="341" customFormat="1" ht="25.5" customHeight="1">
      <c r="A587" s="806" t="s">
        <v>107</v>
      </c>
      <c r="B587" s="800" t="s">
        <v>84</v>
      </c>
      <c r="C587" s="800" t="s">
        <v>13688</v>
      </c>
      <c r="D587" s="800" t="s">
        <v>13702</v>
      </c>
      <c r="E587" s="801">
        <v>43013</v>
      </c>
      <c r="F587" s="800" t="s">
        <v>13697</v>
      </c>
      <c r="G587" s="800" t="s">
        <v>13703</v>
      </c>
      <c r="H587" s="800" t="s">
        <v>10433</v>
      </c>
      <c r="I587" s="800" t="s">
        <v>10433</v>
      </c>
      <c r="J587" s="800" t="s">
        <v>10426</v>
      </c>
      <c r="K587" s="800">
        <v>1</v>
      </c>
      <c r="L587" s="802" t="s">
        <v>10398</v>
      </c>
      <c r="M587" s="802" t="s">
        <v>13704</v>
      </c>
      <c r="N587" s="802" t="s">
        <v>13705</v>
      </c>
      <c r="O587" s="802" t="s">
        <v>13706</v>
      </c>
      <c r="P587" s="807" t="s">
        <v>13707</v>
      </c>
    </row>
    <row r="588" spans="1:16" s="341" customFormat="1" ht="15" customHeight="1">
      <c r="A588" s="806" t="s">
        <v>107</v>
      </c>
      <c r="B588" s="800" t="s">
        <v>1764</v>
      </c>
      <c r="C588" s="800" t="s">
        <v>938</v>
      </c>
      <c r="D588" s="800" t="s">
        <v>13708</v>
      </c>
      <c r="E588" s="801">
        <v>43020</v>
      </c>
      <c r="F588" s="800" t="s">
        <v>13366</v>
      </c>
      <c r="G588" s="800" t="s">
        <v>13709</v>
      </c>
      <c r="H588" s="800" t="s">
        <v>10531</v>
      </c>
      <c r="I588" s="800" t="s">
        <v>10531</v>
      </c>
      <c r="J588" s="800" t="s">
        <v>10426</v>
      </c>
      <c r="K588" s="800">
        <v>1</v>
      </c>
      <c r="L588" s="802" t="s">
        <v>10398</v>
      </c>
      <c r="M588" s="802" t="s">
        <v>13710</v>
      </c>
      <c r="N588" s="802" t="s">
        <v>13711</v>
      </c>
      <c r="O588" s="802" t="s">
        <v>13712</v>
      </c>
      <c r="P588" s="807" t="s">
        <v>13713</v>
      </c>
    </row>
    <row r="589" spans="1:16" s="341" customFormat="1" ht="25.5" customHeight="1">
      <c r="A589" s="806" t="s">
        <v>4084</v>
      </c>
      <c r="B589" s="800" t="s">
        <v>4084</v>
      </c>
      <c r="C589" s="800" t="s">
        <v>4085</v>
      </c>
      <c r="D589" s="800" t="s">
        <v>13714</v>
      </c>
      <c r="E589" s="801">
        <v>43028</v>
      </c>
      <c r="F589" s="800" t="s">
        <v>32</v>
      </c>
      <c r="G589" s="800" t="s">
        <v>13715</v>
      </c>
      <c r="H589" s="800" t="s">
        <v>10531</v>
      </c>
      <c r="I589" s="800" t="s">
        <v>10531</v>
      </c>
      <c r="J589" s="800" t="s">
        <v>4342</v>
      </c>
      <c r="K589" s="800">
        <v>1</v>
      </c>
      <c r="L589" s="802" t="s">
        <v>10398</v>
      </c>
      <c r="M589" s="802" t="s">
        <v>13716</v>
      </c>
      <c r="N589" s="802" t="s">
        <v>13717</v>
      </c>
      <c r="O589" s="802" t="s">
        <v>13718</v>
      </c>
      <c r="P589" s="807" t="s">
        <v>13719</v>
      </c>
    </row>
    <row r="590" spans="1:16" s="341" customFormat="1" ht="25.5" customHeight="1">
      <c r="A590" s="806" t="s">
        <v>4084</v>
      </c>
      <c r="B590" s="800" t="s">
        <v>4084</v>
      </c>
      <c r="C590" s="800" t="s">
        <v>4085</v>
      </c>
      <c r="D590" s="800" t="s">
        <v>13720</v>
      </c>
      <c r="E590" s="801">
        <v>43028</v>
      </c>
      <c r="F590" s="800" t="s">
        <v>13721</v>
      </c>
      <c r="G590" s="800" t="s">
        <v>13722</v>
      </c>
      <c r="H590" s="800" t="s">
        <v>10404</v>
      </c>
      <c r="I590" s="800" t="s">
        <v>10404</v>
      </c>
      <c r="J590" s="800" t="s">
        <v>10405</v>
      </c>
      <c r="K590" s="800">
        <v>1</v>
      </c>
      <c r="L590" s="802" t="s">
        <v>10398</v>
      </c>
      <c r="M590" s="802" t="s">
        <v>13723</v>
      </c>
      <c r="N590" s="802" t="s">
        <v>13724</v>
      </c>
      <c r="O590" s="802" t="s">
        <v>13725</v>
      </c>
      <c r="P590" s="807" t="s">
        <v>13726</v>
      </c>
    </row>
    <row r="591" spans="1:16" s="341" customFormat="1" ht="25.5" customHeight="1">
      <c r="A591" s="806" t="s">
        <v>4084</v>
      </c>
      <c r="B591" s="800" t="s">
        <v>4084</v>
      </c>
      <c r="C591" s="800" t="s">
        <v>4085</v>
      </c>
      <c r="D591" s="800" t="s">
        <v>13727</v>
      </c>
      <c r="E591" s="801">
        <v>43028</v>
      </c>
      <c r="F591" s="800" t="s">
        <v>13721</v>
      </c>
      <c r="G591" s="800" t="s">
        <v>13728</v>
      </c>
      <c r="H591" s="800" t="s">
        <v>10404</v>
      </c>
      <c r="I591" s="800" t="s">
        <v>10404</v>
      </c>
      <c r="J591" s="800" t="s">
        <v>10405</v>
      </c>
      <c r="K591" s="800">
        <v>1</v>
      </c>
      <c r="L591" s="802" t="s">
        <v>10398</v>
      </c>
      <c r="M591" s="802" t="s">
        <v>13729</v>
      </c>
      <c r="N591" s="802" t="s">
        <v>13730</v>
      </c>
      <c r="O591" s="802" t="s">
        <v>13731</v>
      </c>
      <c r="P591" s="807" t="s">
        <v>13726</v>
      </c>
    </row>
    <row r="592" spans="1:16" s="341" customFormat="1" ht="25.5" customHeight="1">
      <c r="A592" s="806" t="s">
        <v>4084</v>
      </c>
      <c r="B592" s="800" t="s">
        <v>4084</v>
      </c>
      <c r="C592" s="800" t="s">
        <v>4085</v>
      </c>
      <c r="D592" s="800" t="s">
        <v>13732</v>
      </c>
      <c r="E592" s="801">
        <v>43028</v>
      </c>
      <c r="F592" s="800" t="s">
        <v>13733</v>
      </c>
      <c r="G592" s="800" t="s">
        <v>13734</v>
      </c>
      <c r="H592" s="800" t="s">
        <v>10531</v>
      </c>
      <c r="I592" s="800" t="s">
        <v>10531</v>
      </c>
      <c r="J592" s="800" t="s">
        <v>4342</v>
      </c>
      <c r="K592" s="800">
        <v>1</v>
      </c>
      <c r="L592" s="802" t="s">
        <v>10398</v>
      </c>
      <c r="M592" s="802" t="s">
        <v>13735</v>
      </c>
      <c r="N592" s="802" t="s">
        <v>13736</v>
      </c>
      <c r="O592" s="802" t="s">
        <v>13737</v>
      </c>
      <c r="P592" s="807" t="s">
        <v>13738</v>
      </c>
    </row>
    <row r="593" spans="1:16" s="341" customFormat="1" ht="25.5" customHeight="1">
      <c r="A593" s="806" t="s">
        <v>4084</v>
      </c>
      <c r="B593" s="800" t="s">
        <v>4084</v>
      </c>
      <c r="C593" s="800" t="s">
        <v>4085</v>
      </c>
      <c r="D593" s="800" t="s">
        <v>13739</v>
      </c>
      <c r="E593" s="801">
        <v>43028</v>
      </c>
      <c r="F593" s="800" t="s">
        <v>13721</v>
      </c>
      <c r="G593" s="800" t="s">
        <v>13740</v>
      </c>
      <c r="H593" s="800" t="s">
        <v>10433</v>
      </c>
      <c r="I593" s="800" t="s">
        <v>10433</v>
      </c>
      <c r="J593" s="800" t="s">
        <v>10447</v>
      </c>
      <c r="K593" s="800">
        <v>1</v>
      </c>
      <c r="L593" s="802" t="s">
        <v>10398</v>
      </c>
      <c r="M593" s="802" t="s">
        <v>13741</v>
      </c>
      <c r="N593" s="802" t="s">
        <v>13742</v>
      </c>
      <c r="O593" s="802" t="s">
        <v>13743</v>
      </c>
      <c r="P593" s="807" t="s">
        <v>13744</v>
      </c>
    </row>
    <row r="594" spans="1:16" s="341" customFormat="1" ht="15" customHeight="1">
      <c r="A594" s="806" t="s">
        <v>4084</v>
      </c>
      <c r="B594" s="800" t="s">
        <v>4084</v>
      </c>
      <c r="C594" s="800" t="s">
        <v>4085</v>
      </c>
      <c r="D594" s="800" t="s">
        <v>13745</v>
      </c>
      <c r="E594" s="801">
        <v>43028</v>
      </c>
      <c r="F594" s="800" t="s">
        <v>13746</v>
      </c>
      <c r="G594" s="800" t="s">
        <v>13747</v>
      </c>
      <c r="H594" s="800" t="s">
        <v>10531</v>
      </c>
      <c r="I594" s="800" t="s">
        <v>10531</v>
      </c>
      <c r="J594" s="800" t="s">
        <v>4342</v>
      </c>
      <c r="K594" s="800">
        <v>1</v>
      </c>
      <c r="L594" s="802" t="s">
        <v>10398</v>
      </c>
      <c r="M594" s="802" t="s">
        <v>13748</v>
      </c>
      <c r="N594" s="802" t="s">
        <v>13749</v>
      </c>
      <c r="O594" s="802" t="s">
        <v>13750</v>
      </c>
      <c r="P594" s="807" t="s">
        <v>13751</v>
      </c>
    </row>
    <row r="595" spans="1:16" s="341" customFormat="1" ht="15" customHeight="1">
      <c r="A595" s="806" t="s">
        <v>4084</v>
      </c>
      <c r="B595" s="800" t="s">
        <v>4197</v>
      </c>
      <c r="C595" s="800" t="s">
        <v>19</v>
      </c>
      <c r="D595" s="800" t="s">
        <v>13752</v>
      </c>
      <c r="E595" s="801">
        <v>43060</v>
      </c>
      <c r="F595" s="800" t="s">
        <v>9343</v>
      </c>
      <c r="G595" s="800" t="s">
        <v>13753</v>
      </c>
      <c r="H595" s="800" t="s">
        <v>10404</v>
      </c>
      <c r="I595" s="800" t="s">
        <v>10404</v>
      </c>
      <c r="J595" s="800" t="s">
        <v>10426</v>
      </c>
      <c r="K595" s="800">
        <v>1</v>
      </c>
      <c r="L595" s="802" t="s">
        <v>10398</v>
      </c>
      <c r="M595" s="802" t="s">
        <v>13754</v>
      </c>
      <c r="N595" s="802" t="s">
        <v>11290</v>
      </c>
      <c r="O595" s="802" t="s">
        <v>13755</v>
      </c>
      <c r="P595" s="807" t="s">
        <v>13756</v>
      </c>
    </row>
    <row r="596" spans="1:16" s="341" customFormat="1" ht="15" customHeight="1">
      <c r="A596" s="806" t="s">
        <v>4084</v>
      </c>
      <c r="B596" s="800" t="s">
        <v>4197</v>
      </c>
      <c r="C596" s="800" t="s">
        <v>19</v>
      </c>
      <c r="D596" s="800" t="s">
        <v>13757</v>
      </c>
      <c r="E596" s="801">
        <v>43060</v>
      </c>
      <c r="F596" s="800" t="s">
        <v>9343</v>
      </c>
      <c r="G596" s="800" t="s">
        <v>13758</v>
      </c>
      <c r="H596" s="800" t="s">
        <v>10433</v>
      </c>
      <c r="I596" s="800" t="s">
        <v>10433</v>
      </c>
      <c r="J596" s="800" t="s">
        <v>10447</v>
      </c>
      <c r="K596" s="800">
        <v>1</v>
      </c>
      <c r="L596" s="802" t="s">
        <v>10398</v>
      </c>
      <c r="M596" s="802" t="s">
        <v>13759</v>
      </c>
      <c r="N596" s="802" t="s">
        <v>13760</v>
      </c>
      <c r="O596" s="802" t="s">
        <v>13761</v>
      </c>
      <c r="P596" s="807" t="s">
        <v>13756</v>
      </c>
    </row>
    <row r="597" spans="1:16" s="341" customFormat="1" ht="15" customHeight="1">
      <c r="A597" s="806" t="s">
        <v>4084</v>
      </c>
      <c r="B597" s="800" t="s">
        <v>4197</v>
      </c>
      <c r="C597" s="800" t="s">
        <v>19</v>
      </c>
      <c r="D597" s="800" t="s">
        <v>13762</v>
      </c>
      <c r="E597" s="801">
        <v>43060</v>
      </c>
      <c r="F597" s="800" t="s">
        <v>9343</v>
      </c>
      <c r="G597" s="800" t="s">
        <v>13763</v>
      </c>
      <c r="H597" s="800" t="s">
        <v>10404</v>
      </c>
      <c r="I597" s="800" t="s">
        <v>10404</v>
      </c>
      <c r="J597" s="800" t="s">
        <v>10447</v>
      </c>
      <c r="K597" s="800">
        <v>1</v>
      </c>
      <c r="L597" s="802" t="s">
        <v>10398</v>
      </c>
      <c r="M597" s="802" t="s">
        <v>13764</v>
      </c>
      <c r="N597" s="802" t="s">
        <v>13765</v>
      </c>
      <c r="O597" s="802" t="s">
        <v>13766</v>
      </c>
      <c r="P597" s="807" t="s">
        <v>13756</v>
      </c>
    </row>
    <row r="598" spans="1:16" s="341" customFormat="1" ht="25.5" customHeight="1">
      <c r="A598" s="806" t="s">
        <v>4084</v>
      </c>
      <c r="B598" s="800" t="s">
        <v>4197</v>
      </c>
      <c r="C598" s="800" t="s">
        <v>19</v>
      </c>
      <c r="D598" s="800" t="s">
        <v>13767</v>
      </c>
      <c r="E598" s="801">
        <v>43060</v>
      </c>
      <c r="F598" s="800" t="s">
        <v>9343</v>
      </c>
      <c r="G598" s="800" t="s">
        <v>13768</v>
      </c>
      <c r="H598" s="800" t="s">
        <v>10404</v>
      </c>
      <c r="I598" s="800" t="s">
        <v>10404</v>
      </c>
      <c r="J598" s="800" t="s">
        <v>10447</v>
      </c>
      <c r="K598" s="800">
        <v>1</v>
      </c>
      <c r="L598" s="802" t="s">
        <v>10398</v>
      </c>
      <c r="M598" s="802" t="s">
        <v>13769</v>
      </c>
      <c r="N598" s="802" t="s">
        <v>10648</v>
      </c>
      <c r="O598" s="802" t="s">
        <v>13761</v>
      </c>
      <c r="P598" s="807" t="s">
        <v>13756</v>
      </c>
    </row>
    <row r="599" spans="1:16" s="341" customFormat="1" ht="15" customHeight="1">
      <c r="A599" s="806" t="s">
        <v>109</v>
      </c>
      <c r="B599" s="800" t="s">
        <v>4526</v>
      </c>
      <c r="C599" s="800" t="s">
        <v>10392</v>
      </c>
      <c r="D599" s="800" t="s">
        <v>13770</v>
      </c>
      <c r="E599" s="801">
        <v>43069</v>
      </c>
      <c r="F599" s="800" t="s">
        <v>13771</v>
      </c>
      <c r="G599" s="800" t="s">
        <v>13771</v>
      </c>
      <c r="H599" s="800" t="s">
        <v>10404</v>
      </c>
      <c r="I599" s="800" t="s">
        <v>10404</v>
      </c>
      <c r="J599" s="800" t="s">
        <v>10664</v>
      </c>
      <c r="K599" s="800">
        <v>1</v>
      </c>
      <c r="L599" s="802" t="s">
        <v>10605</v>
      </c>
      <c r="M599" s="802" t="s">
        <v>32</v>
      </c>
      <c r="N599" s="802" t="s">
        <v>13238</v>
      </c>
      <c r="O599" s="802" t="s">
        <v>13772</v>
      </c>
      <c r="P599" s="807" t="s">
        <v>32</v>
      </c>
    </row>
    <row r="600" spans="1:16" s="341" customFormat="1" ht="25.5" customHeight="1">
      <c r="A600" s="806" t="s">
        <v>109</v>
      </c>
      <c r="B600" s="800" t="s">
        <v>4526</v>
      </c>
      <c r="C600" s="800" t="s">
        <v>1753</v>
      </c>
      <c r="D600" s="800" t="s">
        <v>13773</v>
      </c>
      <c r="E600" s="801">
        <v>43069</v>
      </c>
      <c r="F600" s="800" t="s">
        <v>13774</v>
      </c>
      <c r="G600" s="800" t="s">
        <v>13775</v>
      </c>
      <c r="H600" s="800" t="s">
        <v>10404</v>
      </c>
      <c r="I600" s="800" t="s">
        <v>10404</v>
      </c>
      <c r="J600" s="800" t="s">
        <v>10447</v>
      </c>
      <c r="K600" s="800">
        <v>1</v>
      </c>
      <c r="L600" s="802" t="s">
        <v>10398</v>
      </c>
      <c r="M600" s="802" t="s">
        <v>13776</v>
      </c>
      <c r="N600" s="802" t="s">
        <v>13777</v>
      </c>
      <c r="O600" s="802" t="s">
        <v>13778</v>
      </c>
      <c r="P600" s="807" t="s">
        <v>13779</v>
      </c>
    </row>
    <row r="601" spans="1:16" s="341" customFormat="1" ht="38.25" customHeight="1">
      <c r="A601" s="806" t="s">
        <v>109</v>
      </c>
      <c r="B601" s="800" t="s">
        <v>4526</v>
      </c>
      <c r="C601" s="800" t="s">
        <v>1753</v>
      </c>
      <c r="D601" s="800" t="s">
        <v>13780</v>
      </c>
      <c r="E601" s="801">
        <v>43068</v>
      </c>
      <c r="F601" s="800" t="s">
        <v>13781</v>
      </c>
      <c r="G601" s="800" t="s">
        <v>13782</v>
      </c>
      <c r="H601" s="800" t="s">
        <v>10433</v>
      </c>
      <c r="I601" s="800" t="s">
        <v>10433</v>
      </c>
      <c r="J601" s="800" t="s">
        <v>10447</v>
      </c>
      <c r="K601" s="800">
        <v>1</v>
      </c>
      <c r="L601" s="802" t="s">
        <v>10398</v>
      </c>
      <c r="M601" s="802" t="s">
        <v>13783</v>
      </c>
      <c r="N601" s="802" t="s">
        <v>13784</v>
      </c>
      <c r="O601" s="802" t="s">
        <v>13785</v>
      </c>
      <c r="P601" s="807" t="s">
        <v>13786</v>
      </c>
    </row>
    <row r="602" spans="1:16" s="341" customFormat="1" ht="15" customHeight="1">
      <c r="A602" s="806" t="s">
        <v>109</v>
      </c>
      <c r="B602" s="800" t="s">
        <v>4526</v>
      </c>
      <c r="C602" s="800" t="s">
        <v>1753</v>
      </c>
      <c r="D602" s="800" t="s">
        <v>13787</v>
      </c>
      <c r="E602" s="801">
        <v>43068</v>
      </c>
      <c r="F602" s="800" t="s">
        <v>1650</v>
      </c>
      <c r="G602" s="800" t="s">
        <v>13788</v>
      </c>
      <c r="H602" s="800" t="s">
        <v>10433</v>
      </c>
      <c r="I602" s="800" t="s">
        <v>10433</v>
      </c>
      <c r="J602" s="800" t="s">
        <v>10447</v>
      </c>
      <c r="K602" s="800">
        <v>1</v>
      </c>
      <c r="L602" s="802" t="s">
        <v>10398</v>
      </c>
      <c r="M602" s="802" t="s">
        <v>13789</v>
      </c>
      <c r="N602" s="802" t="s">
        <v>13790</v>
      </c>
      <c r="O602" s="802" t="s">
        <v>13791</v>
      </c>
      <c r="P602" s="807" t="s">
        <v>13792</v>
      </c>
    </row>
    <row r="603" spans="1:16" s="341" customFormat="1" ht="38.25" customHeight="1">
      <c r="A603" s="806" t="s">
        <v>109</v>
      </c>
      <c r="B603" s="800" t="s">
        <v>4526</v>
      </c>
      <c r="C603" s="800" t="s">
        <v>1753</v>
      </c>
      <c r="D603" s="800" t="s">
        <v>13793</v>
      </c>
      <c r="E603" s="801">
        <v>43039</v>
      </c>
      <c r="F603" s="800" t="s">
        <v>813</v>
      </c>
      <c r="G603" s="800" t="s">
        <v>13794</v>
      </c>
      <c r="H603" s="800" t="s">
        <v>10396</v>
      </c>
      <c r="I603" s="800" t="s">
        <v>10396</v>
      </c>
      <c r="J603" s="800" t="s">
        <v>10426</v>
      </c>
      <c r="K603" s="800">
        <v>1</v>
      </c>
      <c r="L603" s="802" t="s">
        <v>10398</v>
      </c>
      <c r="M603" s="802" t="s">
        <v>13795</v>
      </c>
      <c r="N603" s="802" t="s">
        <v>13796</v>
      </c>
      <c r="O603" s="802" t="s">
        <v>13797</v>
      </c>
      <c r="P603" s="807" t="s">
        <v>13798</v>
      </c>
    </row>
    <row r="604" spans="1:16" s="341" customFormat="1" ht="15" customHeight="1">
      <c r="A604" s="806" t="s">
        <v>109</v>
      </c>
      <c r="B604" s="800" t="s">
        <v>4526</v>
      </c>
      <c r="C604" s="800" t="s">
        <v>1753</v>
      </c>
      <c r="D604" s="800" t="s">
        <v>13799</v>
      </c>
      <c r="E604" s="801">
        <v>43039</v>
      </c>
      <c r="F604" s="800" t="s">
        <v>813</v>
      </c>
      <c r="G604" s="800" t="s">
        <v>13800</v>
      </c>
      <c r="H604" s="800" t="s">
        <v>10433</v>
      </c>
      <c r="I604" s="800" t="s">
        <v>10433</v>
      </c>
      <c r="J604" s="800" t="s">
        <v>10447</v>
      </c>
      <c r="K604" s="800">
        <v>1</v>
      </c>
      <c r="L604" s="802" t="s">
        <v>10398</v>
      </c>
      <c r="M604" s="802" t="s">
        <v>13801</v>
      </c>
      <c r="N604" s="802" t="s">
        <v>13802</v>
      </c>
      <c r="O604" s="802" t="s">
        <v>13803</v>
      </c>
      <c r="P604" s="807" t="s">
        <v>13804</v>
      </c>
    </row>
    <row r="605" spans="1:16" s="341" customFormat="1" ht="25.5" customHeight="1">
      <c r="A605" s="806" t="s">
        <v>109</v>
      </c>
      <c r="B605" s="800" t="s">
        <v>4526</v>
      </c>
      <c r="C605" s="800" t="s">
        <v>1753</v>
      </c>
      <c r="D605" s="800" t="s">
        <v>13805</v>
      </c>
      <c r="E605" s="801">
        <v>43039</v>
      </c>
      <c r="F605" s="800" t="s">
        <v>813</v>
      </c>
      <c r="G605" s="800" t="s">
        <v>13806</v>
      </c>
      <c r="H605" s="800" t="s">
        <v>10396</v>
      </c>
      <c r="I605" s="800" t="s">
        <v>10396</v>
      </c>
      <c r="J605" s="800" t="s">
        <v>10447</v>
      </c>
      <c r="K605" s="800">
        <v>1</v>
      </c>
      <c r="L605" s="802" t="s">
        <v>10398</v>
      </c>
      <c r="M605" s="802" t="s">
        <v>13807</v>
      </c>
      <c r="N605" s="802" t="s">
        <v>13808</v>
      </c>
      <c r="O605" s="802" t="s">
        <v>13809</v>
      </c>
      <c r="P605" s="807" t="s">
        <v>13804</v>
      </c>
    </row>
    <row r="606" spans="1:16" s="341" customFormat="1" ht="25.5" customHeight="1">
      <c r="A606" s="806" t="s">
        <v>109</v>
      </c>
      <c r="B606" s="800" t="s">
        <v>4526</v>
      </c>
      <c r="C606" s="800" t="s">
        <v>1753</v>
      </c>
      <c r="D606" s="800" t="s">
        <v>13810</v>
      </c>
      <c r="E606" s="801">
        <v>43038</v>
      </c>
      <c r="F606" s="800" t="s">
        <v>1650</v>
      </c>
      <c r="G606" s="800" t="s">
        <v>13811</v>
      </c>
      <c r="H606" s="800" t="s">
        <v>10404</v>
      </c>
      <c r="I606" s="800" t="s">
        <v>10404</v>
      </c>
      <c r="J606" s="800" t="s">
        <v>10405</v>
      </c>
      <c r="K606" s="800">
        <v>1</v>
      </c>
      <c r="L606" s="802" t="s">
        <v>10398</v>
      </c>
      <c r="M606" s="802" t="s">
        <v>13812</v>
      </c>
      <c r="N606" s="802" t="s">
        <v>13813</v>
      </c>
      <c r="O606" s="802" t="s">
        <v>13814</v>
      </c>
      <c r="P606" s="807" t="s">
        <v>13815</v>
      </c>
    </row>
    <row r="607" spans="1:16" s="341" customFormat="1" ht="15" customHeight="1">
      <c r="A607" s="806" t="s">
        <v>109</v>
      </c>
      <c r="B607" s="800" t="s">
        <v>4526</v>
      </c>
      <c r="C607" s="800" t="s">
        <v>1753</v>
      </c>
      <c r="D607" s="800" t="s">
        <v>13816</v>
      </c>
      <c r="E607" s="801">
        <v>43038</v>
      </c>
      <c r="F607" s="800" t="s">
        <v>13781</v>
      </c>
      <c r="G607" s="800" t="s">
        <v>13817</v>
      </c>
      <c r="H607" s="800" t="s">
        <v>10404</v>
      </c>
      <c r="I607" s="800" t="s">
        <v>10404</v>
      </c>
      <c r="J607" s="800" t="s">
        <v>10447</v>
      </c>
      <c r="K607" s="800">
        <v>1</v>
      </c>
      <c r="L607" s="802" t="s">
        <v>10398</v>
      </c>
      <c r="M607" s="802" t="s">
        <v>13818</v>
      </c>
      <c r="N607" s="802" t="s">
        <v>13819</v>
      </c>
      <c r="O607" s="802" t="s">
        <v>13820</v>
      </c>
      <c r="P607" s="807" t="s">
        <v>13821</v>
      </c>
    </row>
    <row r="608" spans="1:16" s="341" customFormat="1" ht="15" customHeight="1">
      <c r="A608" s="806" t="s">
        <v>109</v>
      </c>
      <c r="B608" s="800" t="s">
        <v>4526</v>
      </c>
      <c r="C608" s="800" t="s">
        <v>1753</v>
      </c>
      <c r="D608" s="800" t="s">
        <v>13822</v>
      </c>
      <c r="E608" s="801">
        <v>43038</v>
      </c>
      <c r="F608" s="800" t="s">
        <v>13823</v>
      </c>
      <c r="G608" s="800" t="s">
        <v>13824</v>
      </c>
      <c r="H608" s="800" t="s">
        <v>10404</v>
      </c>
      <c r="I608" s="800" t="s">
        <v>10404</v>
      </c>
      <c r="J608" s="800" t="s">
        <v>10426</v>
      </c>
      <c r="K608" s="800">
        <v>1</v>
      </c>
      <c r="L608" s="802" t="s">
        <v>10398</v>
      </c>
      <c r="M608" s="802" t="s">
        <v>13825</v>
      </c>
      <c r="N608" s="802" t="s">
        <v>10749</v>
      </c>
      <c r="O608" s="802" t="s">
        <v>13826</v>
      </c>
      <c r="P608" s="807" t="s">
        <v>13827</v>
      </c>
    </row>
    <row r="609" spans="1:16" s="341" customFormat="1" ht="15" customHeight="1">
      <c r="A609" s="806" t="s">
        <v>109</v>
      </c>
      <c r="B609" s="800" t="s">
        <v>4526</v>
      </c>
      <c r="C609" s="800" t="s">
        <v>1753</v>
      </c>
      <c r="D609" s="800" t="s">
        <v>13828</v>
      </c>
      <c r="E609" s="801">
        <v>43039</v>
      </c>
      <c r="F609" s="800" t="s">
        <v>813</v>
      </c>
      <c r="G609" s="800" t="s">
        <v>13829</v>
      </c>
      <c r="H609" s="800" t="s">
        <v>10396</v>
      </c>
      <c r="I609" s="800" t="s">
        <v>10396</v>
      </c>
      <c r="J609" s="800" t="s">
        <v>10426</v>
      </c>
      <c r="K609" s="800">
        <v>1</v>
      </c>
      <c r="L609" s="802" t="s">
        <v>10398</v>
      </c>
      <c r="M609" s="802" t="s">
        <v>13830</v>
      </c>
      <c r="N609" s="802" t="s">
        <v>13831</v>
      </c>
      <c r="O609" s="802" t="s">
        <v>13832</v>
      </c>
      <c r="P609" s="807" t="s">
        <v>13833</v>
      </c>
    </row>
    <row r="610" spans="1:16" s="341" customFormat="1" ht="15" customHeight="1">
      <c r="A610" s="806" t="s">
        <v>109</v>
      </c>
      <c r="B610" s="800" t="s">
        <v>4526</v>
      </c>
      <c r="C610" s="800" t="s">
        <v>1753</v>
      </c>
      <c r="D610" s="800" t="s">
        <v>13834</v>
      </c>
      <c r="E610" s="801">
        <v>43038</v>
      </c>
      <c r="F610" s="800" t="s">
        <v>13835</v>
      </c>
      <c r="G610" s="800" t="s">
        <v>13836</v>
      </c>
      <c r="H610" s="800" t="s">
        <v>10433</v>
      </c>
      <c r="I610" s="800" t="s">
        <v>10433</v>
      </c>
      <c r="J610" s="800" t="s">
        <v>10447</v>
      </c>
      <c r="K610" s="800">
        <v>1</v>
      </c>
      <c r="L610" s="802" t="s">
        <v>10398</v>
      </c>
      <c r="M610" s="802" t="s">
        <v>13837</v>
      </c>
      <c r="N610" s="802" t="s">
        <v>13838</v>
      </c>
      <c r="O610" s="802" t="s">
        <v>13839</v>
      </c>
      <c r="P610" s="807" t="s">
        <v>13840</v>
      </c>
    </row>
    <row r="611" spans="1:16" s="341" customFormat="1" ht="15" customHeight="1">
      <c r="A611" s="806" t="s">
        <v>109</v>
      </c>
      <c r="B611" s="800" t="s">
        <v>4526</v>
      </c>
      <c r="C611" s="800" t="s">
        <v>1753</v>
      </c>
      <c r="D611" s="800" t="s">
        <v>13841</v>
      </c>
      <c r="E611" s="801">
        <v>43038</v>
      </c>
      <c r="F611" s="800" t="s">
        <v>13835</v>
      </c>
      <c r="G611" s="800" t="s">
        <v>13842</v>
      </c>
      <c r="H611" s="800" t="s">
        <v>10433</v>
      </c>
      <c r="I611" s="800" t="s">
        <v>10433</v>
      </c>
      <c r="J611" s="800" t="s">
        <v>10447</v>
      </c>
      <c r="K611" s="800">
        <v>1</v>
      </c>
      <c r="L611" s="802" t="s">
        <v>10398</v>
      </c>
      <c r="M611" s="802" t="s">
        <v>13843</v>
      </c>
      <c r="N611" s="802" t="s">
        <v>11996</v>
      </c>
      <c r="O611" s="802" t="s">
        <v>13844</v>
      </c>
      <c r="P611" s="807" t="s">
        <v>13845</v>
      </c>
    </row>
    <row r="612" spans="1:16" s="341" customFormat="1" ht="15" customHeight="1">
      <c r="A612" s="806" t="s">
        <v>109</v>
      </c>
      <c r="B612" s="800" t="s">
        <v>4526</v>
      </c>
      <c r="C612" s="800" t="s">
        <v>1753</v>
      </c>
      <c r="D612" s="800" t="s">
        <v>13846</v>
      </c>
      <c r="E612" s="801">
        <v>43038</v>
      </c>
      <c r="F612" s="800" t="s">
        <v>13835</v>
      </c>
      <c r="G612" s="800" t="s">
        <v>13847</v>
      </c>
      <c r="H612" s="800" t="s">
        <v>10433</v>
      </c>
      <c r="I612" s="800" t="s">
        <v>10433</v>
      </c>
      <c r="J612" s="800" t="s">
        <v>10447</v>
      </c>
      <c r="K612" s="800">
        <v>1</v>
      </c>
      <c r="L612" s="802" t="s">
        <v>10398</v>
      </c>
      <c r="M612" s="802" t="s">
        <v>13848</v>
      </c>
      <c r="N612" s="802" t="s">
        <v>13849</v>
      </c>
      <c r="O612" s="802" t="s">
        <v>13850</v>
      </c>
      <c r="P612" s="807" t="s">
        <v>13851</v>
      </c>
    </row>
    <row r="613" spans="1:16" s="341" customFormat="1" ht="15" customHeight="1">
      <c r="A613" s="806" t="s">
        <v>109</v>
      </c>
      <c r="B613" s="800" t="s">
        <v>4526</v>
      </c>
      <c r="C613" s="800" t="s">
        <v>938</v>
      </c>
      <c r="D613" s="800" t="s">
        <v>13852</v>
      </c>
      <c r="E613" s="801">
        <v>43045</v>
      </c>
      <c r="F613" s="800" t="s">
        <v>13853</v>
      </c>
      <c r="G613" s="800" t="s">
        <v>13854</v>
      </c>
      <c r="H613" s="800" t="s">
        <v>10433</v>
      </c>
      <c r="I613" s="800" t="s">
        <v>10433</v>
      </c>
      <c r="J613" s="800" t="s">
        <v>10447</v>
      </c>
      <c r="K613" s="800">
        <v>1</v>
      </c>
      <c r="L613" s="802" t="s">
        <v>10398</v>
      </c>
      <c r="M613" s="802" t="s">
        <v>13855</v>
      </c>
      <c r="N613" s="802" t="s">
        <v>11799</v>
      </c>
      <c r="O613" s="802" t="s">
        <v>13856</v>
      </c>
      <c r="P613" s="807" t="s">
        <v>32</v>
      </c>
    </row>
    <row r="614" spans="1:16" s="341" customFormat="1" ht="15" customHeight="1">
      <c r="A614" s="806" t="s">
        <v>109</v>
      </c>
      <c r="B614" s="800" t="s">
        <v>4526</v>
      </c>
      <c r="C614" s="800" t="s">
        <v>938</v>
      </c>
      <c r="D614" s="800" t="s">
        <v>13857</v>
      </c>
      <c r="E614" s="801">
        <v>43045</v>
      </c>
      <c r="F614" s="800" t="s">
        <v>13858</v>
      </c>
      <c r="G614" s="800" t="s">
        <v>13859</v>
      </c>
      <c r="H614" s="800" t="s">
        <v>10396</v>
      </c>
      <c r="I614" s="800" t="s">
        <v>10396</v>
      </c>
      <c r="J614" s="800" t="s">
        <v>10447</v>
      </c>
      <c r="K614" s="800">
        <v>1</v>
      </c>
      <c r="L614" s="802" t="s">
        <v>11026</v>
      </c>
      <c r="M614" s="802" t="s">
        <v>13860</v>
      </c>
      <c r="N614" s="802" t="s">
        <v>13861</v>
      </c>
      <c r="O614" s="802" t="s">
        <v>13862</v>
      </c>
      <c r="P614" s="807" t="s">
        <v>32</v>
      </c>
    </row>
    <row r="615" spans="1:16" s="341" customFormat="1" ht="15" customHeight="1">
      <c r="A615" s="806" t="s">
        <v>109</v>
      </c>
      <c r="B615" s="800" t="s">
        <v>4526</v>
      </c>
      <c r="C615" s="800" t="s">
        <v>938</v>
      </c>
      <c r="D615" s="800" t="s">
        <v>13863</v>
      </c>
      <c r="E615" s="801">
        <v>43045</v>
      </c>
      <c r="F615" s="800" t="s">
        <v>13858</v>
      </c>
      <c r="G615" s="800" t="s">
        <v>13864</v>
      </c>
      <c r="H615" s="800" t="s">
        <v>10396</v>
      </c>
      <c r="I615" s="800" t="s">
        <v>10396</v>
      </c>
      <c r="J615" s="800" t="s">
        <v>10447</v>
      </c>
      <c r="K615" s="800">
        <v>1</v>
      </c>
      <c r="L615" s="802" t="s">
        <v>10398</v>
      </c>
      <c r="M615" s="802" t="s">
        <v>13865</v>
      </c>
      <c r="N615" s="802" t="s">
        <v>13866</v>
      </c>
      <c r="O615" s="802" t="s">
        <v>13867</v>
      </c>
      <c r="P615" s="807" t="s">
        <v>13868</v>
      </c>
    </row>
    <row r="616" spans="1:16" s="341" customFormat="1" ht="25.5" customHeight="1">
      <c r="A616" s="806" t="s">
        <v>109</v>
      </c>
      <c r="B616" s="800" t="s">
        <v>4526</v>
      </c>
      <c r="C616" s="800" t="s">
        <v>9395</v>
      </c>
      <c r="D616" s="800" t="s">
        <v>13869</v>
      </c>
      <c r="E616" s="801">
        <v>43046</v>
      </c>
      <c r="F616" s="800" t="s">
        <v>1706</v>
      </c>
      <c r="G616" s="800" t="s">
        <v>13870</v>
      </c>
      <c r="H616" s="800" t="s">
        <v>10433</v>
      </c>
      <c r="I616" s="800" t="s">
        <v>10433</v>
      </c>
      <c r="J616" s="800" t="s">
        <v>10447</v>
      </c>
      <c r="K616" s="800">
        <v>1</v>
      </c>
      <c r="L616" s="802" t="s">
        <v>10398</v>
      </c>
      <c r="M616" s="802" t="s">
        <v>13871</v>
      </c>
      <c r="N616" s="802" t="s">
        <v>13872</v>
      </c>
      <c r="O616" s="802" t="s">
        <v>13873</v>
      </c>
      <c r="P616" s="807" t="s">
        <v>13874</v>
      </c>
    </row>
    <row r="617" spans="1:16" s="341" customFormat="1" ht="25.5" customHeight="1">
      <c r="A617" s="806" t="s">
        <v>109</v>
      </c>
      <c r="B617" s="800" t="s">
        <v>4526</v>
      </c>
      <c r="C617" s="800" t="s">
        <v>9395</v>
      </c>
      <c r="D617" s="800" t="s">
        <v>13875</v>
      </c>
      <c r="E617" s="801">
        <v>43069</v>
      </c>
      <c r="F617" s="800" t="s">
        <v>13876</v>
      </c>
      <c r="G617" s="800" t="s">
        <v>13877</v>
      </c>
      <c r="H617" s="800" t="s">
        <v>10433</v>
      </c>
      <c r="I617" s="800" t="s">
        <v>10433</v>
      </c>
      <c r="J617" s="800" t="s">
        <v>10447</v>
      </c>
      <c r="K617" s="800">
        <v>1</v>
      </c>
      <c r="L617" s="802" t="s">
        <v>10398</v>
      </c>
      <c r="M617" s="802" t="s">
        <v>13878</v>
      </c>
      <c r="N617" s="802" t="s">
        <v>13879</v>
      </c>
      <c r="O617" s="802" t="s">
        <v>13880</v>
      </c>
      <c r="P617" s="807" t="s">
        <v>32</v>
      </c>
    </row>
    <row r="618" spans="1:16" s="341" customFormat="1" ht="25.5" customHeight="1">
      <c r="A618" s="806" t="s">
        <v>109</v>
      </c>
      <c r="B618" s="800" t="s">
        <v>4526</v>
      </c>
      <c r="C618" s="800" t="s">
        <v>9395</v>
      </c>
      <c r="D618" s="800" t="s">
        <v>13881</v>
      </c>
      <c r="E618" s="801">
        <v>43068</v>
      </c>
      <c r="F618" s="800" t="s">
        <v>13882</v>
      </c>
      <c r="G618" s="800" t="s">
        <v>13883</v>
      </c>
      <c r="H618" s="800" t="s">
        <v>10396</v>
      </c>
      <c r="I618" s="800" t="s">
        <v>10396</v>
      </c>
      <c r="J618" s="800" t="s">
        <v>10426</v>
      </c>
      <c r="K618" s="800">
        <v>1</v>
      </c>
      <c r="L618" s="802" t="s">
        <v>10398</v>
      </c>
      <c r="M618" s="802" t="s">
        <v>13884</v>
      </c>
      <c r="N618" s="802" t="s">
        <v>13885</v>
      </c>
      <c r="O618" s="802" t="s">
        <v>13886</v>
      </c>
      <c r="P618" s="807" t="s">
        <v>32</v>
      </c>
    </row>
    <row r="619" spans="1:16" s="341" customFormat="1" ht="15" customHeight="1">
      <c r="A619" s="806" t="s">
        <v>109</v>
      </c>
      <c r="B619" s="800" t="s">
        <v>4526</v>
      </c>
      <c r="C619" s="800" t="s">
        <v>9395</v>
      </c>
      <c r="D619" s="800" t="s">
        <v>13887</v>
      </c>
      <c r="E619" s="801">
        <v>43068</v>
      </c>
      <c r="F619" s="800" t="s">
        <v>13882</v>
      </c>
      <c r="G619" s="800" t="s">
        <v>13888</v>
      </c>
      <c r="H619" s="800" t="s">
        <v>10404</v>
      </c>
      <c r="I619" s="800" t="s">
        <v>10404</v>
      </c>
      <c r="J619" s="800" t="s">
        <v>10447</v>
      </c>
      <c r="K619" s="800">
        <v>1</v>
      </c>
      <c r="L619" s="802" t="s">
        <v>10605</v>
      </c>
      <c r="M619" s="802" t="s">
        <v>32</v>
      </c>
      <c r="N619" s="802" t="s">
        <v>13889</v>
      </c>
      <c r="O619" s="802" t="s">
        <v>13890</v>
      </c>
      <c r="P619" s="807" t="s">
        <v>13891</v>
      </c>
    </row>
    <row r="620" spans="1:16" s="341" customFormat="1" ht="15" customHeight="1">
      <c r="A620" s="806" t="s">
        <v>109</v>
      </c>
      <c r="B620" s="800" t="s">
        <v>4526</v>
      </c>
      <c r="C620" s="800" t="s">
        <v>9395</v>
      </c>
      <c r="D620" s="800" t="s">
        <v>13892</v>
      </c>
      <c r="E620" s="801">
        <v>43046</v>
      </c>
      <c r="F620" s="800" t="s">
        <v>1706</v>
      </c>
      <c r="G620" s="800" t="s">
        <v>13893</v>
      </c>
      <c r="H620" s="800" t="s">
        <v>10433</v>
      </c>
      <c r="I620" s="800" t="s">
        <v>10433</v>
      </c>
      <c r="J620" s="800" t="s">
        <v>10447</v>
      </c>
      <c r="K620" s="800">
        <v>1</v>
      </c>
      <c r="L620" s="802" t="s">
        <v>10398</v>
      </c>
      <c r="M620" s="802" t="s">
        <v>13894</v>
      </c>
      <c r="N620" s="802" t="s">
        <v>11933</v>
      </c>
      <c r="O620" s="802" t="s">
        <v>13895</v>
      </c>
      <c r="P620" s="807" t="s">
        <v>13896</v>
      </c>
    </row>
    <row r="621" spans="1:16" s="341" customFormat="1" ht="15" customHeight="1">
      <c r="A621" s="806" t="s">
        <v>109</v>
      </c>
      <c r="B621" s="800" t="s">
        <v>4526</v>
      </c>
      <c r="C621" s="800" t="s">
        <v>9395</v>
      </c>
      <c r="D621" s="800" t="s">
        <v>13897</v>
      </c>
      <c r="E621" s="801">
        <v>43047</v>
      </c>
      <c r="F621" s="800" t="s">
        <v>13898</v>
      </c>
      <c r="G621" s="800" t="s">
        <v>13899</v>
      </c>
      <c r="H621" s="800" t="s">
        <v>10433</v>
      </c>
      <c r="I621" s="800" t="s">
        <v>10433</v>
      </c>
      <c r="J621" s="800" t="s">
        <v>10664</v>
      </c>
      <c r="K621" s="800">
        <v>1</v>
      </c>
      <c r="L621" s="802" t="s">
        <v>10398</v>
      </c>
      <c r="M621" s="802" t="s">
        <v>13900</v>
      </c>
      <c r="N621" s="802" t="s">
        <v>13901</v>
      </c>
      <c r="O621" s="802" t="s">
        <v>13902</v>
      </c>
      <c r="P621" s="807" t="s">
        <v>13903</v>
      </c>
    </row>
    <row r="622" spans="1:16" s="341" customFormat="1" ht="25.5" customHeight="1">
      <c r="A622" s="806" t="s">
        <v>109</v>
      </c>
      <c r="B622" s="800" t="s">
        <v>4526</v>
      </c>
      <c r="C622" s="800" t="s">
        <v>9395</v>
      </c>
      <c r="D622" s="800" t="s">
        <v>13904</v>
      </c>
      <c r="E622" s="801">
        <v>43046</v>
      </c>
      <c r="F622" s="800" t="s">
        <v>6044</v>
      </c>
      <c r="G622" s="800" t="s">
        <v>13905</v>
      </c>
      <c r="H622" s="800" t="s">
        <v>10433</v>
      </c>
      <c r="I622" s="800" t="s">
        <v>10433</v>
      </c>
      <c r="J622" s="800" t="s">
        <v>10447</v>
      </c>
      <c r="K622" s="800">
        <v>1</v>
      </c>
      <c r="L622" s="802" t="s">
        <v>10398</v>
      </c>
      <c r="M622" s="802" t="s">
        <v>13906</v>
      </c>
      <c r="N622" s="802" t="s">
        <v>13907</v>
      </c>
      <c r="O622" s="802" t="s">
        <v>13908</v>
      </c>
      <c r="P622" s="807" t="s">
        <v>13909</v>
      </c>
    </row>
    <row r="623" spans="1:16" s="341" customFormat="1" ht="25.5" customHeight="1">
      <c r="A623" s="806" t="s">
        <v>109</v>
      </c>
      <c r="B623" s="800" t="s">
        <v>4526</v>
      </c>
      <c r="C623" s="800" t="s">
        <v>9395</v>
      </c>
      <c r="D623" s="800" t="s">
        <v>13910</v>
      </c>
      <c r="E623" s="801">
        <v>43054</v>
      </c>
      <c r="F623" s="800" t="s">
        <v>13911</v>
      </c>
      <c r="G623" s="800" t="s">
        <v>13912</v>
      </c>
      <c r="H623" s="800" t="s">
        <v>10531</v>
      </c>
      <c r="I623" s="800" t="s">
        <v>10531</v>
      </c>
      <c r="J623" s="800" t="s">
        <v>10664</v>
      </c>
      <c r="K623" s="800">
        <v>1</v>
      </c>
      <c r="L623" s="802" t="s">
        <v>10398</v>
      </c>
      <c r="M623" s="802" t="s">
        <v>13913</v>
      </c>
      <c r="N623" s="802" t="s">
        <v>13914</v>
      </c>
      <c r="O623" s="802" t="s">
        <v>13915</v>
      </c>
      <c r="P623" s="807" t="s">
        <v>13916</v>
      </c>
    </row>
    <row r="624" spans="1:16" s="341" customFormat="1" ht="15" customHeight="1">
      <c r="A624" s="806" t="s">
        <v>109</v>
      </c>
      <c r="B624" s="800" t="s">
        <v>4526</v>
      </c>
      <c r="C624" s="800" t="s">
        <v>9395</v>
      </c>
      <c r="D624" s="800" t="s">
        <v>13917</v>
      </c>
      <c r="E624" s="801">
        <v>43054</v>
      </c>
      <c r="F624" s="800" t="s">
        <v>13911</v>
      </c>
      <c r="G624" s="800" t="s">
        <v>13918</v>
      </c>
      <c r="H624" s="800" t="s">
        <v>10531</v>
      </c>
      <c r="I624" s="800" t="s">
        <v>10531</v>
      </c>
      <c r="J624" s="800" t="s">
        <v>10664</v>
      </c>
      <c r="K624" s="800">
        <v>1</v>
      </c>
      <c r="L624" s="802" t="s">
        <v>10398</v>
      </c>
      <c r="M624" s="802" t="s">
        <v>13919</v>
      </c>
      <c r="N624" s="802" t="s">
        <v>10520</v>
      </c>
      <c r="O624" s="802" t="s">
        <v>13920</v>
      </c>
      <c r="P624" s="807" t="s">
        <v>13921</v>
      </c>
    </row>
    <row r="625" spans="1:16" s="341" customFormat="1" ht="25.5" customHeight="1">
      <c r="A625" s="806" t="s">
        <v>109</v>
      </c>
      <c r="B625" s="800" t="s">
        <v>4526</v>
      </c>
      <c r="C625" s="800" t="s">
        <v>9395</v>
      </c>
      <c r="D625" s="800" t="s">
        <v>13922</v>
      </c>
      <c r="E625" s="801">
        <v>43054</v>
      </c>
      <c r="F625" s="800" t="s">
        <v>5444</v>
      </c>
      <c r="G625" s="800" t="s">
        <v>13923</v>
      </c>
      <c r="H625" s="800" t="s">
        <v>10531</v>
      </c>
      <c r="I625" s="800" t="s">
        <v>10531</v>
      </c>
      <c r="J625" s="800" t="s">
        <v>10426</v>
      </c>
      <c r="K625" s="800">
        <v>1</v>
      </c>
      <c r="L625" s="802" t="s">
        <v>10398</v>
      </c>
      <c r="M625" s="802" t="s">
        <v>13924</v>
      </c>
      <c r="N625" s="802" t="s">
        <v>13925</v>
      </c>
      <c r="O625" s="802" t="s">
        <v>13926</v>
      </c>
      <c r="P625" s="807" t="s">
        <v>13927</v>
      </c>
    </row>
    <row r="626" spans="1:16" s="341" customFormat="1" ht="15" customHeight="1">
      <c r="A626" s="806" t="s">
        <v>109</v>
      </c>
      <c r="B626" s="800" t="s">
        <v>4526</v>
      </c>
      <c r="C626" s="800" t="s">
        <v>9395</v>
      </c>
      <c r="D626" s="800" t="s">
        <v>13928</v>
      </c>
      <c r="E626" s="801">
        <v>43054</v>
      </c>
      <c r="F626" s="800" t="s">
        <v>5444</v>
      </c>
      <c r="G626" s="800" t="s">
        <v>13929</v>
      </c>
      <c r="H626" s="800" t="s">
        <v>10404</v>
      </c>
      <c r="I626" s="800" t="s">
        <v>10404</v>
      </c>
      <c r="J626" s="800" t="s">
        <v>10405</v>
      </c>
      <c r="K626" s="800">
        <v>1</v>
      </c>
      <c r="L626" s="802" t="s">
        <v>10398</v>
      </c>
      <c r="M626" s="802" t="s">
        <v>13930</v>
      </c>
      <c r="N626" s="802" t="s">
        <v>13931</v>
      </c>
      <c r="O626" s="802" t="s">
        <v>13932</v>
      </c>
      <c r="P626" s="807" t="s">
        <v>13933</v>
      </c>
    </row>
    <row r="627" spans="1:16" s="341" customFormat="1" ht="25.5" customHeight="1">
      <c r="A627" s="806" t="s">
        <v>109</v>
      </c>
      <c r="B627" s="800" t="s">
        <v>82</v>
      </c>
      <c r="C627" s="800" t="s">
        <v>82</v>
      </c>
      <c r="D627" s="800" t="s">
        <v>13934</v>
      </c>
      <c r="E627" s="801">
        <v>43017</v>
      </c>
      <c r="F627" s="800" t="s">
        <v>1785</v>
      </c>
      <c r="G627" s="800" t="s">
        <v>13935</v>
      </c>
      <c r="H627" s="800" t="s">
        <v>10531</v>
      </c>
      <c r="I627" s="800" t="s">
        <v>10531</v>
      </c>
      <c r="J627" s="800" t="s">
        <v>10447</v>
      </c>
      <c r="K627" s="800">
        <v>1</v>
      </c>
      <c r="L627" s="802" t="s">
        <v>11026</v>
      </c>
      <c r="M627" s="802" t="s">
        <v>13936</v>
      </c>
      <c r="N627" s="802" t="s">
        <v>13937</v>
      </c>
      <c r="O627" s="802" t="s">
        <v>13938</v>
      </c>
      <c r="P627" s="807" t="s">
        <v>13939</v>
      </c>
    </row>
    <row r="628" spans="1:16" s="341" customFormat="1" ht="25.5" customHeight="1">
      <c r="A628" s="806" t="s">
        <v>109</v>
      </c>
      <c r="B628" s="800" t="s">
        <v>82</v>
      </c>
      <c r="C628" s="800" t="s">
        <v>82</v>
      </c>
      <c r="D628" s="800" t="s">
        <v>13940</v>
      </c>
      <c r="E628" s="801">
        <v>43018</v>
      </c>
      <c r="F628" s="800" t="s">
        <v>13941</v>
      </c>
      <c r="G628" s="800" t="s">
        <v>13942</v>
      </c>
      <c r="H628" s="800" t="s">
        <v>10404</v>
      </c>
      <c r="I628" s="800" t="s">
        <v>10404</v>
      </c>
      <c r="J628" s="800" t="s">
        <v>4342</v>
      </c>
      <c r="K628" s="800">
        <v>1</v>
      </c>
      <c r="L628" s="802" t="s">
        <v>10605</v>
      </c>
      <c r="M628" s="802" t="s">
        <v>32</v>
      </c>
      <c r="N628" s="802" t="s">
        <v>13943</v>
      </c>
      <c r="O628" s="802" t="s">
        <v>13944</v>
      </c>
      <c r="P628" s="807" t="s">
        <v>13945</v>
      </c>
    </row>
    <row r="629" spans="1:16" s="341" customFormat="1" ht="25.5" customHeight="1">
      <c r="A629" s="806" t="s">
        <v>109</v>
      </c>
      <c r="B629" s="800" t="s">
        <v>82</v>
      </c>
      <c r="C629" s="800" t="s">
        <v>82</v>
      </c>
      <c r="D629" s="800" t="s">
        <v>13946</v>
      </c>
      <c r="E629" s="801">
        <v>43017</v>
      </c>
      <c r="F629" s="800" t="s">
        <v>13947</v>
      </c>
      <c r="G629" s="800" t="s">
        <v>13948</v>
      </c>
      <c r="H629" s="800" t="s">
        <v>10404</v>
      </c>
      <c r="I629" s="800" t="s">
        <v>10404</v>
      </c>
      <c r="J629" s="800" t="s">
        <v>10447</v>
      </c>
      <c r="K629" s="800">
        <v>1</v>
      </c>
      <c r="L629" s="802" t="s">
        <v>10605</v>
      </c>
      <c r="M629" s="802" t="s">
        <v>32</v>
      </c>
      <c r="N629" s="802" t="s">
        <v>13949</v>
      </c>
      <c r="O629" s="802" t="s">
        <v>13950</v>
      </c>
      <c r="P629" s="807" t="s">
        <v>32</v>
      </c>
    </row>
    <row r="630" spans="1:16" s="341" customFormat="1" ht="25.5" customHeight="1">
      <c r="A630" s="806" t="s">
        <v>109</v>
      </c>
      <c r="B630" s="800" t="s">
        <v>82</v>
      </c>
      <c r="C630" s="800" t="s">
        <v>82</v>
      </c>
      <c r="D630" s="800" t="s">
        <v>13951</v>
      </c>
      <c r="E630" s="801">
        <v>43017</v>
      </c>
      <c r="F630" s="800" t="s">
        <v>13941</v>
      </c>
      <c r="G630" s="800" t="s">
        <v>13952</v>
      </c>
      <c r="H630" s="800" t="s">
        <v>10531</v>
      </c>
      <c r="I630" s="800" t="s">
        <v>10531</v>
      </c>
      <c r="J630" s="800" t="s">
        <v>4342</v>
      </c>
      <c r="K630" s="800">
        <v>1</v>
      </c>
      <c r="L630" s="802" t="s">
        <v>10398</v>
      </c>
      <c r="M630" s="802" t="s">
        <v>13953</v>
      </c>
      <c r="N630" s="802" t="s">
        <v>13954</v>
      </c>
      <c r="O630" s="802" t="s">
        <v>13955</v>
      </c>
      <c r="P630" s="807" t="s">
        <v>13956</v>
      </c>
    </row>
    <row r="631" spans="1:16" s="341" customFormat="1" ht="15" customHeight="1">
      <c r="A631" s="806" t="s">
        <v>109</v>
      </c>
      <c r="B631" s="800" t="s">
        <v>82</v>
      </c>
      <c r="C631" s="800" t="s">
        <v>82</v>
      </c>
      <c r="D631" s="800" t="s">
        <v>13957</v>
      </c>
      <c r="E631" s="801">
        <v>43017</v>
      </c>
      <c r="F631" s="800" t="s">
        <v>13941</v>
      </c>
      <c r="G631" s="800" t="s">
        <v>13958</v>
      </c>
      <c r="H631" s="800" t="s">
        <v>10531</v>
      </c>
      <c r="I631" s="800" t="s">
        <v>10531</v>
      </c>
      <c r="J631" s="800" t="s">
        <v>4342</v>
      </c>
      <c r="K631" s="800">
        <v>1</v>
      </c>
      <c r="L631" s="802" t="s">
        <v>10398</v>
      </c>
      <c r="M631" s="802" t="s">
        <v>13959</v>
      </c>
      <c r="N631" s="802" t="s">
        <v>13960</v>
      </c>
      <c r="O631" s="802" t="s">
        <v>13961</v>
      </c>
      <c r="P631" s="807" t="s">
        <v>13962</v>
      </c>
    </row>
    <row r="632" spans="1:16" s="341" customFormat="1" ht="25.5" customHeight="1">
      <c r="A632" s="806" t="s">
        <v>109</v>
      </c>
      <c r="B632" s="800" t="s">
        <v>82</v>
      </c>
      <c r="C632" s="800" t="s">
        <v>82</v>
      </c>
      <c r="D632" s="800" t="s">
        <v>13963</v>
      </c>
      <c r="E632" s="801">
        <v>43017</v>
      </c>
      <c r="F632" s="800" t="s">
        <v>13941</v>
      </c>
      <c r="G632" s="800" t="s">
        <v>13964</v>
      </c>
      <c r="H632" s="800" t="s">
        <v>10531</v>
      </c>
      <c r="I632" s="800" t="s">
        <v>10531</v>
      </c>
      <c r="J632" s="800" t="s">
        <v>10447</v>
      </c>
      <c r="K632" s="800">
        <v>1</v>
      </c>
      <c r="L632" s="802" t="s">
        <v>10398</v>
      </c>
      <c r="M632" s="802" t="s">
        <v>13965</v>
      </c>
      <c r="N632" s="802" t="s">
        <v>13966</v>
      </c>
      <c r="O632" s="802" t="s">
        <v>13967</v>
      </c>
      <c r="P632" s="807" t="s">
        <v>13968</v>
      </c>
    </row>
    <row r="633" spans="1:16" s="341" customFormat="1" ht="25.5" customHeight="1">
      <c r="A633" s="806" t="s">
        <v>109</v>
      </c>
      <c r="B633" s="800" t="s">
        <v>82</v>
      </c>
      <c r="C633" s="800" t="s">
        <v>82</v>
      </c>
      <c r="D633" s="800" t="s">
        <v>13969</v>
      </c>
      <c r="E633" s="801">
        <v>43018</v>
      </c>
      <c r="F633" s="800" t="s">
        <v>13941</v>
      </c>
      <c r="G633" s="800" t="s">
        <v>13970</v>
      </c>
      <c r="H633" s="800" t="s">
        <v>10404</v>
      </c>
      <c r="I633" s="800" t="s">
        <v>10404</v>
      </c>
      <c r="J633" s="800" t="s">
        <v>10405</v>
      </c>
      <c r="K633" s="800">
        <v>1</v>
      </c>
      <c r="L633" s="802" t="s">
        <v>10398</v>
      </c>
      <c r="M633" s="802" t="s">
        <v>13971</v>
      </c>
      <c r="N633" s="802" t="s">
        <v>13861</v>
      </c>
      <c r="O633" s="802" t="s">
        <v>13972</v>
      </c>
      <c r="P633" s="807" t="s">
        <v>13973</v>
      </c>
    </row>
    <row r="634" spans="1:16" s="341" customFormat="1" ht="15" customHeight="1">
      <c r="A634" s="806" t="s">
        <v>109</v>
      </c>
      <c r="B634" s="800" t="s">
        <v>82</v>
      </c>
      <c r="C634" s="800" t="s">
        <v>82</v>
      </c>
      <c r="D634" s="800" t="s">
        <v>13974</v>
      </c>
      <c r="E634" s="801">
        <v>43017</v>
      </c>
      <c r="F634" s="800" t="s">
        <v>13941</v>
      </c>
      <c r="G634" s="800" t="s">
        <v>13975</v>
      </c>
      <c r="H634" s="800" t="s">
        <v>10531</v>
      </c>
      <c r="I634" s="800" t="s">
        <v>10531</v>
      </c>
      <c r="J634" s="800" t="s">
        <v>10447</v>
      </c>
      <c r="K634" s="800">
        <v>1</v>
      </c>
      <c r="L634" s="802" t="s">
        <v>10398</v>
      </c>
      <c r="M634" s="802" t="s">
        <v>13976</v>
      </c>
      <c r="N634" s="802" t="s">
        <v>13977</v>
      </c>
      <c r="O634" s="802" t="s">
        <v>13961</v>
      </c>
      <c r="P634" s="807" t="s">
        <v>13978</v>
      </c>
    </row>
    <row r="635" spans="1:16" s="341" customFormat="1" ht="25.5" customHeight="1">
      <c r="A635" s="806" t="s">
        <v>109</v>
      </c>
      <c r="B635" s="800" t="s">
        <v>82</v>
      </c>
      <c r="C635" s="800" t="s">
        <v>82</v>
      </c>
      <c r="D635" s="800" t="s">
        <v>13979</v>
      </c>
      <c r="E635" s="801">
        <v>43018</v>
      </c>
      <c r="F635" s="800" t="s">
        <v>13941</v>
      </c>
      <c r="G635" s="800" t="s">
        <v>13980</v>
      </c>
      <c r="H635" s="800" t="s">
        <v>10404</v>
      </c>
      <c r="I635" s="800" t="s">
        <v>10404</v>
      </c>
      <c r="J635" s="800" t="s">
        <v>10405</v>
      </c>
      <c r="K635" s="800">
        <v>1</v>
      </c>
      <c r="L635" s="802" t="s">
        <v>10398</v>
      </c>
      <c r="M635" s="802" t="s">
        <v>13981</v>
      </c>
      <c r="N635" s="802" t="s">
        <v>13982</v>
      </c>
      <c r="O635" s="802" t="s">
        <v>13983</v>
      </c>
      <c r="P635" s="807" t="s">
        <v>13984</v>
      </c>
    </row>
    <row r="636" spans="1:16" s="341" customFormat="1" ht="15" customHeight="1">
      <c r="A636" s="806" t="s">
        <v>109</v>
      </c>
      <c r="B636" s="800" t="s">
        <v>82</v>
      </c>
      <c r="C636" s="800" t="s">
        <v>82</v>
      </c>
      <c r="D636" s="800" t="s">
        <v>13985</v>
      </c>
      <c r="E636" s="801">
        <v>43017</v>
      </c>
      <c r="F636" s="800" t="s">
        <v>13941</v>
      </c>
      <c r="G636" s="800" t="s">
        <v>13986</v>
      </c>
      <c r="H636" s="800" t="s">
        <v>10531</v>
      </c>
      <c r="I636" s="800" t="s">
        <v>10531</v>
      </c>
      <c r="J636" s="800" t="s">
        <v>10447</v>
      </c>
      <c r="K636" s="800">
        <v>1</v>
      </c>
      <c r="L636" s="802" t="s">
        <v>10398</v>
      </c>
      <c r="M636" s="802" t="s">
        <v>13987</v>
      </c>
      <c r="N636" s="802" t="s">
        <v>783</v>
      </c>
      <c r="O636" s="802" t="s">
        <v>13988</v>
      </c>
      <c r="P636" s="807" t="s">
        <v>13989</v>
      </c>
    </row>
    <row r="637" spans="1:16" s="341" customFormat="1" ht="15" customHeight="1">
      <c r="A637" s="806" t="s">
        <v>109</v>
      </c>
      <c r="B637" s="800" t="s">
        <v>82</v>
      </c>
      <c r="C637" s="800" t="s">
        <v>82</v>
      </c>
      <c r="D637" s="800" t="s">
        <v>13990</v>
      </c>
      <c r="E637" s="801">
        <v>43017</v>
      </c>
      <c r="F637" s="800" t="s">
        <v>13941</v>
      </c>
      <c r="G637" s="800" t="s">
        <v>13991</v>
      </c>
      <c r="H637" s="800" t="s">
        <v>10531</v>
      </c>
      <c r="I637" s="800" t="s">
        <v>10531</v>
      </c>
      <c r="J637" s="800" t="s">
        <v>10447</v>
      </c>
      <c r="K637" s="800">
        <v>1</v>
      </c>
      <c r="L637" s="802" t="s">
        <v>11026</v>
      </c>
      <c r="M637" s="802" t="s">
        <v>13992</v>
      </c>
      <c r="N637" s="802" t="s">
        <v>13993</v>
      </c>
      <c r="O637" s="802" t="s">
        <v>13994</v>
      </c>
      <c r="P637" s="807" t="s">
        <v>13995</v>
      </c>
    </row>
    <row r="638" spans="1:16" s="341" customFormat="1" ht="15" customHeight="1">
      <c r="A638" s="806" t="s">
        <v>109</v>
      </c>
      <c r="B638" s="800" t="s">
        <v>82</v>
      </c>
      <c r="C638" s="800" t="s">
        <v>82</v>
      </c>
      <c r="D638" s="800" t="s">
        <v>13996</v>
      </c>
      <c r="E638" s="801">
        <v>43033</v>
      </c>
      <c r="F638" s="800" t="s">
        <v>13997</v>
      </c>
      <c r="G638" s="800" t="s">
        <v>13998</v>
      </c>
      <c r="H638" s="800" t="s">
        <v>10433</v>
      </c>
      <c r="I638" s="800" t="s">
        <v>10433</v>
      </c>
      <c r="J638" s="800" t="s">
        <v>10447</v>
      </c>
      <c r="K638" s="800">
        <v>1</v>
      </c>
      <c r="L638" s="802" t="s">
        <v>10398</v>
      </c>
      <c r="M638" s="802" t="s">
        <v>13999</v>
      </c>
      <c r="N638" s="802" t="s">
        <v>14000</v>
      </c>
      <c r="O638" s="802" t="s">
        <v>13961</v>
      </c>
      <c r="P638" s="807" t="s">
        <v>14001</v>
      </c>
    </row>
    <row r="639" spans="1:16" s="341" customFormat="1" ht="15" customHeight="1">
      <c r="A639" s="806" t="s">
        <v>109</v>
      </c>
      <c r="B639" s="800" t="s">
        <v>82</v>
      </c>
      <c r="C639" s="800" t="s">
        <v>82</v>
      </c>
      <c r="D639" s="800" t="s">
        <v>14002</v>
      </c>
      <c r="E639" s="801">
        <v>43033</v>
      </c>
      <c r="F639" s="800" t="s">
        <v>13997</v>
      </c>
      <c r="G639" s="800" t="s">
        <v>14003</v>
      </c>
      <c r="H639" s="800" t="s">
        <v>10404</v>
      </c>
      <c r="I639" s="800" t="s">
        <v>10404</v>
      </c>
      <c r="J639" s="800" t="s">
        <v>10447</v>
      </c>
      <c r="K639" s="800">
        <v>1</v>
      </c>
      <c r="L639" s="802" t="s">
        <v>10398</v>
      </c>
      <c r="M639" s="802" t="s">
        <v>32</v>
      </c>
      <c r="N639" s="802" t="s">
        <v>14004</v>
      </c>
      <c r="O639" s="802" t="s">
        <v>14005</v>
      </c>
      <c r="P639" s="807" t="s">
        <v>32</v>
      </c>
    </row>
    <row r="640" spans="1:16" s="341" customFormat="1" ht="15" customHeight="1">
      <c r="A640" s="806" t="s">
        <v>109</v>
      </c>
      <c r="B640" s="800" t="s">
        <v>82</v>
      </c>
      <c r="C640" s="800" t="s">
        <v>82</v>
      </c>
      <c r="D640" s="800" t="s">
        <v>14006</v>
      </c>
      <c r="E640" s="801">
        <v>43033</v>
      </c>
      <c r="F640" s="800" t="s">
        <v>13997</v>
      </c>
      <c r="G640" s="800" t="s">
        <v>14007</v>
      </c>
      <c r="H640" s="800" t="s">
        <v>10404</v>
      </c>
      <c r="I640" s="800" t="s">
        <v>10404</v>
      </c>
      <c r="J640" s="800" t="s">
        <v>10447</v>
      </c>
      <c r="K640" s="800">
        <v>1</v>
      </c>
      <c r="L640" s="802" t="s">
        <v>11026</v>
      </c>
      <c r="M640" s="802" t="s">
        <v>14008</v>
      </c>
      <c r="N640" s="802" t="s">
        <v>14009</v>
      </c>
      <c r="O640" s="802" t="s">
        <v>14010</v>
      </c>
      <c r="P640" s="807" t="s">
        <v>32</v>
      </c>
    </row>
    <row r="641" spans="1:16" s="341" customFormat="1" ht="15" customHeight="1">
      <c r="A641" s="806" t="s">
        <v>109</v>
      </c>
      <c r="B641" s="800" t="s">
        <v>82</v>
      </c>
      <c r="C641" s="800" t="s">
        <v>82</v>
      </c>
      <c r="D641" s="800" t="s">
        <v>14011</v>
      </c>
      <c r="E641" s="801">
        <v>43033</v>
      </c>
      <c r="F641" s="800" t="s">
        <v>13997</v>
      </c>
      <c r="G641" s="800" t="s">
        <v>14012</v>
      </c>
      <c r="H641" s="800" t="s">
        <v>10404</v>
      </c>
      <c r="I641" s="800" t="s">
        <v>10404</v>
      </c>
      <c r="J641" s="800" t="s">
        <v>10447</v>
      </c>
      <c r="K641" s="800">
        <v>1</v>
      </c>
      <c r="L641" s="802" t="s">
        <v>10398</v>
      </c>
      <c r="M641" s="802" t="s">
        <v>32</v>
      </c>
      <c r="N641" s="802" t="s">
        <v>13617</v>
      </c>
      <c r="O641" s="802" t="s">
        <v>14013</v>
      </c>
      <c r="P641" s="807" t="s">
        <v>32</v>
      </c>
    </row>
    <row r="642" spans="1:16" s="341" customFormat="1" ht="15" customHeight="1">
      <c r="A642" s="806" t="s">
        <v>109</v>
      </c>
      <c r="B642" s="800" t="s">
        <v>82</v>
      </c>
      <c r="C642" s="800" t="s">
        <v>82</v>
      </c>
      <c r="D642" s="800" t="s">
        <v>14014</v>
      </c>
      <c r="E642" s="801">
        <v>43033</v>
      </c>
      <c r="F642" s="800" t="s">
        <v>13997</v>
      </c>
      <c r="G642" s="800" t="s">
        <v>14015</v>
      </c>
      <c r="H642" s="800" t="s">
        <v>10396</v>
      </c>
      <c r="I642" s="800" t="s">
        <v>10396</v>
      </c>
      <c r="J642" s="800" t="s">
        <v>10447</v>
      </c>
      <c r="K642" s="800">
        <v>1</v>
      </c>
      <c r="L642" s="802" t="s">
        <v>10398</v>
      </c>
      <c r="M642" s="802" t="s">
        <v>14016</v>
      </c>
      <c r="N642" s="802" t="s">
        <v>14017</v>
      </c>
      <c r="O642" s="802" t="s">
        <v>14018</v>
      </c>
      <c r="P642" s="807" t="s">
        <v>32</v>
      </c>
    </row>
    <row r="643" spans="1:16" s="341" customFormat="1" ht="25.5" customHeight="1">
      <c r="A643" s="806" t="s">
        <v>109</v>
      </c>
      <c r="B643" s="800" t="s">
        <v>82</v>
      </c>
      <c r="C643" s="800" t="s">
        <v>82</v>
      </c>
      <c r="D643" s="800" t="s">
        <v>14019</v>
      </c>
      <c r="E643" s="801">
        <v>43033</v>
      </c>
      <c r="F643" s="800" t="s">
        <v>13997</v>
      </c>
      <c r="G643" s="800" t="s">
        <v>14020</v>
      </c>
      <c r="H643" s="800" t="s">
        <v>10396</v>
      </c>
      <c r="I643" s="800" t="s">
        <v>10396</v>
      </c>
      <c r="J643" s="800" t="s">
        <v>10447</v>
      </c>
      <c r="K643" s="800">
        <v>1</v>
      </c>
      <c r="L643" s="802" t="s">
        <v>10398</v>
      </c>
      <c r="M643" s="802" t="s">
        <v>14021</v>
      </c>
      <c r="N643" s="802" t="s">
        <v>13617</v>
      </c>
      <c r="O643" s="802" t="s">
        <v>14022</v>
      </c>
      <c r="P643" s="807" t="s">
        <v>14023</v>
      </c>
    </row>
    <row r="644" spans="1:16" s="341" customFormat="1" ht="15" customHeight="1">
      <c r="A644" s="806" t="s">
        <v>109</v>
      </c>
      <c r="B644" s="800" t="s">
        <v>82</v>
      </c>
      <c r="C644" s="800" t="s">
        <v>82</v>
      </c>
      <c r="D644" s="800" t="s">
        <v>14024</v>
      </c>
      <c r="E644" s="801">
        <v>43033</v>
      </c>
      <c r="F644" s="800" t="s">
        <v>13997</v>
      </c>
      <c r="G644" s="800" t="s">
        <v>14025</v>
      </c>
      <c r="H644" s="800" t="s">
        <v>10396</v>
      </c>
      <c r="I644" s="800" t="s">
        <v>10396</v>
      </c>
      <c r="J644" s="800" t="s">
        <v>10447</v>
      </c>
      <c r="K644" s="800">
        <v>1</v>
      </c>
      <c r="L644" s="802" t="s">
        <v>10398</v>
      </c>
      <c r="M644" s="802" t="s">
        <v>14026</v>
      </c>
      <c r="N644" s="802" t="s">
        <v>14027</v>
      </c>
      <c r="O644" s="802" t="s">
        <v>14028</v>
      </c>
      <c r="P644" s="807" t="s">
        <v>14029</v>
      </c>
    </row>
    <row r="645" spans="1:16" s="341" customFormat="1" ht="25.5" customHeight="1">
      <c r="A645" s="806" t="s">
        <v>109</v>
      </c>
      <c r="B645" s="800" t="s">
        <v>82</v>
      </c>
      <c r="C645" s="800" t="s">
        <v>82</v>
      </c>
      <c r="D645" s="800" t="s">
        <v>14030</v>
      </c>
      <c r="E645" s="801">
        <v>43033</v>
      </c>
      <c r="F645" s="800" t="s">
        <v>13997</v>
      </c>
      <c r="G645" s="800" t="s">
        <v>14031</v>
      </c>
      <c r="H645" s="800" t="s">
        <v>10396</v>
      </c>
      <c r="I645" s="800" t="s">
        <v>10396</v>
      </c>
      <c r="J645" s="800" t="s">
        <v>10447</v>
      </c>
      <c r="K645" s="800">
        <v>1</v>
      </c>
      <c r="L645" s="802" t="s">
        <v>10398</v>
      </c>
      <c r="M645" s="802" t="s">
        <v>14032</v>
      </c>
      <c r="N645" s="802" t="s">
        <v>10902</v>
      </c>
      <c r="O645" s="802" t="s">
        <v>14033</v>
      </c>
      <c r="P645" s="807" t="s">
        <v>14034</v>
      </c>
    </row>
    <row r="646" spans="1:16" s="341" customFormat="1" ht="15" customHeight="1">
      <c r="A646" s="806" t="s">
        <v>109</v>
      </c>
      <c r="B646" s="800" t="s">
        <v>82</v>
      </c>
      <c r="C646" s="800" t="s">
        <v>82</v>
      </c>
      <c r="D646" s="800" t="s">
        <v>14035</v>
      </c>
      <c r="E646" s="801">
        <v>43033</v>
      </c>
      <c r="F646" s="800" t="s">
        <v>13997</v>
      </c>
      <c r="G646" s="800" t="s">
        <v>14036</v>
      </c>
      <c r="H646" s="800" t="s">
        <v>10396</v>
      </c>
      <c r="I646" s="800" t="s">
        <v>10396</v>
      </c>
      <c r="J646" s="800" t="s">
        <v>10447</v>
      </c>
      <c r="K646" s="800">
        <v>1</v>
      </c>
      <c r="L646" s="802" t="s">
        <v>10398</v>
      </c>
      <c r="M646" s="802" t="s">
        <v>14037</v>
      </c>
      <c r="N646" s="802" t="s">
        <v>14038</v>
      </c>
      <c r="O646" s="802" t="s">
        <v>14039</v>
      </c>
      <c r="P646" s="807" t="s">
        <v>14040</v>
      </c>
    </row>
    <row r="647" spans="1:16" s="341" customFormat="1" ht="15" customHeight="1">
      <c r="A647" s="806" t="s">
        <v>109</v>
      </c>
      <c r="B647" s="800" t="s">
        <v>82</v>
      </c>
      <c r="C647" s="800" t="s">
        <v>82</v>
      </c>
      <c r="D647" s="800" t="s">
        <v>14041</v>
      </c>
      <c r="E647" s="801">
        <v>43033</v>
      </c>
      <c r="F647" s="800" t="s">
        <v>14042</v>
      </c>
      <c r="G647" s="800" t="s">
        <v>14043</v>
      </c>
      <c r="H647" s="800" t="s">
        <v>10396</v>
      </c>
      <c r="I647" s="800" t="s">
        <v>10396</v>
      </c>
      <c r="J647" s="800" t="s">
        <v>10447</v>
      </c>
      <c r="K647" s="800">
        <v>1</v>
      </c>
      <c r="L647" s="802" t="s">
        <v>10398</v>
      </c>
      <c r="M647" s="802" t="s">
        <v>14044</v>
      </c>
      <c r="N647" s="802" t="s">
        <v>14045</v>
      </c>
      <c r="O647" s="802" t="s">
        <v>14046</v>
      </c>
      <c r="P647" s="807" t="s">
        <v>14047</v>
      </c>
    </row>
    <row r="648" spans="1:16" s="341" customFormat="1" ht="15" customHeight="1">
      <c r="A648" s="806" t="s">
        <v>109</v>
      </c>
      <c r="B648" s="800" t="s">
        <v>82</v>
      </c>
      <c r="C648" s="800" t="s">
        <v>82</v>
      </c>
      <c r="D648" s="800" t="s">
        <v>14048</v>
      </c>
      <c r="E648" s="801">
        <v>43028</v>
      </c>
      <c r="F648" s="800" t="s">
        <v>13997</v>
      </c>
      <c r="G648" s="800" t="s">
        <v>14049</v>
      </c>
      <c r="H648" s="800" t="s">
        <v>10396</v>
      </c>
      <c r="I648" s="800" t="s">
        <v>10396</v>
      </c>
      <c r="J648" s="800" t="s">
        <v>10447</v>
      </c>
      <c r="K648" s="800">
        <v>1</v>
      </c>
      <c r="L648" s="802" t="s">
        <v>10398</v>
      </c>
      <c r="M648" s="802" t="s">
        <v>14050</v>
      </c>
      <c r="N648" s="802" t="s">
        <v>10514</v>
      </c>
      <c r="O648" s="802" t="s">
        <v>14051</v>
      </c>
      <c r="P648" s="807" t="s">
        <v>14052</v>
      </c>
    </row>
    <row r="649" spans="1:16" s="341" customFormat="1" ht="15" customHeight="1">
      <c r="A649" s="806" t="s">
        <v>109</v>
      </c>
      <c r="B649" s="800" t="s">
        <v>82</v>
      </c>
      <c r="C649" s="800" t="s">
        <v>82</v>
      </c>
      <c r="D649" s="800" t="s">
        <v>14053</v>
      </c>
      <c r="E649" s="801">
        <v>43033</v>
      </c>
      <c r="F649" s="800" t="s">
        <v>13997</v>
      </c>
      <c r="G649" s="800" t="s">
        <v>14054</v>
      </c>
      <c r="H649" s="800" t="s">
        <v>10396</v>
      </c>
      <c r="I649" s="800" t="s">
        <v>10396</v>
      </c>
      <c r="J649" s="800" t="s">
        <v>10447</v>
      </c>
      <c r="K649" s="800">
        <v>1</v>
      </c>
      <c r="L649" s="802" t="s">
        <v>10398</v>
      </c>
      <c r="M649" s="802" t="s">
        <v>14055</v>
      </c>
      <c r="N649" s="802" t="s">
        <v>14056</v>
      </c>
      <c r="O649" s="802" t="s">
        <v>13961</v>
      </c>
      <c r="P649" s="807" t="s">
        <v>14057</v>
      </c>
    </row>
    <row r="650" spans="1:16" s="341" customFormat="1" ht="15" customHeight="1">
      <c r="A650" s="806" t="s">
        <v>109</v>
      </c>
      <c r="B650" s="800" t="s">
        <v>82</v>
      </c>
      <c r="C650" s="800" t="s">
        <v>82</v>
      </c>
      <c r="D650" s="800" t="s">
        <v>14058</v>
      </c>
      <c r="E650" s="801">
        <v>43033</v>
      </c>
      <c r="F650" s="800" t="s">
        <v>14059</v>
      </c>
      <c r="G650" s="800" t="s">
        <v>14060</v>
      </c>
      <c r="H650" s="800" t="s">
        <v>10396</v>
      </c>
      <c r="I650" s="800" t="s">
        <v>10396</v>
      </c>
      <c r="J650" s="800" t="s">
        <v>10447</v>
      </c>
      <c r="K650" s="800">
        <v>1</v>
      </c>
      <c r="L650" s="802" t="s">
        <v>10398</v>
      </c>
      <c r="M650" s="802" t="s">
        <v>14061</v>
      </c>
      <c r="N650" s="802" t="s">
        <v>14062</v>
      </c>
      <c r="O650" s="802" t="s">
        <v>14063</v>
      </c>
      <c r="P650" s="807" t="s">
        <v>14064</v>
      </c>
    </row>
    <row r="651" spans="1:16" s="341" customFormat="1" ht="25.5" customHeight="1">
      <c r="A651" s="806" t="s">
        <v>109</v>
      </c>
      <c r="B651" s="800" t="s">
        <v>82</v>
      </c>
      <c r="C651" s="800" t="s">
        <v>82</v>
      </c>
      <c r="D651" s="800" t="s">
        <v>14065</v>
      </c>
      <c r="E651" s="801">
        <v>43033</v>
      </c>
      <c r="F651" s="800" t="s">
        <v>13997</v>
      </c>
      <c r="G651" s="800" t="s">
        <v>14066</v>
      </c>
      <c r="H651" s="800" t="s">
        <v>10404</v>
      </c>
      <c r="I651" s="800" t="s">
        <v>10404</v>
      </c>
      <c r="J651" s="800" t="s">
        <v>10447</v>
      </c>
      <c r="K651" s="800">
        <v>1</v>
      </c>
      <c r="L651" s="802" t="s">
        <v>10398</v>
      </c>
      <c r="M651" s="802" t="s">
        <v>14067</v>
      </c>
      <c r="N651" s="802" t="s">
        <v>14068</v>
      </c>
      <c r="O651" s="802" t="s">
        <v>14069</v>
      </c>
      <c r="P651" s="807" t="s">
        <v>14070</v>
      </c>
    </row>
    <row r="652" spans="1:16" s="341" customFormat="1" ht="15" customHeight="1">
      <c r="A652" s="806" t="s">
        <v>109</v>
      </c>
      <c r="B652" s="800" t="s">
        <v>82</v>
      </c>
      <c r="C652" s="800" t="s">
        <v>82</v>
      </c>
      <c r="D652" s="800" t="s">
        <v>14071</v>
      </c>
      <c r="E652" s="801">
        <v>43033</v>
      </c>
      <c r="F652" s="800" t="s">
        <v>13997</v>
      </c>
      <c r="G652" s="800" t="s">
        <v>14072</v>
      </c>
      <c r="H652" s="800" t="s">
        <v>10404</v>
      </c>
      <c r="I652" s="800" t="s">
        <v>10404</v>
      </c>
      <c r="J652" s="800" t="s">
        <v>10447</v>
      </c>
      <c r="K652" s="800">
        <v>1</v>
      </c>
      <c r="L652" s="802" t="s">
        <v>10398</v>
      </c>
      <c r="M652" s="802" t="s">
        <v>14073</v>
      </c>
      <c r="N652" s="802" t="s">
        <v>14074</v>
      </c>
      <c r="O652" s="802" t="s">
        <v>14075</v>
      </c>
      <c r="P652" s="807" t="s">
        <v>32</v>
      </c>
    </row>
    <row r="653" spans="1:16" s="341" customFormat="1" ht="25.5" customHeight="1">
      <c r="A653" s="806" t="s">
        <v>109</v>
      </c>
      <c r="B653" s="800" t="s">
        <v>82</v>
      </c>
      <c r="C653" s="800" t="s">
        <v>82</v>
      </c>
      <c r="D653" s="800" t="s">
        <v>14076</v>
      </c>
      <c r="E653" s="801">
        <v>43033</v>
      </c>
      <c r="F653" s="800" t="s">
        <v>13997</v>
      </c>
      <c r="G653" s="800" t="s">
        <v>14077</v>
      </c>
      <c r="H653" s="800" t="s">
        <v>10404</v>
      </c>
      <c r="I653" s="800" t="s">
        <v>10404</v>
      </c>
      <c r="J653" s="800" t="s">
        <v>10447</v>
      </c>
      <c r="K653" s="800">
        <v>1</v>
      </c>
      <c r="L653" s="802" t="s">
        <v>10398</v>
      </c>
      <c r="M653" s="802" t="s">
        <v>14078</v>
      </c>
      <c r="N653" s="802" t="s">
        <v>14079</v>
      </c>
      <c r="O653" s="802" t="s">
        <v>14080</v>
      </c>
      <c r="P653" s="807" t="s">
        <v>14081</v>
      </c>
    </row>
    <row r="654" spans="1:16" s="341" customFormat="1" ht="38.25" customHeight="1">
      <c r="A654" s="806" t="s">
        <v>109</v>
      </c>
      <c r="B654" s="800" t="s">
        <v>82</v>
      </c>
      <c r="C654" s="800" t="s">
        <v>82</v>
      </c>
      <c r="D654" s="800" t="s">
        <v>14082</v>
      </c>
      <c r="E654" s="801">
        <v>43033</v>
      </c>
      <c r="F654" s="800" t="s">
        <v>13997</v>
      </c>
      <c r="G654" s="800" t="s">
        <v>14066</v>
      </c>
      <c r="H654" s="800" t="s">
        <v>10404</v>
      </c>
      <c r="I654" s="800" t="s">
        <v>10404</v>
      </c>
      <c r="J654" s="800" t="s">
        <v>10447</v>
      </c>
      <c r="K654" s="800">
        <v>1</v>
      </c>
      <c r="L654" s="802" t="s">
        <v>10398</v>
      </c>
      <c r="M654" s="802" t="s">
        <v>14083</v>
      </c>
      <c r="N654" s="802" t="s">
        <v>14084</v>
      </c>
      <c r="O654" s="802" t="s">
        <v>14085</v>
      </c>
      <c r="P654" s="807" t="s">
        <v>14086</v>
      </c>
    </row>
    <row r="655" spans="1:16" s="341" customFormat="1" ht="15" customHeight="1">
      <c r="A655" s="806" t="s">
        <v>109</v>
      </c>
      <c r="B655" s="800" t="s">
        <v>82</v>
      </c>
      <c r="C655" s="800" t="s">
        <v>82</v>
      </c>
      <c r="D655" s="800" t="s">
        <v>14087</v>
      </c>
      <c r="E655" s="801">
        <v>43033</v>
      </c>
      <c r="F655" s="800" t="s">
        <v>13997</v>
      </c>
      <c r="G655" s="800" t="s">
        <v>14088</v>
      </c>
      <c r="H655" s="800" t="s">
        <v>10404</v>
      </c>
      <c r="I655" s="800" t="s">
        <v>10404</v>
      </c>
      <c r="J655" s="800" t="s">
        <v>10447</v>
      </c>
      <c r="K655" s="800">
        <v>1</v>
      </c>
      <c r="L655" s="802" t="s">
        <v>10398</v>
      </c>
      <c r="M655" s="802" t="s">
        <v>14089</v>
      </c>
      <c r="N655" s="802" t="s">
        <v>14090</v>
      </c>
      <c r="O655" s="802" t="s">
        <v>14091</v>
      </c>
      <c r="P655" s="807" t="s">
        <v>14092</v>
      </c>
    </row>
    <row r="656" spans="1:16" s="341" customFormat="1" ht="25.5" customHeight="1">
      <c r="A656" s="806" t="s">
        <v>109</v>
      </c>
      <c r="B656" s="800" t="s">
        <v>82</v>
      </c>
      <c r="C656" s="800" t="s">
        <v>82</v>
      </c>
      <c r="D656" s="800" t="s">
        <v>14093</v>
      </c>
      <c r="E656" s="801">
        <v>43033</v>
      </c>
      <c r="F656" s="800" t="s">
        <v>13997</v>
      </c>
      <c r="G656" s="800" t="s">
        <v>14094</v>
      </c>
      <c r="H656" s="800" t="s">
        <v>10404</v>
      </c>
      <c r="I656" s="800" t="s">
        <v>10404</v>
      </c>
      <c r="J656" s="800" t="s">
        <v>10447</v>
      </c>
      <c r="K656" s="800">
        <v>1</v>
      </c>
      <c r="L656" s="802" t="s">
        <v>10398</v>
      </c>
      <c r="M656" s="802" t="s">
        <v>14095</v>
      </c>
      <c r="N656" s="802" t="s">
        <v>14096</v>
      </c>
      <c r="O656" s="802" t="s">
        <v>14097</v>
      </c>
      <c r="P656" s="807" t="s">
        <v>32</v>
      </c>
    </row>
    <row r="657" spans="1:16" s="341" customFormat="1" ht="15" customHeight="1">
      <c r="A657" s="806" t="s">
        <v>109</v>
      </c>
      <c r="B657" s="800" t="s">
        <v>82</v>
      </c>
      <c r="C657" s="800" t="s">
        <v>82</v>
      </c>
      <c r="D657" s="800" t="s">
        <v>14098</v>
      </c>
      <c r="E657" s="801">
        <v>43033</v>
      </c>
      <c r="F657" s="800" t="s">
        <v>14099</v>
      </c>
      <c r="G657" s="800" t="s">
        <v>14100</v>
      </c>
      <c r="H657" s="800" t="s">
        <v>10404</v>
      </c>
      <c r="I657" s="800" t="s">
        <v>10404</v>
      </c>
      <c r="J657" s="800" t="s">
        <v>10447</v>
      </c>
      <c r="K657" s="800">
        <v>1</v>
      </c>
      <c r="L657" s="802" t="s">
        <v>10398</v>
      </c>
      <c r="M657" s="802" t="s">
        <v>14101</v>
      </c>
      <c r="N657" s="802" t="s">
        <v>14102</v>
      </c>
      <c r="O657" s="802" t="s">
        <v>14103</v>
      </c>
      <c r="P657" s="807" t="s">
        <v>14104</v>
      </c>
    </row>
    <row r="658" spans="1:16" s="341" customFormat="1" ht="15" customHeight="1">
      <c r="A658" s="806" t="s">
        <v>109</v>
      </c>
      <c r="B658" s="800" t="s">
        <v>82</v>
      </c>
      <c r="C658" s="800" t="s">
        <v>82</v>
      </c>
      <c r="D658" s="800" t="s">
        <v>14105</v>
      </c>
      <c r="E658" s="801">
        <v>43033</v>
      </c>
      <c r="F658" s="800" t="s">
        <v>13997</v>
      </c>
      <c r="G658" s="800" t="s">
        <v>14106</v>
      </c>
      <c r="H658" s="800" t="s">
        <v>10404</v>
      </c>
      <c r="I658" s="800" t="s">
        <v>10404</v>
      </c>
      <c r="J658" s="800" t="s">
        <v>10447</v>
      </c>
      <c r="K658" s="800">
        <v>1</v>
      </c>
      <c r="L658" s="802" t="s">
        <v>10398</v>
      </c>
      <c r="M658" s="802" t="s">
        <v>14107</v>
      </c>
      <c r="N658" s="802" t="s">
        <v>14108</v>
      </c>
      <c r="O658" s="802" t="s">
        <v>14109</v>
      </c>
      <c r="P658" s="807" t="s">
        <v>14110</v>
      </c>
    </row>
    <row r="659" spans="1:16" s="341" customFormat="1" ht="15" customHeight="1">
      <c r="A659" s="806" t="s">
        <v>109</v>
      </c>
      <c r="B659" s="800" t="s">
        <v>82</v>
      </c>
      <c r="C659" s="800" t="s">
        <v>82</v>
      </c>
      <c r="D659" s="800" t="s">
        <v>14111</v>
      </c>
      <c r="E659" s="801">
        <v>43033</v>
      </c>
      <c r="F659" s="800" t="s">
        <v>13997</v>
      </c>
      <c r="G659" s="800" t="s">
        <v>14112</v>
      </c>
      <c r="H659" s="800" t="s">
        <v>10404</v>
      </c>
      <c r="I659" s="800" t="s">
        <v>10404</v>
      </c>
      <c r="J659" s="800" t="s">
        <v>10447</v>
      </c>
      <c r="K659" s="800">
        <v>1</v>
      </c>
      <c r="L659" s="802" t="s">
        <v>10398</v>
      </c>
      <c r="M659" s="802" t="s">
        <v>14113</v>
      </c>
      <c r="N659" s="802" t="s">
        <v>14114</v>
      </c>
      <c r="O659" s="802" t="s">
        <v>14115</v>
      </c>
      <c r="P659" s="807" t="s">
        <v>14116</v>
      </c>
    </row>
    <row r="660" spans="1:16" s="341" customFormat="1" ht="25.5" customHeight="1">
      <c r="A660" s="806" t="s">
        <v>109</v>
      </c>
      <c r="B660" s="800" t="s">
        <v>82</v>
      </c>
      <c r="C660" s="800" t="s">
        <v>82</v>
      </c>
      <c r="D660" s="800" t="s">
        <v>14117</v>
      </c>
      <c r="E660" s="801">
        <v>43033</v>
      </c>
      <c r="F660" s="800" t="s">
        <v>13997</v>
      </c>
      <c r="G660" s="800" t="s">
        <v>14118</v>
      </c>
      <c r="H660" s="800" t="s">
        <v>10404</v>
      </c>
      <c r="I660" s="800" t="s">
        <v>10404</v>
      </c>
      <c r="J660" s="800" t="s">
        <v>10447</v>
      </c>
      <c r="K660" s="800">
        <v>1</v>
      </c>
      <c r="L660" s="802" t="s">
        <v>10398</v>
      </c>
      <c r="M660" s="802" t="s">
        <v>14119</v>
      </c>
      <c r="N660" s="802" t="s">
        <v>13617</v>
      </c>
      <c r="O660" s="802" t="s">
        <v>14115</v>
      </c>
      <c r="P660" s="807" t="s">
        <v>14120</v>
      </c>
    </row>
    <row r="661" spans="1:16" s="341" customFormat="1" ht="25.5" customHeight="1">
      <c r="A661" s="806" t="s">
        <v>109</v>
      </c>
      <c r="B661" s="800" t="s">
        <v>82</v>
      </c>
      <c r="C661" s="800" t="s">
        <v>82</v>
      </c>
      <c r="D661" s="800" t="s">
        <v>14121</v>
      </c>
      <c r="E661" s="801">
        <v>43033</v>
      </c>
      <c r="F661" s="800" t="s">
        <v>13997</v>
      </c>
      <c r="G661" s="800" t="s">
        <v>14122</v>
      </c>
      <c r="H661" s="800" t="s">
        <v>10404</v>
      </c>
      <c r="I661" s="800" t="s">
        <v>10404</v>
      </c>
      <c r="J661" s="800" t="s">
        <v>10447</v>
      </c>
      <c r="K661" s="800">
        <v>1</v>
      </c>
      <c r="L661" s="802" t="s">
        <v>10398</v>
      </c>
      <c r="M661" s="802" t="s">
        <v>32</v>
      </c>
      <c r="N661" s="802" t="s">
        <v>14123</v>
      </c>
      <c r="O661" s="802" t="s">
        <v>14124</v>
      </c>
      <c r="P661" s="807" t="s">
        <v>14125</v>
      </c>
    </row>
    <row r="662" spans="1:16" s="341" customFormat="1" ht="25.5" customHeight="1">
      <c r="A662" s="806" t="s">
        <v>109</v>
      </c>
      <c r="B662" s="800" t="s">
        <v>82</v>
      </c>
      <c r="C662" s="800" t="s">
        <v>82</v>
      </c>
      <c r="D662" s="800" t="s">
        <v>14126</v>
      </c>
      <c r="E662" s="801">
        <v>43033</v>
      </c>
      <c r="F662" s="800" t="s">
        <v>13997</v>
      </c>
      <c r="G662" s="800" t="s">
        <v>14127</v>
      </c>
      <c r="H662" s="800" t="s">
        <v>10404</v>
      </c>
      <c r="I662" s="800" t="s">
        <v>10404</v>
      </c>
      <c r="J662" s="800" t="s">
        <v>10447</v>
      </c>
      <c r="K662" s="800">
        <v>1</v>
      </c>
      <c r="L662" s="802" t="s">
        <v>10398</v>
      </c>
      <c r="M662" s="802" t="s">
        <v>14128</v>
      </c>
      <c r="N662" s="802" t="s">
        <v>14129</v>
      </c>
      <c r="O662" s="802" t="s">
        <v>14115</v>
      </c>
      <c r="P662" s="807" t="s">
        <v>14130</v>
      </c>
    </row>
    <row r="663" spans="1:16" s="341" customFormat="1" ht="25.5" customHeight="1">
      <c r="A663" s="806" t="s">
        <v>109</v>
      </c>
      <c r="B663" s="800" t="s">
        <v>82</v>
      </c>
      <c r="C663" s="800" t="s">
        <v>82</v>
      </c>
      <c r="D663" s="800" t="s">
        <v>14131</v>
      </c>
      <c r="E663" s="801">
        <v>43033</v>
      </c>
      <c r="F663" s="800" t="s">
        <v>13997</v>
      </c>
      <c r="G663" s="800" t="s">
        <v>14132</v>
      </c>
      <c r="H663" s="800" t="s">
        <v>10404</v>
      </c>
      <c r="I663" s="800" t="s">
        <v>10404</v>
      </c>
      <c r="J663" s="800" t="s">
        <v>10447</v>
      </c>
      <c r="K663" s="800">
        <v>1</v>
      </c>
      <c r="L663" s="802" t="s">
        <v>10398</v>
      </c>
      <c r="M663" s="802" t="s">
        <v>14133</v>
      </c>
      <c r="N663" s="802" t="s">
        <v>14134</v>
      </c>
      <c r="O663" s="802" t="s">
        <v>14135</v>
      </c>
      <c r="P663" s="807" t="s">
        <v>14136</v>
      </c>
    </row>
    <row r="664" spans="1:16" s="341" customFormat="1" ht="15" customHeight="1">
      <c r="A664" s="806" t="s">
        <v>109</v>
      </c>
      <c r="B664" s="800" t="s">
        <v>82</v>
      </c>
      <c r="C664" s="800" t="s">
        <v>82</v>
      </c>
      <c r="D664" s="800" t="s">
        <v>14137</v>
      </c>
      <c r="E664" s="801">
        <v>43033</v>
      </c>
      <c r="F664" s="800" t="s">
        <v>14042</v>
      </c>
      <c r="G664" s="800" t="s">
        <v>14138</v>
      </c>
      <c r="H664" s="800" t="s">
        <v>10404</v>
      </c>
      <c r="I664" s="800" t="s">
        <v>10404</v>
      </c>
      <c r="J664" s="800" t="s">
        <v>10447</v>
      </c>
      <c r="K664" s="800">
        <v>1</v>
      </c>
      <c r="L664" s="802" t="s">
        <v>11026</v>
      </c>
      <c r="M664" s="802" t="s">
        <v>14139</v>
      </c>
      <c r="N664" s="802" t="s">
        <v>14140</v>
      </c>
      <c r="O664" s="802" t="s">
        <v>14141</v>
      </c>
      <c r="P664" s="807" t="s">
        <v>14142</v>
      </c>
    </row>
    <row r="665" spans="1:16" s="341" customFormat="1" ht="15" customHeight="1">
      <c r="A665" s="806" t="s">
        <v>109</v>
      </c>
      <c r="B665" s="800" t="s">
        <v>82</v>
      </c>
      <c r="C665" s="800" t="s">
        <v>82</v>
      </c>
      <c r="D665" s="800" t="s">
        <v>14143</v>
      </c>
      <c r="E665" s="801">
        <v>43033</v>
      </c>
      <c r="F665" s="800" t="s">
        <v>13997</v>
      </c>
      <c r="G665" s="800" t="s">
        <v>14144</v>
      </c>
      <c r="H665" s="800" t="s">
        <v>10404</v>
      </c>
      <c r="I665" s="800" t="s">
        <v>10404</v>
      </c>
      <c r="J665" s="800" t="s">
        <v>10447</v>
      </c>
      <c r="K665" s="800">
        <v>1</v>
      </c>
      <c r="L665" s="802" t="s">
        <v>10398</v>
      </c>
      <c r="M665" s="802" t="s">
        <v>14145</v>
      </c>
      <c r="N665" s="802" t="s">
        <v>14146</v>
      </c>
      <c r="O665" s="802" t="s">
        <v>14109</v>
      </c>
      <c r="P665" s="807" t="s">
        <v>14147</v>
      </c>
    </row>
    <row r="666" spans="1:16" s="341" customFormat="1" ht="25.5" customHeight="1">
      <c r="A666" s="806" t="s">
        <v>109</v>
      </c>
      <c r="B666" s="800" t="s">
        <v>82</v>
      </c>
      <c r="C666" s="800" t="s">
        <v>82</v>
      </c>
      <c r="D666" s="800" t="s">
        <v>14148</v>
      </c>
      <c r="E666" s="801">
        <v>43033</v>
      </c>
      <c r="F666" s="800" t="s">
        <v>13997</v>
      </c>
      <c r="G666" s="800" t="s">
        <v>14149</v>
      </c>
      <c r="H666" s="800" t="s">
        <v>10404</v>
      </c>
      <c r="I666" s="800" t="s">
        <v>10404</v>
      </c>
      <c r="J666" s="800" t="s">
        <v>10447</v>
      </c>
      <c r="K666" s="800">
        <v>1</v>
      </c>
      <c r="L666" s="802" t="s">
        <v>11026</v>
      </c>
      <c r="M666" s="802" t="s">
        <v>14150</v>
      </c>
      <c r="N666" s="802" t="s">
        <v>14151</v>
      </c>
      <c r="O666" s="802" t="s">
        <v>14152</v>
      </c>
      <c r="P666" s="807" t="s">
        <v>14153</v>
      </c>
    </row>
    <row r="667" spans="1:16" s="341" customFormat="1" ht="25.5" customHeight="1">
      <c r="A667" s="806" t="s">
        <v>109</v>
      </c>
      <c r="B667" s="800" t="s">
        <v>82</v>
      </c>
      <c r="C667" s="800" t="s">
        <v>82</v>
      </c>
      <c r="D667" s="800" t="s">
        <v>14154</v>
      </c>
      <c r="E667" s="801">
        <v>43033</v>
      </c>
      <c r="F667" s="800" t="s">
        <v>14042</v>
      </c>
      <c r="G667" s="800" t="s">
        <v>14155</v>
      </c>
      <c r="H667" s="800" t="s">
        <v>10404</v>
      </c>
      <c r="I667" s="800" t="s">
        <v>10404</v>
      </c>
      <c r="J667" s="800" t="s">
        <v>10447</v>
      </c>
      <c r="K667" s="800">
        <v>1</v>
      </c>
      <c r="L667" s="802" t="s">
        <v>11026</v>
      </c>
      <c r="M667" s="802" t="s">
        <v>14156</v>
      </c>
      <c r="N667" s="802" t="s">
        <v>13954</v>
      </c>
      <c r="O667" s="802" t="s">
        <v>14157</v>
      </c>
      <c r="P667" s="807" t="s">
        <v>14158</v>
      </c>
    </row>
    <row r="668" spans="1:16" s="341" customFormat="1" ht="25.5" customHeight="1">
      <c r="A668" s="806" t="s">
        <v>109</v>
      </c>
      <c r="B668" s="800" t="s">
        <v>82</v>
      </c>
      <c r="C668" s="800" t="s">
        <v>82</v>
      </c>
      <c r="D668" s="800" t="s">
        <v>14159</v>
      </c>
      <c r="E668" s="801">
        <v>43028</v>
      </c>
      <c r="F668" s="800" t="s">
        <v>13941</v>
      </c>
      <c r="G668" s="800" t="s">
        <v>14160</v>
      </c>
      <c r="H668" s="800" t="s">
        <v>10433</v>
      </c>
      <c r="I668" s="800" t="s">
        <v>10433</v>
      </c>
      <c r="J668" s="800" t="s">
        <v>10447</v>
      </c>
      <c r="K668" s="800">
        <v>1</v>
      </c>
      <c r="L668" s="802" t="s">
        <v>10398</v>
      </c>
      <c r="M668" s="802" t="s">
        <v>14161</v>
      </c>
      <c r="N668" s="802" t="s">
        <v>14162</v>
      </c>
      <c r="O668" s="802" t="s">
        <v>14163</v>
      </c>
      <c r="P668" s="807" t="s">
        <v>14164</v>
      </c>
    </row>
    <row r="669" spans="1:16" s="341" customFormat="1" ht="15" customHeight="1">
      <c r="A669" s="806" t="s">
        <v>109</v>
      </c>
      <c r="B669" s="800" t="s">
        <v>82</v>
      </c>
      <c r="C669" s="800" t="s">
        <v>82</v>
      </c>
      <c r="D669" s="800" t="s">
        <v>14165</v>
      </c>
      <c r="E669" s="801">
        <v>43033</v>
      </c>
      <c r="F669" s="800" t="s">
        <v>13997</v>
      </c>
      <c r="G669" s="800" t="s">
        <v>14166</v>
      </c>
      <c r="H669" s="800" t="s">
        <v>10404</v>
      </c>
      <c r="I669" s="800" t="s">
        <v>10404</v>
      </c>
      <c r="J669" s="800" t="s">
        <v>10447</v>
      </c>
      <c r="K669" s="800">
        <v>1</v>
      </c>
      <c r="L669" s="802" t="s">
        <v>11026</v>
      </c>
      <c r="M669" s="802" t="s">
        <v>14167</v>
      </c>
      <c r="N669" s="802" t="s">
        <v>14168</v>
      </c>
      <c r="O669" s="802" t="s">
        <v>14169</v>
      </c>
      <c r="P669" s="807" t="s">
        <v>14170</v>
      </c>
    </row>
    <row r="670" spans="1:16" s="341" customFormat="1" ht="15" customHeight="1">
      <c r="A670" s="806" t="s">
        <v>109</v>
      </c>
      <c r="B670" s="800" t="s">
        <v>130</v>
      </c>
      <c r="C670" s="800" t="s">
        <v>261</v>
      </c>
      <c r="D670" s="800" t="s">
        <v>14171</v>
      </c>
      <c r="E670" s="801">
        <v>43021</v>
      </c>
      <c r="F670" s="800" t="s">
        <v>32</v>
      </c>
      <c r="G670" s="800" t="s">
        <v>14172</v>
      </c>
      <c r="H670" s="800" t="s">
        <v>10404</v>
      </c>
      <c r="I670" s="800" t="s">
        <v>10404</v>
      </c>
      <c r="J670" s="800" t="s">
        <v>10405</v>
      </c>
      <c r="K670" s="800">
        <v>1</v>
      </c>
      <c r="L670" s="802" t="s">
        <v>10398</v>
      </c>
      <c r="M670" s="802" t="s">
        <v>14173</v>
      </c>
      <c r="N670" s="802" t="s">
        <v>13138</v>
      </c>
      <c r="O670" s="802" t="s">
        <v>14174</v>
      </c>
      <c r="P670" s="807" t="s">
        <v>14175</v>
      </c>
    </row>
    <row r="671" spans="1:16" s="341" customFormat="1" ht="15" customHeight="1">
      <c r="A671" s="806" t="s">
        <v>109</v>
      </c>
      <c r="B671" s="800" t="s">
        <v>130</v>
      </c>
      <c r="C671" s="800" t="s">
        <v>261</v>
      </c>
      <c r="D671" s="800" t="s">
        <v>14176</v>
      </c>
      <c r="E671" s="801">
        <v>43021</v>
      </c>
      <c r="F671" s="800" t="s">
        <v>32</v>
      </c>
      <c r="G671" s="800" t="s">
        <v>32</v>
      </c>
      <c r="H671" s="800" t="s">
        <v>10404</v>
      </c>
      <c r="I671" s="800" t="s">
        <v>10404</v>
      </c>
      <c r="J671" s="800" t="s">
        <v>10405</v>
      </c>
      <c r="K671" s="800">
        <v>1</v>
      </c>
      <c r="L671" s="802" t="s">
        <v>10398</v>
      </c>
      <c r="M671" s="802" t="s">
        <v>32</v>
      </c>
      <c r="N671" s="802" t="s">
        <v>14177</v>
      </c>
      <c r="O671" s="802" t="s">
        <v>14178</v>
      </c>
      <c r="P671" s="807" t="s">
        <v>32</v>
      </c>
    </row>
    <row r="672" spans="1:16" s="341" customFormat="1" ht="15" customHeight="1">
      <c r="A672" s="806" t="s">
        <v>109</v>
      </c>
      <c r="B672" s="800" t="s">
        <v>130</v>
      </c>
      <c r="C672" s="800" t="s">
        <v>261</v>
      </c>
      <c r="D672" s="800" t="s">
        <v>14179</v>
      </c>
      <c r="E672" s="801">
        <v>43021</v>
      </c>
      <c r="F672" s="800" t="s">
        <v>32</v>
      </c>
      <c r="G672" s="800" t="s">
        <v>14180</v>
      </c>
      <c r="H672" s="800" t="s">
        <v>10433</v>
      </c>
      <c r="I672" s="800" t="s">
        <v>10433</v>
      </c>
      <c r="J672" s="800" t="s">
        <v>10447</v>
      </c>
      <c r="K672" s="800">
        <v>1</v>
      </c>
      <c r="L672" s="802" t="s">
        <v>10605</v>
      </c>
      <c r="M672" s="802" t="s">
        <v>32</v>
      </c>
      <c r="N672" s="802" t="s">
        <v>14181</v>
      </c>
      <c r="O672" s="802" t="s">
        <v>14182</v>
      </c>
      <c r="P672" s="807" t="s">
        <v>32</v>
      </c>
    </row>
    <row r="673" spans="1:16" s="341" customFormat="1" ht="25.5" customHeight="1">
      <c r="A673" s="806" t="s">
        <v>109</v>
      </c>
      <c r="B673" s="800" t="s">
        <v>130</v>
      </c>
      <c r="C673" s="800" t="s">
        <v>261</v>
      </c>
      <c r="D673" s="800" t="s">
        <v>14183</v>
      </c>
      <c r="E673" s="801">
        <v>43021</v>
      </c>
      <c r="F673" s="800" t="s">
        <v>32</v>
      </c>
      <c r="G673" s="800" t="s">
        <v>32</v>
      </c>
      <c r="H673" s="800" t="s">
        <v>10531</v>
      </c>
      <c r="I673" s="800" t="s">
        <v>10531</v>
      </c>
      <c r="J673" s="800" t="s">
        <v>10447</v>
      </c>
      <c r="K673" s="800">
        <v>1</v>
      </c>
      <c r="L673" s="802" t="s">
        <v>10398</v>
      </c>
      <c r="M673" s="802" t="s">
        <v>14184</v>
      </c>
      <c r="N673" s="802" t="s">
        <v>14185</v>
      </c>
      <c r="O673" s="802" t="s">
        <v>14186</v>
      </c>
      <c r="P673" s="807" t="s">
        <v>32</v>
      </c>
    </row>
    <row r="674" spans="1:16" s="341" customFormat="1" ht="25.5" customHeight="1">
      <c r="A674" s="806" t="s">
        <v>109</v>
      </c>
      <c r="B674" s="800" t="s">
        <v>130</v>
      </c>
      <c r="C674" s="800" t="s">
        <v>261</v>
      </c>
      <c r="D674" s="800" t="s">
        <v>14187</v>
      </c>
      <c r="E674" s="801">
        <v>43021</v>
      </c>
      <c r="F674" s="800" t="s">
        <v>32</v>
      </c>
      <c r="G674" s="800" t="s">
        <v>14188</v>
      </c>
      <c r="H674" s="800" t="s">
        <v>10404</v>
      </c>
      <c r="I674" s="800" t="s">
        <v>10404</v>
      </c>
      <c r="J674" s="800" t="s">
        <v>10447</v>
      </c>
      <c r="K674" s="800">
        <v>1</v>
      </c>
      <c r="L674" s="802" t="s">
        <v>10605</v>
      </c>
      <c r="M674" s="802" t="s">
        <v>32</v>
      </c>
      <c r="N674" s="802" t="s">
        <v>12532</v>
      </c>
      <c r="O674" s="802" t="s">
        <v>14189</v>
      </c>
      <c r="P674" s="807" t="s">
        <v>32</v>
      </c>
    </row>
    <row r="675" spans="1:16" s="341" customFormat="1" ht="15" customHeight="1">
      <c r="A675" s="806" t="s">
        <v>109</v>
      </c>
      <c r="B675" s="800" t="s">
        <v>130</v>
      </c>
      <c r="C675" s="800" t="s">
        <v>261</v>
      </c>
      <c r="D675" s="800" t="s">
        <v>14190</v>
      </c>
      <c r="E675" s="801">
        <v>43021</v>
      </c>
      <c r="F675" s="800" t="s">
        <v>261</v>
      </c>
      <c r="G675" s="800" t="s">
        <v>14191</v>
      </c>
      <c r="H675" s="800" t="s">
        <v>10433</v>
      </c>
      <c r="I675" s="800" t="s">
        <v>10433</v>
      </c>
      <c r="J675" s="800" t="s">
        <v>10447</v>
      </c>
      <c r="K675" s="800">
        <v>1</v>
      </c>
      <c r="L675" s="802" t="s">
        <v>10605</v>
      </c>
      <c r="M675" s="802"/>
      <c r="N675" s="802" t="s">
        <v>1817</v>
      </c>
      <c r="O675" s="802" t="s">
        <v>14192</v>
      </c>
      <c r="P675" s="807" t="s">
        <v>32</v>
      </c>
    </row>
    <row r="676" spans="1:16" s="341" customFormat="1" ht="38.25" customHeight="1">
      <c r="A676" s="806" t="s">
        <v>109</v>
      </c>
      <c r="B676" s="800" t="s">
        <v>130</v>
      </c>
      <c r="C676" s="800" t="s">
        <v>261</v>
      </c>
      <c r="D676" s="800" t="s">
        <v>14193</v>
      </c>
      <c r="E676" s="801">
        <v>43021</v>
      </c>
      <c r="F676" s="800" t="s">
        <v>261</v>
      </c>
      <c r="G676" s="800" t="s">
        <v>14194</v>
      </c>
      <c r="H676" s="800" t="s">
        <v>10396</v>
      </c>
      <c r="I676" s="800" t="s">
        <v>10396</v>
      </c>
      <c r="J676" s="800" t="s">
        <v>10397</v>
      </c>
      <c r="K676" s="800">
        <v>1</v>
      </c>
      <c r="L676" s="802" t="s">
        <v>11026</v>
      </c>
      <c r="M676" s="802" t="s">
        <v>14195</v>
      </c>
      <c r="N676" s="802" t="s">
        <v>14196</v>
      </c>
      <c r="O676" s="802" t="s">
        <v>14197</v>
      </c>
      <c r="P676" s="807" t="s">
        <v>14198</v>
      </c>
    </row>
    <row r="677" spans="1:16" s="341" customFormat="1" ht="25.5" customHeight="1">
      <c r="A677" s="806" t="s">
        <v>109</v>
      </c>
      <c r="B677" s="800" t="s">
        <v>130</v>
      </c>
      <c r="C677" s="800" t="s">
        <v>261</v>
      </c>
      <c r="D677" s="800" t="s">
        <v>14199</v>
      </c>
      <c r="E677" s="801">
        <v>43021</v>
      </c>
      <c r="F677" s="800" t="s">
        <v>32</v>
      </c>
      <c r="G677" s="800" t="s">
        <v>14200</v>
      </c>
      <c r="H677" s="800" t="s">
        <v>10433</v>
      </c>
      <c r="I677" s="800" t="s">
        <v>10433</v>
      </c>
      <c r="J677" s="800" t="s">
        <v>10447</v>
      </c>
      <c r="K677" s="800">
        <v>1</v>
      </c>
      <c r="L677" s="802" t="s">
        <v>11026</v>
      </c>
      <c r="M677" s="802" t="s">
        <v>14201</v>
      </c>
      <c r="N677" s="802" t="s">
        <v>14202</v>
      </c>
      <c r="O677" s="802" t="s">
        <v>14203</v>
      </c>
      <c r="P677" s="807" t="s">
        <v>14204</v>
      </c>
    </row>
    <row r="678" spans="1:16" s="341" customFormat="1" ht="25.5" customHeight="1">
      <c r="A678" s="806" t="s">
        <v>109</v>
      </c>
      <c r="B678" s="800" t="s">
        <v>130</v>
      </c>
      <c r="C678" s="800" t="s">
        <v>261</v>
      </c>
      <c r="D678" s="800" t="s">
        <v>14205</v>
      </c>
      <c r="E678" s="801">
        <v>43021</v>
      </c>
      <c r="F678" s="800" t="s">
        <v>261</v>
      </c>
      <c r="G678" s="800" t="s">
        <v>14206</v>
      </c>
      <c r="H678" s="800" t="s">
        <v>10404</v>
      </c>
      <c r="I678" s="800" t="s">
        <v>10404</v>
      </c>
      <c r="J678" s="800" t="s">
        <v>10405</v>
      </c>
      <c r="K678" s="800">
        <v>1</v>
      </c>
      <c r="L678" s="802" t="s">
        <v>10398</v>
      </c>
      <c r="M678" s="802" t="s">
        <v>14207</v>
      </c>
      <c r="N678" s="802" t="s">
        <v>14208</v>
      </c>
      <c r="O678" s="802" t="s">
        <v>14209</v>
      </c>
      <c r="P678" s="807" t="s">
        <v>32</v>
      </c>
    </row>
    <row r="679" spans="1:16" s="341" customFormat="1" ht="15" customHeight="1">
      <c r="A679" s="806" t="s">
        <v>109</v>
      </c>
      <c r="B679" s="800" t="s">
        <v>130</v>
      </c>
      <c r="C679" s="800" t="s">
        <v>261</v>
      </c>
      <c r="D679" s="800" t="s">
        <v>14210</v>
      </c>
      <c r="E679" s="801">
        <v>43021</v>
      </c>
      <c r="F679" s="800" t="s">
        <v>261</v>
      </c>
      <c r="G679" s="800" t="s">
        <v>14211</v>
      </c>
      <c r="H679" s="800" t="s">
        <v>10396</v>
      </c>
      <c r="I679" s="800" t="s">
        <v>10396</v>
      </c>
      <c r="J679" s="800" t="s">
        <v>10405</v>
      </c>
      <c r="K679" s="800">
        <v>1</v>
      </c>
      <c r="L679" s="802" t="s">
        <v>10398</v>
      </c>
      <c r="M679" s="802" t="s">
        <v>14212</v>
      </c>
      <c r="N679" s="802" t="s">
        <v>14213</v>
      </c>
      <c r="O679" s="802" t="s">
        <v>14214</v>
      </c>
      <c r="P679" s="807" t="s">
        <v>14215</v>
      </c>
    </row>
    <row r="680" spans="1:16" s="341" customFormat="1" ht="15" customHeight="1">
      <c r="A680" s="806" t="s">
        <v>109</v>
      </c>
      <c r="B680" s="800" t="s">
        <v>130</v>
      </c>
      <c r="C680" s="800" t="s">
        <v>261</v>
      </c>
      <c r="D680" s="800" t="s">
        <v>14216</v>
      </c>
      <c r="E680" s="801">
        <v>43021</v>
      </c>
      <c r="F680" s="800" t="s">
        <v>261</v>
      </c>
      <c r="G680" s="800" t="s">
        <v>14217</v>
      </c>
      <c r="H680" s="800" t="s">
        <v>10433</v>
      </c>
      <c r="I680" s="800" t="s">
        <v>10433</v>
      </c>
      <c r="J680" s="800" t="s">
        <v>10447</v>
      </c>
      <c r="K680" s="800">
        <v>1</v>
      </c>
      <c r="L680" s="802" t="s">
        <v>11026</v>
      </c>
      <c r="M680" s="802" t="s">
        <v>14218</v>
      </c>
      <c r="N680" s="802" t="s">
        <v>14219</v>
      </c>
      <c r="O680" s="802" t="s">
        <v>14220</v>
      </c>
      <c r="P680" s="807" t="s">
        <v>14221</v>
      </c>
    </row>
    <row r="681" spans="1:16" s="341" customFormat="1" ht="15" customHeight="1">
      <c r="A681" s="806" t="s">
        <v>109</v>
      </c>
      <c r="B681" s="800" t="s">
        <v>130</v>
      </c>
      <c r="C681" s="800" t="s">
        <v>261</v>
      </c>
      <c r="D681" s="800" t="s">
        <v>14222</v>
      </c>
      <c r="E681" s="801">
        <v>43021</v>
      </c>
      <c r="F681" s="800" t="s">
        <v>32</v>
      </c>
      <c r="G681" s="800" t="s">
        <v>32</v>
      </c>
      <c r="H681" s="800" t="s">
        <v>10404</v>
      </c>
      <c r="I681" s="800" t="s">
        <v>10404</v>
      </c>
      <c r="J681" s="800" t="s">
        <v>10405</v>
      </c>
      <c r="K681" s="800">
        <v>1</v>
      </c>
      <c r="L681" s="802" t="s">
        <v>10398</v>
      </c>
      <c r="M681" s="802" t="s">
        <v>14223</v>
      </c>
      <c r="N681" s="802" t="s">
        <v>10565</v>
      </c>
      <c r="O681" s="802" t="s">
        <v>10485</v>
      </c>
      <c r="P681" s="807" t="s">
        <v>32</v>
      </c>
    </row>
    <row r="682" spans="1:16" s="341" customFormat="1" ht="25.5" customHeight="1">
      <c r="A682" s="806" t="s">
        <v>109</v>
      </c>
      <c r="B682" s="800" t="s">
        <v>130</v>
      </c>
      <c r="C682" s="800" t="s">
        <v>261</v>
      </c>
      <c r="D682" s="800" t="s">
        <v>14224</v>
      </c>
      <c r="E682" s="801">
        <v>43021</v>
      </c>
      <c r="F682" s="800" t="s">
        <v>261</v>
      </c>
      <c r="G682" s="800" t="s">
        <v>14225</v>
      </c>
      <c r="H682" s="800" t="s">
        <v>10396</v>
      </c>
      <c r="I682" s="800" t="s">
        <v>10396</v>
      </c>
      <c r="J682" s="800" t="s">
        <v>10405</v>
      </c>
      <c r="K682" s="800">
        <v>1</v>
      </c>
      <c r="L682" s="802" t="s">
        <v>10398</v>
      </c>
      <c r="M682" s="802" t="s">
        <v>14226</v>
      </c>
      <c r="N682" s="802" t="s">
        <v>14227</v>
      </c>
      <c r="O682" s="802" t="s">
        <v>14228</v>
      </c>
      <c r="P682" s="807" t="s">
        <v>14229</v>
      </c>
    </row>
    <row r="683" spans="1:16" s="341" customFormat="1" ht="15" customHeight="1">
      <c r="A683" s="806" t="s">
        <v>109</v>
      </c>
      <c r="B683" s="800" t="s">
        <v>130</v>
      </c>
      <c r="C683" s="800" t="s">
        <v>261</v>
      </c>
      <c r="D683" s="800" t="s">
        <v>14230</v>
      </c>
      <c r="E683" s="801">
        <v>43021</v>
      </c>
      <c r="F683" s="800" t="s">
        <v>261</v>
      </c>
      <c r="G683" s="800" t="s">
        <v>14231</v>
      </c>
      <c r="H683" s="800" t="s">
        <v>10396</v>
      </c>
      <c r="I683" s="800" t="s">
        <v>10396</v>
      </c>
      <c r="J683" s="800" t="s">
        <v>10405</v>
      </c>
      <c r="K683" s="800">
        <v>1</v>
      </c>
      <c r="L683" s="802" t="s">
        <v>10605</v>
      </c>
      <c r="M683" s="802" t="s">
        <v>32</v>
      </c>
      <c r="N683" s="802" t="s">
        <v>14232</v>
      </c>
      <c r="O683" s="802" t="s">
        <v>14233</v>
      </c>
      <c r="P683" s="807" t="s">
        <v>14234</v>
      </c>
    </row>
    <row r="684" spans="1:16" s="341" customFormat="1" ht="15" customHeight="1">
      <c r="A684" s="806" t="s">
        <v>109</v>
      </c>
      <c r="B684" s="800" t="s">
        <v>130</v>
      </c>
      <c r="C684" s="800" t="s">
        <v>261</v>
      </c>
      <c r="D684" s="800" t="s">
        <v>14235</v>
      </c>
      <c r="E684" s="801">
        <v>43021</v>
      </c>
      <c r="F684" s="800" t="s">
        <v>261</v>
      </c>
      <c r="G684" s="800" t="s">
        <v>14236</v>
      </c>
      <c r="H684" s="800" t="s">
        <v>10396</v>
      </c>
      <c r="I684" s="800" t="s">
        <v>10396</v>
      </c>
      <c r="J684" s="800" t="s">
        <v>10405</v>
      </c>
      <c r="K684" s="800">
        <v>1</v>
      </c>
      <c r="L684" s="802" t="s">
        <v>10398</v>
      </c>
      <c r="M684" s="802" t="s">
        <v>14237</v>
      </c>
      <c r="N684" s="802" t="s">
        <v>14238</v>
      </c>
      <c r="O684" s="802" t="s">
        <v>14239</v>
      </c>
      <c r="P684" s="807" t="s">
        <v>32</v>
      </c>
    </row>
    <row r="685" spans="1:16" s="341" customFormat="1" ht="25.5" customHeight="1">
      <c r="A685" s="806" t="s">
        <v>109</v>
      </c>
      <c r="B685" s="800" t="s">
        <v>130</v>
      </c>
      <c r="C685" s="800" t="s">
        <v>261</v>
      </c>
      <c r="D685" s="800" t="s">
        <v>14240</v>
      </c>
      <c r="E685" s="801">
        <v>43021</v>
      </c>
      <c r="F685" s="800" t="s">
        <v>261</v>
      </c>
      <c r="G685" s="800" t="s">
        <v>14211</v>
      </c>
      <c r="H685" s="800" t="s">
        <v>10396</v>
      </c>
      <c r="I685" s="800" t="s">
        <v>10396</v>
      </c>
      <c r="J685" s="800" t="s">
        <v>10405</v>
      </c>
      <c r="K685" s="800">
        <v>1</v>
      </c>
      <c r="L685" s="802" t="s">
        <v>10398</v>
      </c>
      <c r="M685" s="802" t="s">
        <v>14241</v>
      </c>
      <c r="N685" s="802" t="s">
        <v>14242</v>
      </c>
      <c r="O685" s="802" t="s">
        <v>14243</v>
      </c>
      <c r="P685" s="807" t="s">
        <v>14244</v>
      </c>
    </row>
    <row r="686" spans="1:16" s="341" customFormat="1" ht="25.5" customHeight="1">
      <c r="A686" s="806" t="s">
        <v>109</v>
      </c>
      <c r="B686" s="800" t="s">
        <v>130</v>
      </c>
      <c r="C686" s="800" t="s">
        <v>261</v>
      </c>
      <c r="D686" s="800" t="s">
        <v>14245</v>
      </c>
      <c r="E686" s="801">
        <v>43020</v>
      </c>
      <c r="F686" s="800" t="s">
        <v>32</v>
      </c>
      <c r="G686" s="800" t="s">
        <v>14246</v>
      </c>
      <c r="H686" s="800" t="s">
        <v>10433</v>
      </c>
      <c r="I686" s="800" t="s">
        <v>10433</v>
      </c>
      <c r="J686" s="800" t="s">
        <v>10447</v>
      </c>
      <c r="K686" s="800">
        <v>1</v>
      </c>
      <c r="L686" s="802" t="s">
        <v>11026</v>
      </c>
      <c r="M686" s="802" t="s">
        <v>14247</v>
      </c>
      <c r="N686" s="802" t="s">
        <v>14248</v>
      </c>
      <c r="O686" s="802" t="s">
        <v>14249</v>
      </c>
      <c r="P686" s="807" t="s">
        <v>14250</v>
      </c>
    </row>
    <row r="687" spans="1:16" s="341" customFormat="1" ht="15" customHeight="1">
      <c r="A687" s="806" t="s">
        <v>109</v>
      </c>
      <c r="B687" s="800" t="s">
        <v>130</v>
      </c>
      <c r="C687" s="800" t="s">
        <v>261</v>
      </c>
      <c r="D687" s="800" t="s">
        <v>14251</v>
      </c>
      <c r="E687" s="801">
        <v>43020</v>
      </c>
      <c r="F687" s="800" t="s">
        <v>32</v>
      </c>
      <c r="G687" s="800" t="s">
        <v>14252</v>
      </c>
      <c r="H687" s="800" t="s">
        <v>10433</v>
      </c>
      <c r="I687" s="800" t="s">
        <v>10433</v>
      </c>
      <c r="J687" s="800" t="s">
        <v>10447</v>
      </c>
      <c r="K687" s="800">
        <v>1</v>
      </c>
      <c r="L687" s="802" t="s">
        <v>11026</v>
      </c>
      <c r="M687" s="802" t="s">
        <v>14253</v>
      </c>
      <c r="N687" s="802" t="s">
        <v>14254</v>
      </c>
      <c r="O687" s="802" t="s">
        <v>7419</v>
      </c>
      <c r="P687" s="807" t="s">
        <v>14255</v>
      </c>
    </row>
    <row r="688" spans="1:16" s="341" customFormat="1" ht="15" customHeight="1">
      <c r="A688" s="806" t="s">
        <v>109</v>
      </c>
      <c r="B688" s="800" t="s">
        <v>130</v>
      </c>
      <c r="C688" s="800" t="s">
        <v>261</v>
      </c>
      <c r="D688" s="800" t="s">
        <v>14256</v>
      </c>
      <c r="E688" s="801">
        <v>43020</v>
      </c>
      <c r="F688" s="800" t="s">
        <v>32</v>
      </c>
      <c r="G688" s="800" t="s">
        <v>14257</v>
      </c>
      <c r="H688" s="800" t="s">
        <v>10404</v>
      </c>
      <c r="I688" s="800" t="s">
        <v>10404</v>
      </c>
      <c r="J688" s="800" t="s">
        <v>10405</v>
      </c>
      <c r="K688" s="800">
        <v>1</v>
      </c>
      <c r="L688" s="802" t="s">
        <v>10398</v>
      </c>
      <c r="M688" s="802" t="s">
        <v>32</v>
      </c>
      <c r="N688" s="802" t="s">
        <v>14258</v>
      </c>
      <c r="O688" s="802" t="s">
        <v>14259</v>
      </c>
      <c r="P688" s="807" t="s">
        <v>32</v>
      </c>
    </row>
    <row r="689" spans="1:16" s="341" customFormat="1" ht="15" customHeight="1">
      <c r="A689" s="806" t="s">
        <v>109</v>
      </c>
      <c r="B689" s="800" t="s">
        <v>130</v>
      </c>
      <c r="C689" s="800" t="s">
        <v>261</v>
      </c>
      <c r="D689" s="800" t="s">
        <v>14260</v>
      </c>
      <c r="E689" s="801">
        <v>43020</v>
      </c>
      <c r="F689" s="800" t="s">
        <v>32</v>
      </c>
      <c r="G689" s="800" t="s">
        <v>14261</v>
      </c>
      <c r="H689" s="800" t="s">
        <v>10404</v>
      </c>
      <c r="I689" s="800" t="s">
        <v>10404</v>
      </c>
      <c r="J689" s="800" t="s">
        <v>10405</v>
      </c>
      <c r="K689" s="800">
        <v>1</v>
      </c>
      <c r="L689" s="802" t="s">
        <v>10398</v>
      </c>
      <c r="M689" s="802" t="s">
        <v>32</v>
      </c>
      <c r="N689" s="802" t="s">
        <v>14262</v>
      </c>
      <c r="O689" s="802" t="s">
        <v>14263</v>
      </c>
      <c r="P689" s="807" t="s">
        <v>32</v>
      </c>
    </row>
    <row r="690" spans="1:16" s="341" customFormat="1" ht="25.5" customHeight="1">
      <c r="A690" s="806" t="s">
        <v>109</v>
      </c>
      <c r="B690" s="800" t="s">
        <v>130</v>
      </c>
      <c r="C690" s="800" t="s">
        <v>261</v>
      </c>
      <c r="D690" s="800" t="s">
        <v>14264</v>
      </c>
      <c r="E690" s="801">
        <v>43020</v>
      </c>
      <c r="F690" s="800" t="s">
        <v>32</v>
      </c>
      <c r="G690" s="800" t="s">
        <v>14265</v>
      </c>
      <c r="H690" s="800" t="s">
        <v>10404</v>
      </c>
      <c r="I690" s="800" t="s">
        <v>10404</v>
      </c>
      <c r="J690" s="800" t="s">
        <v>10447</v>
      </c>
      <c r="K690" s="800">
        <v>1</v>
      </c>
      <c r="L690" s="802" t="s">
        <v>10398</v>
      </c>
      <c r="M690" s="802" t="s">
        <v>14266</v>
      </c>
      <c r="N690" s="802" t="s">
        <v>14267</v>
      </c>
      <c r="O690" s="802" t="s">
        <v>14268</v>
      </c>
      <c r="P690" s="807" t="s">
        <v>32</v>
      </c>
    </row>
    <row r="691" spans="1:16" s="341" customFormat="1" ht="25.5" customHeight="1">
      <c r="A691" s="806" t="s">
        <v>109</v>
      </c>
      <c r="B691" s="800" t="s">
        <v>130</v>
      </c>
      <c r="C691" s="800" t="s">
        <v>261</v>
      </c>
      <c r="D691" s="800" t="s">
        <v>14269</v>
      </c>
      <c r="E691" s="801">
        <v>43020</v>
      </c>
      <c r="F691" s="800" t="s">
        <v>32</v>
      </c>
      <c r="G691" s="800" t="s">
        <v>14270</v>
      </c>
      <c r="H691" s="800" t="s">
        <v>10433</v>
      </c>
      <c r="I691" s="800" t="s">
        <v>10433</v>
      </c>
      <c r="J691" s="800" t="s">
        <v>10405</v>
      </c>
      <c r="K691" s="800">
        <v>1</v>
      </c>
      <c r="L691" s="802" t="s">
        <v>10398</v>
      </c>
      <c r="M691" s="802" t="s">
        <v>14271</v>
      </c>
      <c r="N691" s="802" t="s">
        <v>9739</v>
      </c>
      <c r="O691" s="802" t="s">
        <v>14272</v>
      </c>
      <c r="P691" s="807" t="s">
        <v>14255</v>
      </c>
    </row>
    <row r="692" spans="1:16" s="341" customFormat="1" ht="25.5" customHeight="1">
      <c r="A692" s="806" t="s">
        <v>109</v>
      </c>
      <c r="B692" s="800" t="s">
        <v>130</v>
      </c>
      <c r="C692" s="800" t="s">
        <v>261</v>
      </c>
      <c r="D692" s="800" t="s">
        <v>14273</v>
      </c>
      <c r="E692" s="801">
        <v>43020</v>
      </c>
      <c r="F692" s="800" t="s">
        <v>32</v>
      </c>
      <c r="G692" s="800" t="s">
        <v>14274</v>
      </c>
      <c r="H692" s="800" t="s">
        <v>10433</v>
      </c>
      <c r="I692" s="800" t="s">
        <v>10433</v>
      </c>
      <c r="J692" s="800" t="s">
        <v>10447</v>
      </c>
      <c r="K692" s="800">
        <v>1</v>
      </c>
      <c r="L692" s="802" t="s">
        <v>10398</v>
      </c>
      <c r="M692" s="802" t="s">
        <v>32</v>
      </c>
      <c r="N692" s="802" t="s">
        <v>12946</v>
      </c>
      <c r="O692" s="802" t="s">
        <v>14275</v>
      </c>
      <c r="P692" s="807" t="s">
        <v>32</v>
      </c>
    </row>
    <row r="693" spans="1:16" s="341" customFormat="1" ht="25.5" customHeight="1">
      <c r="A693" s="806" t="s">
        <v>109</v>
      </c>
      <c r="B693" s="800" t="s">
        <v>130</v>
      </c>
      <c r="C693" s="800" t="s">
        <v>261</v>
      </c>
      <c r="D693" s="800" t="s">
        <v>14276</v>
      </c>
      <c r="E693" s="801">
        <v>43020</v>
      </c>
      <c r="F693" s="800" t="s">
        <v>32</v>
      </c>
      <c r="G693" s="800" t="s">
        <v>14274</v>
      </c>
      <c r="H693" s="800" t="s">
        <v>10433</v>
      </c>
      <c r="I693" s="800" t="s">
        <v>10433</v>
      </c>
      <c r="J693" s="800" t="s">
        <v>10447</v>
      </c>
      <c r="K693" s="800">
        <v>1</v>
      </c>
      <c r="L693" s="802" t="s">
        <v>10398</v>
      </c>
      <c r="M693" s="802" t="s">
        <v>14277</v>
      </c>
      <c r="N693" s="802" t="s">
        <v>14278</v>
      </c>
      <c r="O693" s="802" t="s">
        <v>14279</v>
      </c>
      <c r="P693" s="807" t="s">
        <v>32</v>
      </c>
    </row>
    <row r="694" spans="1:16" s="341" customFormat="1" ht="25.5" customHeight="1">
      <c r="A694" s="806" t="s">
        <v>109</v>
      </c>
      <c r="B694" s="800" t="s">
        <v>130</v>
      </c>
      <c r="C694" s="800" t="s">
        <v>261</v>
      </c>
      <c r="D694" s="800" t="s">
        <v>14280</v>
      </c>
      <c r="E694" s="801">
        <v>43020</v>
      </c>
      <c r="F694" s="800" t="s">
        <v>32</v>
      </c>
      <c r="G694" s="800" t="s">
        <v>14281</v>
      </c>
      <c r="H694" s="800" t="s">
        <v>10433</v>
      </c>
      <c r="I694" s="800" t="s">
        <v>10433</v>
      </c>
      <c r="J694" s="800" t="s">
        <v>10447</v>
      </c>
      <c r="K694" s="800">
        <v>1</v>
      </c>
      <c r="L694" s="802" t="s">
        <v>10398</v>
      </c>
      <c r="M694" s="802" t="s">
        <v>32</v>
      </c>
      <c r="N694" s="802" t="s">
        <v>14282</v>
      </c>
      <c r="O694" s="802" t="s">
        <v>14283</v>
      </c>
      <c r="P694" s="807" t="s">
        <v>14284</v>
      </c>
    </row>
    <row r="695" spans="1:16" s="341" customFormat="1" ht="25.5" customHeight="1">
      <c r="A695" s="806" t="s">
        <v>109</v>
      </c>
      <c r="B695" s="800" t="s">
        <v>130</v>
      </c>
      <c r="C695" s="800" t="s">
        <v>261</v>
      </c>
      <c r="D695" s="800" t="s">
        <v>14285</v>
      </c>
      <c r="E695" s="801">
        <v>43020</v>
      </c>
      <c r="F695" s="800" t="s">
        <v>32</v>
      </c>
      <c r="G695" s="800" t="s">
        <v>14286</v>
      </c>
      <c r="H695" s="800" t="s">
        <v>10433</v>
      </c>
      <c r="I695" s="800" t="s">
        <v>10433</v>
      </c>
      <c r="J695" s="800" t="s">
        <v>10447</v>
      </c>
      <c r="K695" s="800">
        <v>1</v>
      </c>
      <c r="L695" s="802" t="s">
        <v>10398</v>
      </c>
      <c r="M695" s="802"/>
      <c r="N695" s="802" t="s">
        <v>14287</v>
      </c>
      <c r="O695" s="802" t="s">
        <v>14288</v>
      </c>
      <c r="P695" s="807" t="s">
        <v>14284</v>
      </c>
    </row>
    <row r="696" spans="1:16" s="341" customFormat="1" ht="25.5" customHeight="1">
      <c r="A696" s="806" t="s">
        <v>109</v>
      </c>
      <c r="B696" s="800" t="s">
        <v>130</v>
      </c>
      <c r="C696" s="800" t="s">
        <v>261</v>
      </c>
      <c r="D696" s="800" t="s">
        <v>14289</v>
      </c>
      <c r="E696" s="801">
        <v>43020</v>
      </c>
      <c r="F696" s="800" t="s">
        <v>32</v>
      </c>
      <c r="G696" s="800" t="s">
        <v>14286</v>
      </c>
      <c r="H696" s="800" t="s">
        <v>10433</v>
      </c>
      <c r="I696" s="800" t="s">
        <v>10433</v>
      </c>
      <c r="J696" s="800" t="s">
        <v>10447</v>
      </c>
      <c r="K696" s="800">
        <v>1</v>
      </c>
      <c r="L696" s="802" t="s">
        <v>10398</v>
      </c>
      <c r="M696" s="802" t="s">
        <v>14290</v>
      </c>
      <c r="N696" s="802" t="s">
        <v>14291</v>
      </c>
      <c r="O696" s="802" t="s">
        <v>14292</v>
      </c>
      <c r="P696" s="807" t="s">
        <v>14293</v>
      </c>
    </row>
    <row r="697" spans="1:16" s="341" customFormat="1" ht="15" customHeight="1">
      <c r="A697" s="806" t="s">
        <v>109</v>
      </c>
      <c r="B697" s="800" t="s">
        <v>130</v>
      </c>
      <c r="C697" s="800" t="s">
        <v>261</v>
      </c>
      <c r="D697" s="800" t="s">
        <v>14294</v>
      </c>
      <c r="E697" s="801">
        <v>43020</v>
      </c>
      <c r="F697" s="800" t="s">
        <v>32</v>
      </c>
      <c r="G697" s="800" t="s">
        <v>14295</v>
      </c>
      <c r="H697" s="800" t="s">
        <v>10433</v>
      </c>
      <c r="I697" s="800" t="s">
        <v>10433</v>
      </c>
      <c r="J697" s="800" t="s">
        <v>10397</v>
      </c>
      <c r="K697" s="800">
        <v>1</v>
      </c>
      <c r="L697" s="802" t="s">
        <v>10398</v>
      </c>
      <c r="M697" s="802" t="s">
        <v>14296</v>
      </c>
      <c r="N697" s="802" t="s">
        <v>14297</v>
      </c>
      <c r="O697" s="802" t="s">
        <v>14298</v>
      </c>
      <c r="P697" s="807" t="s">
        <v>14299</v>
      </c>
    </row>
    <row r="698" spans="1:16" s="341" customFormat="1" ht="25.5" customHeight="1">
      <c r="A698" s="806" t="s">
        <v>109</v>
      </c>
      <c r="B698" s="800" t="s">
        <v>130</v>
      </c>
      <c r="C698" s="800" t="s">
        <v>261</v>
      </c>
      <c r="D698" s="800" t="s">
        <v>14300</v>
      </c>
      <c r="E698" s="801">
        <v>43020</v>
      </c>
      <c r="F698" s="800" t="s">
        <v>261</v>
      </c>
      <c r="G698" s="800" t="s">
        <v>14301</v>
      </c>
      <c r="H698" s="800" t="s">
        <v>10396</v>
      </c>
      <c r="I698" s="800" t="s">
        <v>10396</v>
      </c>
      <c r="J698" s="800" t="s">
        <v>10397</v>
      </c>
      <c r="K698" s="800">
        <v>1</v>
      </c>
      <c r="L698" s="802" t="s">
        <v>10398</v>
      </c>
      <c r="M698" s="802" t="s">
        <v>14302</v>
      </c>
      <c r="N698" s="802" t="s">
        <v>14303</v>
      </c>
      <c r="O698" s="802" t="s">
        <v>14268</v>
      </c>
      <c r="P698" s="807" t="s">
        <v>14304</v>
      </c>
    </row>
    <row r="699" spans="1:16" s="341" customFormat="1" ht="15" customHeight="1">
      <c r="A699" s="806" t="s">
        <v>109</v>
      </c>
      <c r="B699" s="800" t="s">
        <v>130</v>
      </c>
      <c r="C699" s="800" t="s">
        <v>261</v>
      </c>
      <c r="D699" s="800" t="s">
        <v>14305</v>
      </c>
      <c r="E699" s="801">
        <v>43020</v>
      </c>
      <c r="F699" s="800" t="s">
        <v>32</v>
      </c>
      <c r="G699" s="800" t="s">
        <v>14306</v>
      </c>
      <c r="H699" s="800" t="s">
        <v>10531</v>
      </c>
      <c r="I699" s="800" t="s">
        <v>10531</v>
      </c>
      <c r="J699" s="800" t="s">
        <v>10397</v>
      </c>
      <c r="K699" s="800">
        <v>1</v>
      </c>
      <c r="L699" s="802" t="s">
        <v>10398</v>
      </c>
      <c r="M699" s="802" t="s">
        <v>14307</v>
      </c>
      <c r="N699" s="802" t="s">
        <v>14308</v>
      </c>
      <c r="O699" s="802" t="s">
        <v>14309</v>
      </c>
      <c r="P699" s="807" t="s">
        <v>14310</v>
      </c>
    </row>
    <row r="700" spans="1:16" s="341" customFormat="1" ht="25.5" customHeight="1">
      <c r="A700" s="806" t="s">
        <v>109</v>
      </c>
      <c r="B700" s="800" t="s">
        <v>130</v>
      </c>
      <c r="C700" s="800" t="s">
        <v>261</v>
      </c>
      <c r="D700" s="800" t="s">
        <v>14311</v>
      </c>
      <c r="E700" s="801">
        <v>43020</v>
      </c>
      <c r="F700" s="800" t="s">
        <v>32</v>
      </c>
      <c r="G700" s="800" t="s">
        <v>14312</v>
      </c>
      <c r="H700" s="800" t="s">
        <v>10531</v>
      </c>
      <c r="I700" s="800" t="s">
        <v>10531</v>
      </c>
      <c r="J700" s="800" t="s">
        <v>10447</v>
      </c>
      <c r="K700" s="800">
        <v>1</v>
      </c>
      <c r="L700" s="802" t="s">
        <v>10398</v>
      </c>
      <c r="M700" s="802" t="s">
        <v>14313</v>
      </c>
      <c r="N700" s="802" t="s">
        <v>14314</v>
      </c>
      <c r="O700" s="802" t="s">
        <v>14315</v>
      </c>
      <c r="P700" s="807" t="s">
        <v>14316</v>
      </c>
    </row>
    <row r="701" spans="1:16" s="341" customFormat="1" ht="25.5" customHeight="1">
      <c r="A701" s="806" t="s">
        <v>109</v>
      </c>
      <c r="B701" s="800" t="s">
        <v>130</v>
      </c>
      <c r="C701" s="800" t="s">
        <v>261</v>
      </c>
      <c r="D701" s="800" t="s">
        <v>14317</v>
      </c>
      <c r="E701" s="801">
        <v>43020</v>
      </c>
      <c r="F701" s="800" t="s">
        <v>261</v>
      </c>
      <c r="G701" s="800" t="s">
        <v>14318</v>
      </c>
      <c r="H701" s="800" t="s">
        <v>10404</v>
      </c>
      <c r="I701" s="800" t="s">
        <v>10404</v>
      </c>
      <c r="J701" s="800" t="s">
        <v>10447</v>
      </c>
      <c r="K701" s="800">
        <v>1</v>
      </c>
      <c r="L701" s="802" t="s">
        <v>11026</v>
      </c>
      <c r="M701" s="802" t="s">
        <v>14319</v>
      </c>
      <c r="N701" s="802" t="s">
        <v>11290</v>
      </c>
      <c r="O701" s="802" t="s">
        <v>14189</v>
      </c>
      <c r="P701" s="807" t="s">
        <v>14320</v>
      </c>
    </row>
    <row r="702" spans="1:16" s="341" customFormat="1" ht="25.5" customHeight="1">
      <c r="A702" s="806" t="s">
        <v>109</v>
      </c>
      <c r="B702" s="800" t="s">
        <v>130</v>
      </c>
      <c r="C702" s="800" t="s">
        <v>261</v>
      </c>
      <c r="D702" s="800" t="s">
        <v>14321</v>
      </c>
      <c r="E702" s="801">
        <v>43020</v>
      </c>
      <c r="F702" s="800" t="s">
        <v>261</v>
      </c>
      <c r="G702" s="800" t="s">
        <v>14322</v>
      </c>
      <c r="H702" s="800" t="s">
        <v>10396</v>
      </c>
      <c r="I702" s="800" t="s">
        <v>10396</v>
      </c>
      <c r="J702" s="800" t="s">
        <v>10447</v>
      </c>
      <c r="K702" s="800">
        <v>1</v>
      </c>
      <c r="L702" s="802" t="s">
        <v>10398</v>
      </c>
      <c r="M702" s="802" t="s">
        <v>14323</v>
      </c>
      <c r="N702" s="802" t="s">
        <v>14324</v>
      </c>
      <c r="O702" s="802" t="s">
        <v>14325</v>
      </c>
      <c r="P702" s="807" t="s">
        <v>14326</v>
      </c>
    </row>
    <row r="703" spans="1:16" s="341" customFormat="1" ht="15" customHeight="1">
      <c r="A703" s="806" t="s">
        <v>109</v>
      </c>
      <c r="B703" s="800" t="s">
        <v>130</v>
      </c>
      <c r="C703" s="800" t="s">
        <v>261</v>
      </c>
      <c r="D703" s="800" t="s">
        <v>14327</v>
      </c>
      <c r="E703" s="801">
        <v>43020</v>
      </c>
      <c r="F703" s="800" t="s">
        <v>261</v>
      </c>
      <c r="G703" s="800" t="s">
        <v>14328</v>
      </c>
      <c r="H703" s="800" t="s">
        <v>10396</v>
      </c>
      <c r="I703" s="800" t="s">
        <v>10396</v>
      </c>
      <c r="J703" s="800" t="s">
        <v>10447</v>
      </c>
      <c r="K703" s="800">
        <v>1</v>
      </c>
      <c r="L703" s="802" t="s">
        <v>10398</v>
      </c>
      <c r="M703" s="802" t="s">
        <v>14329</v>
      </c>
      <c r="N703" s="802" t="s">
        <v>14330</v>
      </c>
      <c r="O703" s="802" t="s">
        <v>14331</v>
      </c>
      <c r="P703" s="807" t="s">
        <v>14332</v>
      </c>
    </row>
    <row r="704" spans="1:16" s="341" customFormat="1" ht="15" customHeight="1">
      <c r="A704" s="806" t="s">
        <v>109</v>
      </c>
      <c r="B704" s="800" t="s">
        <v>130</v>
      </c>
      <c r="C704" s="800" t="s">
        <v>261</v>
      </c>
      <c r="D704" s="800" t="s">
        <v>14333</v>
      </c>
      <c r="E704" s="801">
        <v>43020</v>
      </c>
      <c r="F704" s="800" t="s">
        <v>261</v>
      </c>
      <c r="G704" s="800" t="s">
        <v>14334</v>
      </c>
      <c r="H704" s="800" t="s">
        <v>10404</v>
      </c>
      <c r="I704" s="800" t="s">
        <v>10404</v>
      </c>
      <c r="J704" s="800" t="s">
        <v>10405</v>
      </c>
      <c r="K704" s="800">
        <v>1</v>
      </c>
      <c r="L704" s="802" t="s">
        <v>11026</v>
      </c>
      <c r="M704" s="802" t="s">
        <v>14335</v>
      </c>
      <c r="N704" s="802" t="s">
        <v>11939</v>
      </c>
      <c r="O704" s="802" t="s">
        <v>14336</v>
      </c>
      <c r="P704" s="807" t="s">
        <v>14337</v>
      </c>
    </row>
    <row r="705" spans="1:16" s="341" customFormat="1" ht="15" customHeight="1">
      <c r="A705" s="806" t="s">
        <v>109</v>
      </c>
      <c r="B705" s="800" t="s">
        <v>130</v>
      </c>
      <c r="C705" s="800" t="s">
        <v>261</v>
      </c>
      <c r="D705" s="800" t="s">
        <v>14338</v>
      </c>
      <c r="E705" s="801">
        <v>43020</v>
      </c>
      <c r="F705" s="800" t="s">
        <v>261</v>
      </c>
      <c r="G705" s="800" t="s">
        <v>14339</v>
      </c>
      <c r="H705" s="800" t="s">
        <v>10531</v>
      </c>
      <c r="I705" s="800" t="s">
        <v>10531</v>
      </c>
      <c r="J705" s="800" t="s">
        <v>10397</v>
      </c>
      <c r="K705" s="800">
        <v>1</v>
      </c>
      <c r="L705" s="802" t="s">
        <v>10398</v>
      </c>
      <c r="M705" s="802" t="s">
        <v>14340</v>
      </c>
      <c r="N705" s="802" t="s">
        <v>10698</v>
      </c>
      <c r="O705" s="802" t="s">
        <v>14341</v>
      </c>
      <c r="P705" s="807" t="s">
        <v>14342</v>
      </c>
    </row>
    <row r="706" spans="1:16" s="341" customFormat="1" ht="15" customHeight="1">
      <c r="A706" s="806" t="s">
        <v>109</v>
      </c>
      <c r="B706" s="800" t="s">
        <v>130</v>
      </c>
      <c r="C706" s="800" t="s">
        <v>261</v>
      </c>
      <c r="D706" s="800" t="s">
        <v>14343</v>
      </c>
      <c r="E706" s="801">
        <v>43020</v>
      </c>
      <c r="F706" s="800" t="s">
        <v>261</v>
      </c>
      <c r="G706" s="800" t="s">
        <v>14344</v>
      </c>
      <c r="H706" s="800" t="s">
        <v>10396</v>
      </c>
      <c r="I706" s="800" t="s">
        <v>10396</v>
      </c>
      <c r="J706" s="800" t="s">
        <v>10397</v>
      </c>
      <c r="K706" s="800">
        <v>1</v>
      </c>
      <c r="L706" s="802" t="s">
        <v>10398</v>
      </c>
      <c r="M706" s="802" t="s">
        <v>14345</v>
      </c>
      <c r="N706" s="802" t="s">
        <v>14346</v>
      </c>
      <c r="O706" s="802" t="s">
        <v>14347</v>
      </c>
      <c r="P706" s="807" t="s">
        <v>14348</v>
      </c>
    </row>
    <row r="707" spans="1:16" s="341" customFormat="1" ht="38.25" customHeight="1">
      <c r="A707" s="806" t="s">
        <v>109</v>
      </c>
      <c r="B707" s="800" t="s">
        <v>130</v>
      </c>
      <c r="C707" s="800" t="s">
        <v>261</v>
      </c>
      <c r="D707" s="800" t="s">
        <v>14349</v>
      </c>
      <c r="E707" s="801">
        <v>43020</v>
      </c>
      <c r="F707" s="800" t="s">
        <v>261</v>
      </c>
      <c r="G707" s="800" t="s">
        <v>14344</v>
      </c>
      <c r="H707" s="800" t="s">
        <v>10396</v>
      </c>
      <c r="I707" s="800" t="s">
        <v>10396</v>
      </c>
      <c r="J707" s="800" t="s">
        <v>10405</v>
      </c>
      <c r="K707" s="800">
        <v>1</v>
      </c>
      <c r="L707" s="802" t="s">
        <v>11026</v>
      </c>
      <c r="M707" s="802" t="s">
        <v>14350</v>
      </c>
      <c r="N707" s="802" t="s">
        <v>14351</v>
      </c>
      <c r="O707" s="802" t="s">
        <v>14352</v>
      </c>
      <c r="P707" s="807" t="s">
        <v>14353</v>
      </c>
    </row>
    <row r="708" spans="1:16" s="341" customFormat="1" ht="25.5" customHeight="1">
      <c r="A708" s="806" t="s">
        <v>109</v>
      </c>
      <c r="B708" s="800" t="s">
        <v>130</v>
      </c>
      <c r="C708" s="800" t="s">
        <v>261</v>
      </c>
      <c r="D708" s="800" t="s">
        <v>14354</v>
      </c>
      <c r="E708" s="801">
        <v>43020</v>
      </c>
      <c r="F708" s="800" t="s">
        <v>261</v>
      </c>
      <c r="G708" s="800" t="s">
        <v>14355</v>
      </c>
      <c r="H708" s="800" t="s">
        <v>10396</v>
      </c>
      <c r="I708" s="800" t="s">
        <v>10396</v>
      </c>
      <c r="J708" s="800" t="s">
        <v>10447</v>
      </c>
      <c r="K708" s="800">
        <v>1</v>
      </c>
      <c r="L708" s="802" t="s">
        <v>10398</v>
      </c>
      <c r="M708" s="802" t="s">
        <v>14356</v>
      </c>
      <c r="N708" s="802" t="s">
        <v>14357</v>
      </c>
      <c r="O708" s="802" t="s">
        <v>14358</v>
      </c>
      <c r="P708" s="807" t="s">
        <v>14359</v>
      </c>
    </row>
    <row r="709" spans="1:16" s="341" customFormat="1" ht="15" customHeight="1">
      <c r="A709" s="806" t="s">
        <v>109</v>
      </c>
      <c r="B709" s="800" t="s">
        <v>130</v>
      </c>
      <c r="C709" s="800" t="s">
        <v>261</v>
      </c>
      <c r="D709" s="800" t="s">
        <v>14360</v>
      </c>
      <c r="E709" s="801">
        <v>43020</v>
      </c>
      <c r="F709" s="800" t="s">
        <v>261</v>
      </c>
      <c r="G709" s="800" t="s">
        <v>14361</v>
      </c>
      <c r="H709" s="800" t="s">
        <v>10396</v>
      </c>
      <c r="I709" s="800" t="s">
        <v>10396</v>
      </c>
      <c r="J709" s="800" t="s">
        <v>10397</v>
      </c>
      <c r="K709" s="800">
        <v>1</v>
      </c>
      <c r="L709" s="802" t="s">
        <v>10398</v>
      </c>
      <c r="M709" s="802" t="s">
        <v>14362</v>
      </c>
      <c r="N709" s="802" t="s">
        <v>14363</v>
      </c>
      <c r="O709" s="802" t="s">
        <v>14364</v>
      </c>
      <c r="P709" s="807" t="s">
        <v>32</v>
      </c>
    </row>
    <row r="710" spans="1:16" s="341" customFormat="1" ht="15" customHeight="1">
      <c r="A710" s="806" t="s">
        <v>109</v>
      </c>
      <c r="B710" s="800" t="s">
        <v>130</v>
      </c>
      <c r="C710" s="800" t="s">
        <v>261</v>
      </c>
      <c r="D710" s="800" t="s">
        <v>14365</v>
      </c>
      <c r="E710" s="801">
        <v>43020</v>
      </c>
      <c r="F710" s="800" t="s">
        <v>174</v>
      </c>
      <c r="G710" s="800" t="s">
        <v>14366</v>
      </c>
      <c r="H710" s="800" t="s">
        <v>10396</v>
      </c>
      <c r="I710" s="800" t="s">
        <v>10396</v>
      </c>
      <c r="J710" s="800" t="s">
        <v>10397</v>
      </c>
      <c r="K710" s="800">
        <v>1</v>
      </c>
      <c r="L710" s="802" t="s">
        <v>10398</v>
      </c>
      <c r="M710" s="802" t="s">
        <v>14367</v>
      </c>
      <c r="N710" s="802" t="s">
        <v>14368</v>
      </c>
      <c r="O710" s="802" t="s">
        <v>14369</v>
      </c>
      <c r="P710" s="807" t="s">
        <v>14370</v>
      </c>
    </row>
    <row r="711" spans="1:16" s="341" customFormat="1" ht="25.5" customHeight="1">
      <c r="A711" s="806" t="s">
        <v>109</v>
      </c>
      <c r="B711" s="800" t="s">
        <v>130</v>
      </c>
      <c r="C711" s="800" t="s">
        <v>261</v>
      </c>
      <c r="D711" s="800" t="s">
        <v>14371</v>
      </c>
      <c r="E711" s="801">
        <v>43020</v>
      </c>
      <c r="F711" s="800" t="s">
        <v>32</v>
      </c>
      <c r="G711" s="800" t="s">
        <v>14372</v>
      </c>
      <c r="H711" s="800" t="s">
        <v>10531</v>
      </c>
      <c r="I711" s="800" t="s">
        <v>10531</v>
      </c>
      <c r="J711" s="800" t="s">
        <v>4342</v>
      </c>
      <c r="K711" s="800">
        <v>1</v>
      </c>
      <c r="L711" s="802" t="s">
        <v>10398</v>
      </c>
      <c r="M711" s="802" t="s">
        <v>14373</v>
      </c>
      <c r="N711" s="802" t="s">
        <v>9446</v>
      </c>
      <c r="O711" s="802" t="s">
        <v>14374</v>
      </c>
      <c r="P711" s="807" t="s">
        <v>14375</v>
      </c>
    </row>
    <row r="712" spans="1:16" s="341" customFormat="1" ht="25.5" customHeight="1">
      <c r="A712" s="806" t="s">
        <v>109</v>
      </c>
      <c r="B712" s="800" t="s">
        <v>130</v>
      </c>
      <c r="C712" s="800" t="s">
        <v>261</v>
      </c>
      <c r="D712" s="800" t="s">
        <v>14376</v>
      </c>
      <c r="E712" s="801">
        <v>43020</v>
      </c>
      <c r="F712" s="800" t="s">
        <v>14377</v>
      </c>
      <c r="G712" s="800" t="s">
        <v>14378</v>
      </c>
      <c r="H712" s="800" t="s">
        <v>10404</v>
      </c>
      <c r="I712" s="800" t="s">
        <v>10404</v>
      </c>
      <c r="J712" s="800" t="s">
        <v>10405</v>
      </c>
      <c r="K712" s="800">
        <v>1</v>
      </c>
      <c r="L712" s="802" t="s">
        <v>10398</v>
      </c>
      <c r="M712" s="802" t="s">
        <v>14379</v>
      </c>
      <c r="N712" s="802" t="s">
        <v>14380</v>
      </c>
      <c r="O712" s="802" t="s">
        <v>14381</v>
      </c>
      <c r="P712" s="807" t="s">
        <v>14382</v>
      </c>
    </row>
    <row r="713" spans="1:16" s="341" customFormat="1" ht="25.5" customHeight="1">
      <c r="A713" s="806" t="s">
        <v>109</v>
      </c>
      <c r="B713" s="800" t="s">
        <v>130</v>
      </c>
      <c r="C713" s="800" t="s">
        <v>261</v>
      </c>
      <c r="D713" s="800" t="s">
        <v>14383</v>
      </c>
      <c r="E713" s="801">
        <v>43020</v>
      </c>
      <c r="F713" s="800" t="s">
        <v>32</v>
      </c>
      <c r="G713" s="800" t="s">
        <v>14384</v>
      </c>
      <c r="H713" s="800" t="s">
        <v>10404</v>
      </c>
      <c r="I713" s="800" t="s">
        <v>10404</v>
      </c>
      <c r="J713" s="800" t="s">
        <v>10405</v>
      </c>
      <c r="K713" s="800">
        <v>1</v>
      </c>
      <c r="L713" s="802" t="s">
        <v>10605</v>
      </c>
      <c r="M713" s="802" t="s">
        <v>32</v>
      </c>
      <c r="N713" s="802" t="s">
        <v>11290</v>
      </c>
      <c r="O713" s="802" t="s">
        <v>14385</v>
      </c>
      <c r="P713" s="807" t="s">
        <v>14386</v>
      </c>
    </row>
    <row r="714" spans="1:16" s="341" customFormat="1" ht="15" customHeight="1">
      <c r="A714" s="806" t="s">
        <v>109</v>
      </c>
      <c r="B714" s="800" t="s">
        <v>130</v>
      </c>
      <c r="C714" s="800" t="s">
        <v>261</v>
      </c>
      <c r="D714" s="800" t="s">
        <v>14387</v>
      </c>
      <c r="E714" s="801">
        <v>43020</v>
      </c>
      <c r="F714" s="800" t="s">
        <v>32</v>
      </c>
      <c r="G714" s="800" t="s">
        <v>14388</v>
      </c>
      <c r="H714" s="800" t="s">
        <v>10404</v>
      </c>
      <c r="I714" s="800" t="s">
        <v>10404</v>
      </c>
      <c r="J714" s="800" t="s">
        <v>10397</v>
      </c>
      <c r="K714" s="800">
        <v>1</v>
      </c>
      <c r="L714" s="802" t="s">
        <v>10398</v>
      </c>
      <c r="M714" s="802" t="s">
        <v>14389</v>
      </c>
      <c r="N714" s="802" t="s">
        <v>14390</v>
      </c>
      <c r="O714" s="802" t="s">
        <v>14391</v>
      </c>
      <c r="P714" s="807" t="s">
        <v>14392</v>
      </c>
    </row>
    <row r="715" spans="1:16" s="341" customFormat="1" ht="25.5" customHeight="1">
      <c r="A715" s="806" t="s">
        <v>109</v>
      </c>
      <c r="B715" s="800" t="s">
        <v>130</v>
      </c>
      <c r="C715" s="800" t="s">
        <v>261</v>
      </c>
      <c r="D715" s="800" t="s">
        <v>14393</v>
      </c>
      <c r="E715" s="801">
        <v>43020</v>
      </c>
      <c r="F715" s="800" t="s">
        <v>2053</v>
      </c>
      <c r="G715" s="800" t="s">
        <v>14394</v>
      </c>
      <c r="H715" s="800" t="s">
        <v>10404</v>
      </c>
      <c r="I715" s="800" t="s">
        <v>10404</v>
      </c>
      <c r="J715" s="800" t="s">
        <v>10405</v>
      </c>
      <c r="K715" s="800">
        <v>1</v>
      </c>
      <c r="L715" s="802" t="s">
        <v>10398</v>
      </c>
      <c r="M715" s="802" t="s">
        <v>14395</v>
      </c>
      <c r="N715" s="802" t="s">
        <v>14396</v>
      </c>
      <c r="O715" s="802" t="s">
        <v>14397</v>
      </c>
      <c r="P715" s="807" t="s">
        <v>14375</v>
      </c>
    </row>
    <row r="716" spans="1:16" s="341" customFormat="1" ht="15" customHeight="1">
      <c r="A716" s="806" t="s">
        <v>109</v>
      </c>
      <c r="B716" s="800" t="s">
        <v>130</v>
      </c>
      <c r="C716" s="800" t="s">
        <v>261</v>
      </c>
      <c r="D716" s="800" t="s">
        <v>14398</v>
      </c>
      <c r="E716" s="801">
        <v>43020</v>
      </c>
      <c r="F716" s="800" t="s">
        <v>32</v>
      </c>
      <c r="G716" s="800" t="s">
        <v>14399</v>
      </c>
      <c r="H716" s="800" t="s">
        <v>10404</v>
      </c>
      <c r="I716" s="800" t="s">
        <v>10404</v>
      </c>
      <c r="J716" s="800" t="s">
        <v>10405</v>
      </c>
      <c r="K716" s="800">
        <v>1</v>
      </c>
      <c r="L716" s="802" t="s">
        <v>10605</v>
      </c>
      <c r="M716" s="802" t="s">
        <v>14400</v>
      </c>
      <c r="N716" s="802" t="s">
        <v>12969</v>
      </c>
      <c r="O716" s="802" t="s">
        <v>14401</v>
      </c>
      <c r="P716" s="807" t="s">
        <v>32</v>
      </c>
    </row>
    <row r="717" spans="1:16" s="341" customFormat="1" ht="15" customHeight="1">
      <c r="A717" s="806" t="s">
        <v>109</v>
      </c>
      <c r="B717" s="800" t="s">
        <v>130</v>
      </c>
      <c r="C717" s="800" t="s">
        <v>261</v>
      </c>
      <c r="D717" s="800" t="s">
        <v>14402</v>
      </c>
      <c r="E717" s="801">
        <v>43020</v>
      </c>
      <c r="F717" s="800" t="s">
        <v>2053</v>
      </c>
      <c r="G717" s="800" t="s">
        <v>14403</v>
      </c>
      <c r="H717" s="800" t="s">
        <v>10404</v>
      </c>
      <c r="I717" s="800" t="s">
        <v>10404</v>
      </c>
      <c r="J717" s="800" t="s">
        <v>10405</v>
      </c>
      <c r="K717" s="800">
        <v>1</v>
      </c>
      <c r="L717" s="802" t="s">
        <v>10398</v>
      </c>
      <c r="M717" s="802" t="s">
        <v>14404</v>
      </c>
      <c r="N717" s="802" t="s">
        <v>14405</v>
      </c>
      <c r="O717" s="802" t="s">
        <v>14406</v>
      </c>
      <c r="P717" s="807" t="s">
        <v>32</v>
      </c>
    </row>
    <row r="718" spans="1:16" s="341" customFormat="1" ht="25.5" customHeight="1">
      <c r="A718" s="806" t="s">
        <v>109</v>
      </c>
      <c r="B718" s="800" t="s">
        <v>130</v>
      </c>
      <c r="C718" s="800" t="s">
        <v>261</v>
      </c>
      <c r="D718" s="800" t="s">
        <v>14407</v>
      </c>
      <c r="E718" s="801">
        <v>43020</v>
      </c>
      <c r="F718" s="800" t="s">
        <v>2053</v>
      </c>
      <c r="G718" s="800" t="s">
        <v>14408</v>
      </c>
      <c r="H718" s="800" t="s">
        <v>10404</v>
      </c>
      <c r="I718" s="800" t="s">
        <v>10404</v>
      </c>
      <c r="J718" s="800" t="s">
        <v>10447</v>
      </c>
      <c r="K718" s="800">
        <v>1</v>
      </c>
      <c r="L718" s="802" t="s">
        <v>10398</v>
      </c>
      <c r="M718" s="802" t="s">
        <v>14409</v>
      </c>
      <c r="N718" s="802" t="s">
        <v>14410</v>
      </c>
      <c r="O718" s="802" t="s">
        <v>14411</v>
      </c>
      <c r="P718" s="807" t="s">
        <v>14412</v>
      </c>
    </row>
    <row r="719" spans="1:16" s="341" customFormat="1" ht="25.5" customHeight="1">
      <c r="A719" s="806" t="s">
        <v>109</v>
      </c>
      <c r="B719" s="800" t="s">
        <v>130</v>
      </c>
      <c r="C719" s="800" t="s">
        <v>261</v>
      </c>
      <c r="D719" s="800" t="s">
        <v>14413</v>
      </c>
      <c r="E719" s="801">
        <v>43020</v>
      </c>
      <c r="F719" s="800" t="s">
        <v>32</v>
      </c>
      <c r="G719" s="800" t="s">
        <v>14414</v>
      </c>
      <c r="H719" s="800" t="s">
        <v>10404</v>
      </c>
      <c r="I719" s="800" t="s">
        <v>10404</v>
      </c>
      <c r="J719" s="800" t="s">
        <v>10405</v>
      </c>
      <c r="K719" s="800">
        <v>1</v>
      </c>
      <c r="L719" s="802"/>
      <c r="M719" s="802"/>
      <c r="N719" s="802"/>
      <c r="O719" s="802"/>
      <c r="P719" s="807" t="s">
        <v>14415</v>
      </c>
    </row>
    <row r="720" spans="1:16" s="341" customFormat="1" ht="15" customHeight="1">
      <c r="A720" s="806" t="s">
        <v>109</v>
      </c>
      <c r="B720" s="800" t="s">
        <v>130</v>
      </c>
      <c r="C720" s="800" t="s">
        <v>261</v>
      </c>
      <c r="D720" s="800" t="s">
        <v>14416</v>
      </c>
      <c r="E720" s="801">
        <v>43020</v>
      </c>
      <c r="F720" s="800" t="s">
        <v>32</v>
      </c>
      <c r="G720" s="800" t="s">
        <v>14417</v>
      </c>
      <c r="H720" s="800" t="s">
        <v>10404</v>
      </c>
      <c r="I720" s="800" t="s">
        <v>10404</v>
      </c>
      <c r="J720" s="800" t="s">
        <v>10405</v>
      </c>
      <c r="K720" s="800">
        <v>1</v>
      </c>
      <c r="L720" s="802" t="s">
        <v>10398</v>
      </c>
      <c r="M720" s="802" t="s">
        <v>14418</v>
      </c>
      <c r="N720" s="802" t="s">
        <v>14419</v>
      </c>
      <c r="O720" s="802" t="s">
        <v>14420</v>
      </c>
      <c r="P720" s="807" t="s">
        <v>14415</v>
      </c>
    </row>
    <row r="721" spans="1:16" s="341" customFormat="1" ht="15" customHeight="1">
      <c r="A721" s="806" t="s">
        <v>109</v>
      </c>
      <c r="B721" s="800" t="s">
        <v>130</v>
      </c>
      <c r="C721" s="800" t="s">
        <v>261</v>
      </c>
      <c r="D721" s="800" t="s">
        <v>14421</v>
      </c>
      <c r="E721" s="801">
        <v>43020</v>
      </c>
      <c r="F721" s="800" t="s">
        <v>14377</v>
      </c>
      <c r="G721" s="800" t="s">
        <v>14422</v>
      </c>
      <c r="H721" s="800" t="s">
        <v>10404</v>
      </c>
      <c r="I721" s="800" t="s">
        <v>10404</v>
      </c>
      <c r="J721" s="800" t="s">
        <v>10405</v>
      </c>
      <c r="K721" s="800">
        <v>1</v>
      </c>
      <c r="L721" s="802" t="s">
        <v>10398</v>
      </c>
      <c r="M721" s="802" t="s">
        <v>14423</v>
      </c>
      <c r="N721" s="802" t="s">
        <v>11766</v>
      </c>
      <c r="O721" s="802" t="s">
        <v>14424</v>
      </c>
      <c r="P721" s="807" t="s">
        <v>14425</v>
      </c>
    </row>
    <row r="722" spans="1:16" s="341" customFormat="1" ht="38.25" customHeight="1">
      <c r="A722" s="806" t="s">
        <v>109</v>
      </c>
      <c r="B722" s="800" t="s">
        <v>130</v>
      </c>
      <c r="C722" s="800" t="s">
        <v>261</v>
      </c>
      <c r="D722" s="800" t="s">
        <v>14426</v>
      </c>
      <c r="E722" s="801">
        <v>43020</v>
      </c>
      <c r="F722" s="800" t="s">
        <v>32</v>
      </c>
      <c r="G722" s="800" t="s">
        <v>14427</v>
      </c>
      <c r="H722" s="800" t="s">
        <v>10404</v>
      </c>
      <c r="I722" s="800" t="s">
        <v>10404</v>
      </c>
      <c r="J722" s="800" t="s">
        <v>10405</v>
      </c>
      <c r="K722" s="800">
        <v>1</v>
      </c>
      <c r="L722" s="802" t="s">
        <v>10398</v>
      </c>
      <c r="M722" s="802" t="s">
        <v>14428</v>
      </c>
      <c r="N722" s="802" t="s">
        <v>14429</v>
      </c>
      <c r="O722" s="802" t="s">
        <v>14430</v>
      </c>
      <c r="P722" s="807" t="s">
        <v>14431</v>
      </c>
    </row>
    <row r="723" spans="1:16" s="341" customFormat="1" ht="25.5" customHeight="1">
      <c r="A723" s="806" t="s">
        <v>109</v>
      </c>
      <c r="B723" s="800" t="s">
        <v>130</v>
      </c>
      <c r="C723" s="800" t="s">
        <v>261</v>
      </c>
      <c r="D723" s="800" t="s">
        <v>14432</v>
      </c>
      <c r="E723" s="801">
        <v>43020</v>
      </c>
      <c r="F723" s="800" t="s">
        <v>14433</v>
      </c>
      <c r="G723" s="800" t="s">
        <v>14434</v>
      </c>
      <c r="H723" s="800" t="s">
        <v>10396</v>
      </c>
      <c r="I723" s="800" t="s">
        <v>10396</v>
      </c>
      <c r="J723" s="800" t="s">
        <v>10397</v>
      </c>
      <c r="K723" s="800">
        <v>1</v>
      </c>
      <c r="L723" s="802" t="s">
        <v>11045</v>
      </c>
      <c r="M723" s="802" t="s">
        <v>14435</v>
      </c>
      <c r="N723" s="802" t="s">
        <v>14436</v>
      </c>
      <c r="O723" s="802" t="s">
        <v>14437</v>
      </c>
      <c r="P723" s="807" t="s">
        <v>14438</v>
      </c>
    </row>
    <row r="724" spans="1:16" s="341" customFormat="1" ht="38.25" customHeight="1">
      <c r="A724" s="806" t="s">
        <v>109</v>
      </c>
      <c r="B724" s="800" t="s">
        <v>130</v>
      </c>
      <c r="C724" s="800" t="s">
        <v>261</v>
      </c>
      <c r="D724" s="800" t="s">
        <v>14439</v>
      </c>
      <c r="E724" s="801">
        <v>43020</v>
      </c>
      <c r="F724" s="800" t="s">
        <v>32</v>
      </c>
      <c r="G724" s="800" t="s">
        <v>14440</v>
      </c>
      <c r="H724" s="800" t="s">
        <v>10404</v>
      </c>
      <c r="I724" s="800" t="s">
        <v>10404</v>
      </c>
      <c r="J724" s="800" t="s">
        <v>10405</v>
      </c>
      <c r="K724" s="800">
        <v>1</v>
      </c>
      <c r="L724" s="802" t="s">
        <v>10398</v>
      </c>
      <c r="M724" s="802" t="s">
        <v>14441</v>
      </c>
      <c r="N724" s="802" t="s">
        <v>14442</v>
      </c>
      <c r="O724" s="802" t="s">
        <v>14443</v>
      </c>
      <c r="P724" s="807" t="s">
        <v>14444</v>
      </c>
    </row>
    <row r="725" spans="1:16" s="341" customFormat="1" ht="15" customHeight="1">
      <c r="A725" s="806" t="s">
        <v>109</v>
      </c>
      <c r="B725" s="800" t="s">
        <v>130</v>
      </c>
      <c r="C725" s="800" t="s">
        <v>261</v>
      </c>
      <c r="D725" s="800" t="s">
        <v>14445</v>
      </c>
      <c r="E725" s="801">
        <v>43020</v>
      </c>
      <c r="F725" s="800" t="s">
        <v>32</v>
      </c>
      <c r="G725" s="800" t="s">
        <v>14446</v>
      </c>
      <c r="H725" s="800" t="s">
        <v>10404</v>
      </c>
      <c r="I725" s="800" t="s">
        <v>10404</v>
      </c>
      <c r="J725" s="800" t="s">
        <v>10405</v>
      </c>
      <c r="K725" s="800">
        <v>1</v>
      </c>
      <c r="L725" s="802" t="s">
        <v>10398</v>
      </c>
      <c r="M725" s="802" t="s">
        <v>14447</v>
      </c>
      <c r="N725" s="802" t="s">
        <v>14448</v>
      </c>
      <c r="O725" s="802" t="s">
        <v>14449</v>
      </c>
      <c r="P725" s="807" t="s">
        <v>14450</v>
      </c>
    </row>
    <row r="726" spans="1:16" s="341" customFormat="1" ht="25.5" customHeight="1">
      <c r="A726" s="806" t="s">
        <v>109</v>
      </c>
      <c r="B726" s="800" t="s">
        <v>130</v>
      </c>
      <c r="C726" s="800" t="s">
        <v>261</v>
      </c>
      <c r="D726" s="800" t="s">
        <v>14451</v>
      </c>
      <c r="E726" s="801">
        <v>43020</v>
      </c>
      <c r="F726" s="800" t="s">
        <v>32</v>
      </c>
      <c r="G726" s="800" t="s">
        <v>14452</v>
      </c>
      <c r="H726" s="800" t="s">
        <v>10404</v>
      </c>
      <c r="I726" s="800" t="s">
        <v>10404</v>
      </c>
      <c r="J726" s="800" t="s">
        <v>10405</v>
      </c>
      <c r="K726" s="800">
        <v>1</v>
      </c>
      <c r="L726" s="802" t="s">
        <v>10398</v>
      </c>
      <c r="M726" s="802" t="s">
        <v>14453</v>
      </c>
      <c r="N726" s="802" t="s">
        <v>14454</v>
      </c>
      <c r="O726" s="802" t="s">
        <v>14455</v>
      </c>
      <c r="P726" s="807" t="s">
        <v>14456</v>
      </c>
    </row>
    <row r="727" spans="1:16" s="341" customFormat="1" ht="25.5" customHeight="1">
      <c r="A727" s="806" t="s">
        <v>109</v>
      </c>
      <c r="B727" s="800" t="s">
        <v>130</v>
      </c>
      <c r="C727" s="800" t="s">
        <v>261</v>
      </c>
      <c r="D727" s="800" t="s">
        <v>14457</v>
      </c>
      <c r="E727" s="801">
        <v>43020</v>
      </c>
      <c r="F727" s="800" t="s">
        <v>32</v>
      </c>
      <c r="G727" s="800" t="s">
        <v>14458</v>
      </c>
      <c r="H727" s="800" t="s">
        <v>10404</v>
      </c>
      <c r="I727" s="800" t="s">
        <v>10404</v>
      </c>
      <c r="J727" s="800" t="s">
        <v>10405</v>
      </c>
      <c r="K727" s="800">
        <v>1</v>
      </c>
      <c r="L727" s="802" t="s">
        <v>10398</v>
      </c>
      <c r="M727" s="802" t="s">
        <v>14459</v>
      </c>
      <c r="N727" s="802" t="s">
        <v>14460</v>
      </c>
      <c r="O727" s="802" t="s">
        <v>14461</v>
      </c>
      <c r="P727" s="807" t="s">
        <v>14462</v>
      </c>
    </row>
    <row r="728" spans="1:16" s="341" customFormat="1" ht="25.5" customHeight="1">
      <c r="A728" s="806" t="s">
        <v>109</v>
      </c>
      <c r="B728" s="800" t="s">
        <v>130</v>
      </c>
      <c r="C728" s="800" t="s">
        <v>261</v>
      </c>
      <c r="D728" s="800" t="s">
        <v>14463</v>
      </c>
      <c r="E728" s="801">
        <v>43020</v>
      </c>
      <c r="F728" s="800" t="s">
        <v>14464</v>
      </c>
      <c r="G728" s="800" t="s">
        <v>14465</v>
      </c>
      <c r="H728" s="800" t="s">
        <v>10404</v>
      </c>
      <c r="I728" s="800" t="s">
        <v>10404</v>
      </c>
      <c r="J728" s="800" t="s">
        <v>10405</v>
      </c>
      <c r="K728" s="800">
        <v>1</v>
      </c>
      <c r="L728" s="802" t="s">
        <v>10398</v>
      </c>
      <c r="M728" s="802" t="s">
        <v>14466</v>
      </c>
      <c r="N728" s="802" t="s">
        <v>14467</v>
      </c>
      <c r="O728" s="802" t="s">
        <v>14468</v>
      </c>
      <c r="P728" s="807" t="s">
        <v>14469</v>
      </c>
    </row>
    <row r="729" spans="1:16" s="341" customFormat="1" ht="38.25" customHeight="1">
      <c r="A729" s="806" t="s">
        <v>109</v>
      </c>
      <c r="B729" s="800" t="s">
        <v>130</v>
      </c>
      <c r="C729" s="800" t="s">
        <v>261</v>
      </c>
      <c r="D729" s="800" t="s">
        <v>14470</v>
      </c>
      <c r="E729" s="801">
        <v>43020</v>
      </c>
      <c r="F729" s="800" t="s">
        <v>14471</v>
      </c>
      <c r="G729" s="800" t="s">
        <v>14472</v>
      </c>
      <c r="H729" s="800" t="s">
        <v>10404</v>
      </c>
      <c r="I729" s="800" t="s">
        <v>10404</v>
      </c>
      <c r="J729" s="800" t="s">
        <v>10405</v>
      </c>
      <c r="K729" s="800">
        <v>1</v>
      </c>
      <c r="L729" s="802" t="s">
        <v>10398</v>
      </c>
      <c r="M729" s="802" t="s">
        <v>14473</v>
      </c>
      <c r="N729" s="802" t="s">
        <v>14474</v>
      </c>
      <c r="O729" s="802" t="s">
        <v>14475</v>
      </c>
      <c r="P729" s="807" t="s">
        <v>14476</v>
      </c>
    </row>
    <row r="730" spans="1:16" s="341" customFormat="1" ht="25.5" customHeight="1">
      <c r="A730" s="806" t="s">
        <v>109</v>
      </c>
      <c r="B730" s="800" t="s">
        <v>130</v>
      </c>
      <c r="C730" s="800" t="s">
        <v>261</v>
      </c>
      <c r="D730" s="800" t="s">
        <v>14477</v>
      </c>
      <c r="E730" s="801">
        <v>43020</v>
      </c>
      <c r="F730" s="800" t="s">
        <v>13997</v>
      </c>
      <c r="G730" s="800" t="s">
        <v>14478</v>
      </c>
      <c r="H730" s="800" t="s">
        <v>10404</v>
      </c>
      <c r="I730" s="800" t="s">
        <v>10404</v>
      </c>
      <c r="J730" s="800" t="s">
        <v>10405</v>
      </c>
      <c r="K730" s="800">
        <v>1</v>
      </c>
      <c r="L730" s="802" t="s">
        <v>10398</v>
      </c>
      <c r="M730" s="802"/>
      <c r="N730" s="802" t="s">
        <v>14479</v>
      </c>
      <c r="O730" s="802" t="s">
        <v>14480</v>
      </c>
      <c r="P730" s="807" t="s">
        <v>14481</v>
      </c>
    </row>
    <row r="731" spans="1:16" s="341" customFormat="1" ht="38.25" customHeight="1">
      <c r="A731" s="806" t="s">
        <v>109</v>
      </c>
      <c r="B731" s="800" t="s">
        <v>130</v>
      </c>
      <c r="C731" s="800" t="s">
        <v>261</v>
      </c>
      <c r="D731" s="800" t="s">
        <v>14482</v>
      </c>
      <c r="E731" s="801">
        <v>43020</v>
      </c>
      <c r="F731" s="800" t="s">
        <v>13997</v>
      </c>
      <c r="G731" s="800" t="s">
        <v>14483</v>
      </c>
      <c r="H731" s="800" t="s">
        <v>10404</v>
      </c>
      <c r="I731" s="800" t="s">
        <v>10404</v>
      </c>
      <c r="J731" s="800" t="s">
        <v>10405</v>
      </c>
      <c r="K731" s="800">
        <v>1</v>
      </c>
      <c r="L731" s="802" t="s">
        <v>10398</v>
      </c>
      <c r="M731" s="802" t="s">
        <v>14484</v>
      </c>
      <c r="N731" s="802" t="s">
        <v>11005</v>
      </c>
      <c r="O731" s="802" t="s">
        <v>14485</v>
      </c>
      <c r="P731" s="807" t="s">
        <v>14486</v>
      </c>
    </row>
    <row r="732" spans="1:16" s="341" customFormat="1" ht="25.5" customHeight="1">
      <c r="A732" s="806" t="s">
        <v>109</v>
      </c>
      <c r="B732" s="800" t="s">
        <v>130</v>
      </c>
      <c r="C732" s="800" t="s">
        <v>261</v>
      </c>
      <c r="D732" s="800" t="s">
        <v>14487</v>
      </c>
      <c r="E732" s="801">
        <v>43020</v>
      </c>
      <c r="F732" s="800" t="s">
        <v>13997</v>
      </c>
      <c r="G732" s="800" t="s">
        <v>14488</v>
      </c>
      <c r="H732" s="800" t="s">
        <v>10404</v>
      </c>
      <c r="I732" s="800" t="s">
        <v>10404</v>
      </c>
      <c r="J732" s="800" t="s">
        <v>10405</v>
      </c>
      <c r="K732" s="800">
        <v>1</v>
      </c>
      <c r="L732" s="802" t="s">
        <v>10398</v>
      </c>
      <c r="M732" s="802" t="s">
        <v>14489</v>
      </c>
      <c r="N732" s="802" t="s">
        <v>14490</v>
      </c>
      <c r="O732" s="802" t="s">
        <v>14491</v>
      </c>
      <c r="P732" s="807" t="s">
        <v>14492</v>
      </c>
    </row>
    <row r="733" spans="1:16" s="341" customFormat="1" ht="38.25" customHeight="1">
      <c r="A733" s="806" t="s">
        <v>109</v>
      </c>
      <c r="B733" s="800" t="s">
        <v>130</v>
      </c>
      <c r="C733" s="800" t="s">
        <v>261</v>
      </c>
      <c r="D733" s="800" t="s">
        <v>14493</v>
      </c>
      <c r="E733" s="801">
        <v>43020</v>
      </c>
      <c r="F733" s="800" t="s">
        <v>13997</v>
      </c>
      <c r="G733" s="800" t="s">
        <v>14494</v>
      </c>
      <c r="H733" s="800" t="s">
        <v>10404</v>
      </c>
      <c r="I733" s="800" t="s">
        <v>10404</v>
      </c>
      <c r="J733" s="800" t="s">
        <v>10405</v>
      </c>
      <c r="K733" s="800">
        <v>1</v>
      </c>
      <c r="L733" s="802" t="s">
        <v>11026</v>
      </c>
      <c r="M733" s="802" t="s">
        <v>14495</v>
      </c>
      <c r="N733" s="802" t="s">
        <v>14496</v>
      </c>
      <c r="O733" s="802" t="s">
        <v>14497</v>
      </c>
      <c r="P733" s="807" t="s">
        <v>14492</v>
      </c>
    </row>
    <row r="734" spans="1:16" s="341" customFormat="1" ht="25.5" customHeight="1">
      <c r="A734" s="806" t="s">
        <v>109</v>
      </c>
      <c r="B734" s="800" t="s">
        <v>130</v>
      </c>
      <c r="C734" s="800" t="s">
        <v>261</v>
      </c>
      <c r="D734" s="800" t="s">
        <v>14498</v>
      </c>
      <c r="E734" s="801">
        <v>43020</v>
      </c>
      <c r="F734" s="800" t="s">
        <v>13997</v>
      </c>
      <c r="G734" s="800" t="s">
        <v>14499</v>
      </c>
      <c r="H734" s="800" t="s">
        <v>10404</v>
      </c>
      <c r="I734" s="800" t="s">
        <v>10404</v>
      </c>
      <c r="J734" s="800" t="s">
        <v>10405</v>
      </c>
      <c r="K734" s="800">
        <v>1</v>
      </c>
      <c r="L734" s="802" t="s">
        <v>10605</v>
      </c>
      <c r="M734" s="802" t="s">
        <v>14500</v>
      </c>
      <c r="N734" s="802" t="s">
        <v>14501</v>
      </c>
      <c r="O734" s="802" t="s">
        <v>14502</v>
      </c>
      <c r="P734" s="807" t="s">
        <v>14503</v>
      </c>
    </row>
    <row r="735" spans="1:16" s="341" customFormat="1" ht="15" customHeight="1">
      <c r="A735" s="806" t="s">
        <v>109</v>
      </c>
      <c r="B735" s="800" t="s">
        <v>130</v>
      </c>
      <c r="C735" s="800" t="s">
        <v>261</v>
      </c>
      <c r="D735" s="800" t="s">
        <v>14504</v>
      </c>
      <c r="E735" s="801">
        <v>43020</v>
      </c>
      <c r="F735" s="800" t="s">
        <v>13997</v>
      </c>
      <c r="G735" s="800" t="s">
        <v>14505</v>
      </c>
      <c r="H735" s="800" t="s">
        <v>10404</v>
      </c>
      <c r="I735" s="800" t="s">
        <v>10404</v>
      </c>
      <c r="J735" s="800" t="s">
        <v>10405</v>
      </c>
      <c r="K735" s="800">
        <v>1</v>
      </c>
      <c r="L735" s="802" t="s">
        <v>10398</v>
      </c>
      <c r="M735" s="802" t="s">
        <v>14506</v>
      </c>
      <c r="N735" s="802" t="s">
        <v>10988</v>
      </c>
      <c r="O735" s="802" t="s">
        <v>14507</v>
      </c>
      <c r="P735" s="807" t="s">
        <v>32</v>
      </c>
    </row>
    <row r="736" spans="1:16" s="341" customFormat="1" ht="15" customHeight="1">
      <c r="A736" s="806" t="s">
        <v>109</v>
      </c>
      <c r="B736" s="800" t="s">
        <v>130</v>
      </c>
      <c r="C736" s="800" t="s">
        <v>261</v>
      </c>
      <c r="D736" s="800" t="s">
        <v>14508</v>
      </c>
      <c r="E736" s="801">
        <v>43020</v>
      </c>
      <c r="F736" s="800" t="s">
        <v>13997</v>
      </c>
      <c r="G736" s="800" t="s">
        <v>14509</v>
      </c>
      <c r="H736" s="800" t="s">
        <v>10404</v>
      </c>
      <c r="I736" s="800" t="s">
        <v>10404</v>
      </c>
      <c r="J736" s="800" t="s">
        <v>10405</v>
      </c>
      <c r="K736" s="800">
        <v>1</v>
      </c>
      <c r="L736" s="802" t="s">
        <v>10398</v>
      </c>
      <c r="M736" s="802" t="s">
        <v>14510</v>
      </c>
      <c r="N736" s="802" t="s">
        <v>13749</v>
      </c>
      <c r="O736" s="802" t="s">
        <v>14511</v>
      </c>
      <c r="P736" s="807" t="s">
        <v>32</v>
      </c>
    </row>
    <row r="737" spans="1:16" s="341" customFormat="1" ht="25.5" customHeight="1">
      <c r="A737" s="806" t="s">
        <v>109</v>
      </c>
      <c r="B737" s="800" t="s">
        <v>130</v>
      </c>
      <c r="C737" s="800" t="s">
        <v>261</v>
      </c>
      <c r="D737" s="800" t="s">
        <v>14512</v>
      </c>
      <c r="E737" s="801">
        <v>43020</v>
      </c>
      <c r="F737" s="800" t="s">
        <v>13997</v>
      </c>
      <c r="G737" s="800" t="s">
        <v>14513</v>
      </c>
      <c r="H737" s="800" t="s">
        <v>10396</v>
      </c>
      <c r="I737" s="800" t="s">
        <v>10396</v>
      </c>
      <c r="J737" s="800" t="s">
        <v>10397</v>
      </c>
      <c r="K737" s="800">
        <v>1</v>
      </c>
      <c r="L737" s="802" t="s">
        <v>10398</v>
      </c>
      <c r="M737" s="802" t="s">
        <v>14514</v>
      </c>
      <c r="N737" s="802" t="s">
        <v>14515</v>
      </c>
      <c r="O737" s="802" t="s">
        <v>14516</v>
      </c>
      <c r="P737" s="807" t="s">
        <v>14517</v>
      </c>
    </row>
    <row r="738" spans="1:16" s="341" customFormat="1" ht="15" customHeight="1">
      <c r="A738" s="806" t="s">
        <v>109</v>
      </c>
      <c r="B738" s="800" t="s">
        <v>130</v>
      </c>
      <c r="C738" s="800" t="s">
        <v>261</v>
      </c>
      <c r="D738" s="800" t="s">
        <v>14518</v>
      </c>
      <c r="E738" s="801">
        <v>43020</v>
      </c>
      <c r="F738" s="800" t="s">
        <v>13997</v>
      </c>
      <c r="G738" s="800" t="s">
        <v>14519</v>
      </c>
      <c r="H738" s="800" t="s">
        <v>10396</v>
      </c>
      <c r="I738" s="800" t="s">
        <v>10396</v>
      </c>
      <c r="J738" s="800" t="s">
        <v>10447</v>
      </c>
      <c r="K738" s="800">
        <v>1</v>
      </c>
      <c r="L738" s="802" t="s">
        <v>10398</v>
      </c>
      <c r="M738" s="802" t="s">
        <v>14520</v>
      </c>
      <c r="N738" s="802" t="s">
        <v>12032</v>
      </c>
      <c r="O738" s="802" t="s">
        <v>14521</v>
      </c>
      <c r="P738" s="807" t="s">
        <v>14522</v>
      </c>
    </row>
    <row r="739" spans="1:16" s="341" customFormat="1" ht="15" customHeight="1">
      <c r="A739" s="806" t="s">
        <v>109</v>
      </c>
      <c r="B739" s="800" t="s">
        <v>130</v>
      </c>
      <c r="C739" s="800" t="s">
        <v>261</v>
      </c>
      <c r="D739" s="800" t="s">
        <v>14523</v>
      </c>
      <c r="E739" s="801">
        <v>43020</v>
      </c>
      <c r="F739" s="800" t="s">
        <v>13997</v>
      </c>
      <c r="G739" s="800" t="s">
        <v>14524</v>
      </c>
      <c r="H739" s="800" t="s">
        <v>10396</v>
      </c>
      <c r="I739" s="800" t="s">
        <v>10396</v>
      </c>
      <c r="J739" s="800" t="s">
        <v>10447</v>
      </c>
      <c r="K739" s="800">
        <v>1</v>
      </c>
      <c r="L739" s="802" t="s">
        <v>10605</v>
      </c>
      <c r="M739" s="802" t="s">
        <v>32</v>
      </c>
      <c r="N739" s="802" t="s">
        <v>10808</v>
      </c>
      <c r="O739" s="802" t="s">
        <v>14525</v>
      </c>
      <c r="P739" s="807" t="s">
        <v>32</v>
      </c>
    </row>
    <row r="740" spans="1:16" s="341" customFormat="1" ht="25.5" customHeight="1">
      <c r="A740" s="806" t="s">
        <v>109</v>
      </c>
      <c r="B740" s="800" t="s">
        <v>130</v>
      </c>
      <c r="C740" s="800" t="s">
        <v>261</v>
      </c>
      <c r="D740" s="800" t="s">
        <v>14526</v>
      </c>
      <c r="E740" s="801">
        <v>43020</v>
      </c>
      <c r="F740" s="800" t="s">
        <v>13997</v>
      </c>
      <c r="G740" s="800" t="s">
        <v>14527</v>
      </c>
      <c r="H740" s="800" t="s">
        <v>10404</v>
      </c>
      <c r="I740" s="800" t="s">
        <v>10404</v>
      </c>
      <c r="J740" s="800" t="s">
        <v>10405</v>
      </c>
      <c r="K740" s="800">
        <v>1</v>
      </c>
      <c r="L740" s="802" t="s">
        <v>10398</v>
      </c>
      <c r="M740" s="802" t="s">
        <v>14528</v>
      </c>
      <c r="N740" s="802" t="s">
        <v>14529</v>
      </c>
      <c r="O740" s="802" t="s">
        <v>14018</v>
      </c>
      <c r="P740" s="807" t="s">
        <v>14530</v>
      </c>
    </row>
    <row r="741" spans="1:16" s="341" customFormat="1" ht="15" customHeight="1">
      <c r="A741" s="806" t="s">
        <v>109</v>
      </c>
      <c r="B741" s="800" t="s">
        <v>130</v>
      </c>
      <c r="C741" s="800" t="s">
        <v>261</v>
      </c>
      <c r="D741" s="800" t="s">
        <v>14531</v>
      </c>
      <c r="E741" s="801">
        <v>43020</v>
      </c>
      <c r="F741" s="800" t="s">
        <v>13997</v>
      </c>
      <c r="G741" s="800" t="s">
        <v>14527</v>
      </c>
      <c r="H741" s="800" t="s">
        <v>10404</v>
      </c>
      <c r="I741" s="800" t="s">
        <v>10404</v>
      </c>
      <c r="J741" s="800" t="s">
        <v>10405</v>
      </c>
      <c r="K741" s="800">
        <v>1</v>
      </c>
      <c r="L741" s="802" t="s">
        <v>10398</v>
      </c>
      <c r="M741" s="802" t="s">
        <v>14532</v>
      </c>
      <c r="N741" s="802" t="s">
        <v>14529</v>
      </c>
      <c r="O741" s="802" t="s">
        <v>14533</v>
      </c>
      <c r="P741" s="807" t="s">
        <v>32</v>
      </c>
    </row>
    <row r="742" spans="1:16" s="341" customFormat="1" ht="25.5" customHeight="1">
      <c r="A742" s="806" t="s">
        <v>109</v>
      </c>
      <c r="B742" s="800" t="s">
        <v>130</v>
      </c>
      <c r="C742" s="800" t="s">
        <v>261</v>
      </c>
      <c r="D742" s="800" t="s">
        <v>14534</v>
      </c>
      <c r="E742" s="801">
        <v>43020</v>
      </c>
      <c r="F742" s="800" t="s">
        <v>13997</v>
      </c>
      <c r="G742" s="800" t="s">
        <v>14535</v>
      </c>
      <c r="H742" s="800" t="s">
        <v>10404</v>
      </c>
      <c r="I742" s="800" t="s">
        <v>10404</v>
      </c>
      <c r="J742" s="800" t="s">
        <v>10405</v>
      </c>
      <c r="K742" s="800">
        <v>1</v>
      </c>
      <c r="L742" s="802" t="s">
        <v>10398</v>
      </c>
      <c r="M742" s="802" t="s">
        <v>32</v>
      </c>
      <c r="N742" s="802" t="s">
        <v>14536</v>
      </c>
      <c r="O742" s="802" t="s">
        <v>32</v>
      </c>
      <c r="P742" s="807" t="s">
        <v>32</v>
      </c>
    </row>
    <row r="743" spans="1:16" s="341" customFormat="1" ht="15" customHeight="1">
      <c r="A743" s="806" t="s">
        <v>109</v>
      </c>
      <c r="B743" s="800" t="s">
        <v>130</v>
      </c>
      <c r="C743" s="800" t="s">
        <v>261</v>
      </c>
      <c r="D743" s="800" t="s">
        <v>14537</v>
      </c>
      <c r="E743" s="801">
        <v>43020</v>
      </c>
      <c r="F743" s="800" t="s">
        <v>13997</v>
      </c>
      <c r="G743" s="800" t="s">
        <v>14535</v>
      </c>
      <c r="H743" s="800" t="s">
        <v>10404</v>
      </c>
      <c r="I743" s="800" t="s">
        <v>10404</v>
      </c>
      <c r="J743" s="800" t="s">
        <v>10405</v>
      </c>
      <c r="K743" s="800">
        <v>1</v>
      </c>
      <c r="L743" s="802" t="s">
        <v>10398</v>
      </c>
      <c r="M743" s="802" t="s">
        <v>14538</v>
      </c>
      <c r="N743" s="802" t="s">
        <v>13243</v>
      </c>
      <c r="O743" s="802" t="s">
        <v>14539</v>
      </c>
      <c r="P743" s="807" t="s">
        <v>14540</v>
      </c>
    </row>
    <row r="744" spans="1:16" s="341" customFormat="1" ht="25.5" customHeight="1">
      <c r="A744" s="806" t="s">
        <v>109</v>
      </c>
      <c r="B744" s="800" t="s">
        <v>130</v>
      </c>
      <c r="C744" s="800" t="s">
        <v>261</v>
      </c>
      <c r="D744" s="800" t="s">
        <v>14541</v>
      </c>
      <c r="E744" s="801">
        <v>43020</v>
      </c>
      <c r="F744" s="800" t="s">
        <v>13997</v>
      </c>
      <c r="G744" s="800" t="s">
        <v>14535</v>
      </c>
      <c r="H744" s="800" t="s">
        <v>10404</v>
      </c>
      <c r="I744" s="800" t="s">
        <v>10404</v>
      </c>
      <c r="J744" s="800" t="s">
        <v>10405</v>
      </c>
      <c r="K744" s="800">
        <v>1</v>
      </c>
      <c r="L744" s="802" t="s">
        <v>10605</v>
      </c>
      <c r="M744" s="802" t="s">
        <v>32</v>
      </c>
      <c r="N744" s="802" t="s">
        <v>14542</v>
      </c>
      <c r="O744" s="802" t="s">
        <v>14543</v>
      </c>
      <c r="P744" s="807" t="s">
        <v>32</v>
      </c>
    </row>
    <row r="745" spans="1:16" s="341" customFormat="1" ht="25.5" customHeight="1">
      <c r="A745" s="806" t="s">
        <v>109</v>
      </c>
      <c r="B745" s="800" t="s">
        <v>130</v>
      </c>
      <c r="C745" s="800" t="s">
        <v>261</v>
      </c>
      <c r="D745" s="800" t="s">
        <v>14544</v>
      </c>
      <c r="E745" s="801">
        <v>43020</v>
      </c>
      <c r="F745" s="800" t="s">
        <v>13997</v>
      </c>
      <c r="G745" s="800" t="s">
        <v>14545</v>
      </c>
      <c r="H745" s="800" t="s">
        <v>10404</v>
      </c>
      <c r="I745" s="800" t="s">
        <v>10404</v>
      </c>
      <c r="J745" s="800" t="s">
        <v>10405</v>
      </c>
      <c r="K745" s="800">
        <v>1</v>
      </c>
      <c r="L745" s="802" t="s">
        <v>10398</v>
      </c>
      <c r="M745" s="802" t="s">
        <v>14546</v>
      </c>
      <c r="N745" s="802" t="s">
        <v>14547</v>
      </c>
      <c r="O745" s="802" t="s">
        <v>14103</v>
      </c>
      <c r="P745" s="807" t="s">
        <v>14548</v>
      </c>
    </row>
    <row r="746" spans="1:16" s="341" customFormat="1" ht="25.5" customHeight="1">
      <c r="A746" s="806" t="s">
        <v>109</v>
      </c>
      <c r="B746" s="800" t="s">
        <v>130</v>
      </c>
      <c r="C746" s="800" t="s">
        <v>261</v>
      </c>
      <c r="D746" s="800" t="s">
        <v>14549</v>
      </c>
      <c r="E746" s="801">
        <v>43020</v>
      </c>
      <c r="F746" s="800" t="s">
        <v>13997</v>
      </c>
      <c r="G746" s="800" t="s">
        <v>14550</v>
      </c>
      <c r="H746" s="800" t="s">
        <v>10404</v>
      </c>
      <c r="I746" s="800" t="s">
        <v>10404</v>
      </c>
      <c r="J746" s="800" t="s">
        <v>10405</v>
      </c>
      <c r="K746" s="800">
        <v>1</v>
      </c>
      <c r="L746" s="802" t="s">
        <v>10398</v>
      </c>
      <c r="M746" s="802" t="s">
        <v>14551</v>
      </c>
      <c r="N746" s="802" t="s">
        <v>14552</v>
      </c>
      <c r="O746" s="802" t="s">
        <v>14553</v>
      </c>
      <c r="P746" s="807" t="s">
        <v>14554</v>
      </c>
    </row>
    <row r="747" spans="1:16" s="341" customFormat="1" ht="25.5" customHeight="1">
      <c r="A747" s="806" t="s">
        <v>109</v>
      </c>
      <c r="B747" s="800" t="s">
        <v>130</v>
      </c>
      <c r="C747" s="800" t="s">
        <v>261</v>
      </c>
      <c r="D747" s="800" t="s">
        <v>14555</v>
      </c>
      <c r="E747" s="801">
        <v>43020</v>
      </c>
      <c r="F747" s="800" t="s">
        <v>13997</v>
      </c>
      <c r="G747" s="800" t="s">
        <v>14556</v>
      </c>
      <c r="H747" s="800" t="s">
        <v>10531</v>
      </c>
      <c r="I747" s="800" t="s">
        <v>10531</v>
      </c>
      <c r="J747" s="800" t="s">
        <v>10405</v>
      </c>
      <c r="K747" s="800">
        <v>1</v>
      </c>
      <c r="L747" s="802" t="s">
        <v>10398</v>
      </c>
      <c r="M747" s="802" t="s">
        <v>14557</v>
      </c>
      <c r="N747" s="802" t="s">
        <v>14558</v>
      </c>
      <c r="O747" s="802" t="s">
        <v>14559</v>
      </c>
      <c r="P747" s="807" t="s">
        <v>14560</v>
      </c>
    </row>
    <row r="748" spans="1:16" s="341" customFormat="1" ht="25.5" customHeight="1">
      <c r="A748" s="806" t="s">
        <v>109</v>
      </c>
      <c r="B748" s="800" t="s">
        <v>130</v>
      </c>
      <c r="C748" s="800" t="s">
        <v>261</v>
      </c>
      <c r="D748" s="800" t="s">
        <v>14561</v>
      </c>
      <c r="E748" s="801">
        <v>43020</v>
      </c>
      <c r="F748" s="800" t="s">
        <v>13997</v>
      </c>
      <c r="G748" s="800" t="s">
        <v>14562</v>
      </c>
      <c r="H748" s="800" t="s">
        <v>10531</v>
      </c>
      <c r="I748" s="800" t="s">
        <v>10531</v>
      </c>
      <c r="J748" s="800" t="s">
        <v>10397</v>
      </c>
      <c r="K748" s="800">
        <v>1</v>
      </c>
      <c r="L748" s="802" t="s">
        <v>10398</v>
      </c>
      <c r="M748" s="802" t="s">
        <v>14563</v>
      </c>
      <c r="N748" s="802" t="s">
        <v>14564</v>
      </c>
      <c r="O748" s="802" t="s">
        <v>14565</v>
      </c>
      <c r="P748" s="807" t="s">
        <v>14310</v>
      </c>
    </row>
    <row r="749" spans="1:16" s="341" customFormat="1" ht="25.5" customHeight="1">
      <c r="A749" s="806" t="s">
        <v>109</v>
      </c>
      <c r="B749" s="800" t="s">
        <v>130</v>
      </c>
      <c r="C749" s="800" t="s">
        <v>261</v>
      </c>
      <c r="D749" s="800" t="s">
        <v>14566</v>
      </c>
      <c r="E749" s="801">
        <v>43020</v>
      </c>
      <c r="F749" s="800" t="s">
        <v>13997</v>
      </c>
      <c r="G749" s="800" t="s">
        <v>14567</v>
      </c>
      <c r="H749" s="800" t="s">
        <v>10396</v>
      </c>
      <c r="I749" s="800" t="s">
        <v>10396</v>
      </c>
      <c r="J749" s="800" t="s">
        <v>10397</v>
      </c>
      <c r="K749" s="800">
        <v>1</v>
      </c>
      <c r="L749" s="802" t="s">
        <v>11026</v>
      </c>
      <c r="M749" s="802" t="s">
        <v>14568</v>
      </c>
      <c r="N749" s="802" t="s">
        <v>14569</v>
      </c>
      <c r="O749" s="802" t="s">
        <v>14570</v>
      </c>
      <c r="P749" s="807" t="s">
        <v>14571</v>
      </c>
    </row>
    <row r="750" spans="1:16" s="341" customFormat="1" ht="15" customHeight="1">
      <c r="A750" s="806" t="s">
        <v>109</v>
      </c>
      <c r="B750" s="800" t="s">
        <v>130</v>
      </c>
      <c r="C750" s="800" t="s">
        <v>261</v>
      </c>
      <c r="D750" s="800" t="s">
        <v>14572</v>
      </c>
      <c r="E750" s="801">
        <v>43020</v>
      </c>
      <c r="F750" s="800" t="s">
        <v>13997</v>
      </c>
      <c r="G750" s="800" t="s">
        <v>14573</v>
      </c>
      <c r="H750" s="800" t="s">
        <v>10531</v>
      </c>
      <c r="I750" s="800" t="s">
        <v>10531</v>
      </c>
      <c r="J750" s="800" t="s">
        <v>10447</v>
      </c>
      <c r="K750" s="800">
        <v>1</v>
      </c>
      <c r="L750" s="802" t="s">
        <v>10398</v>
      </c>
      <c r="M750" s="802" t="s">
        <v>14574</v>
      </c>
      <c r="N750" s="802" t="s">
        <v>14575</v>
      </c>
      <c r="O750" s="802" t="s">
        <v>14033</v>
      </c>
      <c r="P750" s="807" t="s">
        <v>14576</v>
      </c>
    </row>
    <row r="751" spans="1:16" s="341" customFormat="1" ht="38.25" customHeight="1">
      <c r="A751" s="806" t="s">
        <v>109</v>
      </c>
      <c r="B751" s="800" t="s">
        <v>130</v>
      </c>
      <c r="C751" s="800" t="s">
        <v>261</v>
      </c>
      <c r="D751" s="800" t="s">
        <v>14577</v>
      </c>
      <c r="E751" s="801">
        <v>43020</v>
      </c>
      <c r="F751" s="800" t="s">
        <v>13997</v>
      </c>
      <c r="G751" s="800" t="s">
        <v>14578</v>
      </c>
      <c r="H751" s="800" t="s">
        <v>10531</v>
      </c>
      <c r="I751" s="800" t="s">
        <v>10531</v>
      </c>
      <c r="J751" s="800" t="s">
        <v>10447</v>
      </c>
      <c r="K751" s="800">
        <v>1</v>
      </c>
      <c r="L751" s="802" t="s">
        <v>10398</v>
      </c>
      <c r="M751" s="802" t="s">
        <v>14579</v>
      </c>
      <c r="N751" s="802" t="s">
        <v>14580</v>
      </c>
      <c r="O751" s="802" t="s">
        <v>14581</v>
      </c>
      <c r="P751" s="807" t="s">
        <v>14582</v>
      </c>
    </row>
    <row r="752" spans="1:16" s="341" customFormat="1" ht="25.5" customHeight="1">
      <c r="A752" s="806" t="s">
        <v>109</v>
      </c>
      <c r="B752" s="800" t="s">
        <v>130</v>
      </c>
      <c r="C752" s="800" t="s">
        <v>261</v>
      </c>
      <c r="D752" s="800" t="s">
        <v>14583</v>
      </c>
      <c r="E752" s="801">
        <v>43020</v>
      </c>
      <c r="F752" s="800" t="s">
        <v>13997</v>
      </c>
      <c r="G752" s="800" t="s">
        <v>14584</v>
      </c>
      <c r="H752" s="800" t="s">
        <v>10531</v>
      </c>
      <c r="I752" s="800" t="s">
        <v>10531</v>
      </c>
      <c r="J752" s="800" t="s">
        <v>10397</v>
      </c>
      <c r="K752" s="800">
        <v>1</v>
      </c>
      <c r="L752" s="802" t="s">
        <v>10398</v>
      </c>
      <c r="M752" s="802" t="s">
        <v>14585</v>
      </c>
      <c r="N752" s="802" t="s">
        <v>14586</v>
      </c>
      <c r="O752" s="802" t="s">
        <v>14587</v>
      </c>
      <c r="P752" s="807" t="s">
        <v>14588</v>
      </c>
    </row>
    <row r="753" spans="1:16" s="341" customFormat="1" ht="38.25" customHeight="1">
      <c r="A753" s="806" t="s">
        <v>109</v>
      </c>
      <c r="B753" s="800" t="s">
        <v>130</v>
      </c>
      <c r="C753" s="800" t="s">
        <v>261</v>
      </c>
      <c r="D753" s="800" t="s">
        <v>14589</v>
      </c>
      <c r="E753" s="801">
        <v>43020</v>
      </c>
      <c r="F753" s="800" t="s">
        <v>13997</v>
      </c>
      <c r="G753" s="800" t="s">
        <v>14590</v>
      </c>
      <c r="H753" s="800" t="s">
        <v>10396</v>
      </c>
      <c r="I753" s="800" t="s">
        <v>10396</v>
      </c>
      <c r="J753" s="800" t="s">
        <v>10397</v>
      </c>
      <c r="K753" s="800">
        <v>1</v>
      </c>
      <c r="L753" s="802" t="s">
        <v>10398</v>
      </c>
      <c r="M753" s="802" t="s">
        <v>14591</v>
      </c>
      <c r="N753" s="802" t="s">
        <v>10855</v>
      </c>
      <c r="O753" s="802" t="s">
        <v>14592</v>
      </c>
      <c r="P753" s="807" t="s">
        <v>14593</v>
      </c>
    </row>
    <row r="754" spans="1:16" s="341" customFormat="1" ht="38.25" customHeight="1">
      <c r="A754" s="806" t="s">
        <v>109</v>
      </c>
      <c r="B754" s="800" t="s">
        <v>130</v>
      </c>
      <c r="C754" s="800" t="s">
        <v>261</v>
      </c>
      <c r="D754" s="800" t="s">
        <v>14594</v>
      </c>
      <c r="E754" s="801">
        <v>43020</v>
      </c>
      <c r="F754" s="800" t="s">
        <v>13997</v>
      </c>
      <c r="G754" s="800" t="s">
        <v>14595</v>
      </c>
      <c r="H754" s="800" t="s">
        <v>10396</v>
      </c>
      <c r="I754" s="800" t="s">
        <v>10396</v>
      </c>
      <c r="J754" s="800" t="s">
        <v>10397</v>
      </c>
      <c r="K754" s="800">
        <v>1</v>
      </c>
      <c r="L754" s="802" t="s">
        <v>10398</v>
      </c>
      <c r="M754" s="802" t="s">
        <v>14596</v>
      </c>
      <c r="N754" s="802" t="s">
        <v>12406</v>
      </c>
      <c r="O754" s="802" t="s">
        <v>14597</v>
      </c>
      <c r="P754" s="807" t="s">
        <v>14598</v>
      </c>
    </row>
    <row r="755" spans="1:16" s="341" customFormat="1" ht="25.5" customHeight="1">
      <c r="A755" s="806" t="s">
        <v>109</v>
      </c>
      <c r="B755" s="800" t="s">
        <v>130</v>
      </c>
      <c r="C755" s="800" t="s">
        <v>261</v>
      </c>
      <c r="D755" s="800" t="s">
        <v>14599</v>
      </c>
      <c r="E755" s="801">
        <v>43020</v>
      </c>
      <c r="F755" s="800" t="s">
        <v>14042</v>
      </c>
      <c r="G755" s="800" t="s">
        <v>14600</v>
      </c>
      <c r="H755" s="800" t="s">
        <v>10396</v>
      </c>
      <c r="I755" s="800" t="s">
        <v>10396</v>
      </c>
      <c r="J755" s="800" t="s">
        <v>10397</v>
      </c>
      <c r="K755" s="800">
        <v>1</v>
      </c>
      <c r="L755" s="802" t="s">
        <v>10398</v>
      </c>
      <c r="M755" s="802" t="s">
        <v>14601</v>
      </c>
      <c r="N755" s="802" t="s">
        <v>14602</v>
      </c>
      <c r="O755" s="802" t="s">
        <v>14603</v>
      </c>
      <c r="P755" s="807" t="s">
        <v>14604</v>
      </c>
    </row>
    <row r="756" spans="1:16" s="341" customFormat="1" ht="25.5" customHeight="1">
      <c r="A756" s="806" t="s">
        <v>109</v>
      </c>
      <c r="B756" s="800" t="s">
        <v>130</v>
      </c>
      <c r="C756" s="800" t="s">
        <v>261</v>
      </c>
      <c r="D756" s="800" t="s">
        <v>14605</v>
      </c>
      <c r="E756" s="801">
        <v>43020</v>
      </c>
      <c r="F756" s="800" t="s">
        <v>13997</v>
      </c>
      <c r="G756" s="800" t="s">
        <v>14606</v>
      </c>
      <c r="H756" s="800" t="s">
        <v>10396</v>
      </c>
      <c r="I756" s="800" t="s">
        <v>10396</v>
      </c>
      <c r="J756" s="800" t="s">
        <v>10397</v>
      </c>
      <c r="K756" s="800">
        <v>1</v>
      </c>
      <c r="L756" s="802" t="s">
        <v>10398</v>
      </c>
      <c r="M756" s="802" t="s">
        <v>14607</v>
      </c>
      <c r="N756" s="802" t="s">
        <v>14608</v>
      </c>
      <c r="O756" s="802" t="s">
        <v>14609</v>
      </c>
      <c r="P756" s="807" t="s">
        <v>14610</v>
      </c>
    </row>
    <row r="757" spans="1:16" s="341" customFormat="1" ht="25.5" customHeight="1">
      <c r="A757" s="806" t="s">
        <v>109</v>
      </c>
      <c r="B757" s="800" t="s">
        <v>130</v>
      </c>
      <c r="C757" s="800" t="s">
        <v>261</v>
      </c>
      <c r="D757" s="800" t="s">
        <v>14611</v>
      </c>
      <c r="E757" s="801">
        <v>43020</v>
      </c>
      <c r="F757" s="800" t="s">
        <v>13997</v>
      </c>
      <c r="G757" s="800" t="s">
        <v>14612</v>
      </c>
      <c r="H757" s="800" t="s">
        <v>10531</v>
      </c>
      <c r="I757" s="800" t="s">
        <v>10531</v>
      </c>
      <c r="J757" s="800" t="s">
        <v>10397</v>
      </c>
      <c r="K757" s="800">
        <v>1</v>
      </c>
      <c r="L757" s="802" t="s">
        <v>10398</v>
      </c>
      <c r="M757" s="802" t="s">
        <v>14613</v>
      </c>
      <c r="N757" s="802" t="s">
        <v>14614</v>
      </c>
      <c r="O757" s="802" t="s">
        <v>14615</v>
      </c>
      <c r="P757" s="807" t="s">
        <v>14616</v>
      </c>
    </row>
    <row r="758" spans="1:16" s="341" customFormat="1" ht="25.5" customHeight="1">
      <c r="A758" s="806" t="s">
        <v>109</v>
      </c>
      <c r="B758" s="800" t="s">
        <v>130</v>
      </c>
      <c r="C758" s="800" t="s">
        <v>261</v>
      </c>
      <c r="D758" s="800" t="s">
        <v>14617</v>
      </c>
      <c r="E758" s="801">
        <v>43020</v>
      </c>
      <c r="F758" s="800" t="s">
        <v>13997</v>
      </c>
      <c r="G758" s="800" t="s">
        <v>14618</v>
      </c>
      <c r="H758" s="800" t="s">
        <v>10396</v>
      </c>
      <c r="I758" s="800" t="s">
        <v>10396</v>
      </c>
      <c r="J758" s="800" t="s">
        <v>10397</v>
      </c>
      <c r="K758" s="800">
        <v>1</v>
      </c>
      <c r="L758" s="802" t="s">
        <v>10398</v>
      </c>
      <c r="M758" s="802" t="s">
        <v>14619</v>
      </c>
      <c r="N758" s="802" t="s">
        <v>14620</v>
      </c>
      <c r="O758" s="802" t="s">
        <v>14621</v>
      </c>
      <c r="P758" s="807" t="s">
        <v>14622</v>
      </c>
    </row>
    <row r="759" spans="1:16" s="341" customFormat="1" ht="25.5" customHeight="1">
      <c r="A759" s="806" t="s">
        <v>109</v>
      </c>
      <c r="B759" s="800" t="s">
        <v>130</v>
      </c>
      <c r="C759" s="800" t="s">
        <v>261</v>
      </c>
      <c r="D759" s="800" t="s">
        <v>14623</v>
      </c>
      <c r="E759" s="801">
        <v>43020</v>
      </c>
      <c r="F759" s="800" t="s">
        <v>13997</v>
      </c>
      <c r="G759" s="800" t="s">
        <v>14624</v>
      </c>
      <c r="H759" s="800" t="s">
        <v>10396</v>
      </c>
      <c r="I759" s="800" t="s">
        <v>10396</v>
      </c>
      <c r="J759" s="800" t="s">
        <v>10397</v>
      </c>
      <c r="K759" s="800">
        <v>1</v>
      </c>
      <c r="L759" s="802" t="s">
        <v>10398</v>
      </c>
      <c r="M759" s="802" t="s">
        <v>14625</v>
      </c>
      <c r="N759" s="802" t="s">
        <v>14626</v>
      </c>
      <c r="O759" s="802" t="s">
        <v>14627</v>
      </c>
      <c r="P759" s="807" t="s">
        <v>14628</v>
      </c>
    </row>
    <row r="760" spans="1:16" s="341" customFormat="1" ht="25.5" customHeight="1">
      <c r="A760" s="806" t="s">
        <v>109</v>
      </c>
      <c r="B760" s="800" t="s">
        <v>130</v>
      </c>
      <c r="C760" s="800" t="s">
        <v>261</v>
      </c>
      <c r="D760" s="800" t="s">
        <v>14629</v>
      </c>
      <c r="E760" s="801">
        <v>43020</v>
      </c>
      <c r="F760" s="800" t="s">
        <v>13997</v>
      </c>
      <c r="G760" s="800" t="s">
        <v>14630</v>
      </c>
      <c r="H760" s="800" t="s">
        <v>10531</v>
      </c>
      <c r="I760" s="800" t="s">
        <v>10531</v>
      </c>
      <c r="J760" s="800" t="s">
        <v>10397</v>
      </c>
      <c r="K760" s="800">
        <v>1</v>
      </c>
      <c r="L760" s="802" t="s">
        <v>10398</v>
      </c>
      <c r="M760" s="802" t="s">
        <v>14631</v>
      </c>
      <c r="N760" s="802" t="s">
        <v>14529</v>
      </c>
      <c r="O760" s="802" t="s">
        <v>14559</v>
      </c>
      <c r="P760" s="807" t="s">
        <v>14632</v>
      </c>
    </row>
    <row r="761" spans="1:16" s="341" customFormat="1" ht="15" customHeight="1">
      <c r="A761" s="806" t="s">
        <v>109</v>
      </c>
      <c r="B761" s="800" t="s">
        <v>130</v>
      </c>
      <c r="C761" s="800" t="s">
        <v>261</v>
      </c>
      <c r="D761" s="800" t="s">
        <v>14633</v>
      </c>
      <c r="E761" s="801">
        <v>43020</v>
      </c>
      <c r="F761" s="800" t="s">
        <v>13997</v>
      </c>
      <c r="G761" s="800" t="s">
        <v>14634</v>
      </c>
      <c r="H761" s="800" t="s">
        <v>10531</v>
      </c>
      <c r="I761" s="800" t="s">
        <v>10531</v>
      </c>
      <c r="J761" s="800" t="s">
        <v>10447</v>
      </c>
      <c r="K761" s="800">
        <v>1</v>
      </c>
      <c r="L761" s="802" t="s">
        <v>10398</v>
      </c>
      <c r="M761" s="802" t="s">
        <v>14635</v>
      </c>
      <c r="N761" s="802" t="s">
        <v>13250</v>
      </c>
      <c r="O761" s="802" t="s">
        <v>14636</v>
      </c>
      <c r="P761" s="807" t="s">
        <v>14637</v>
      </c>
    </row>
    <row r="762" spans="1:16" s="341" customFormat="1" ht="15" customHeight="1">
      <c r="A762" s="806" t="s">
        <v>109</v>
      </c>
      <c r="B762" s="800" t="s">
        <v>130</v>
      </c>
      <c r="C762" s="800" t="s">
        <v>261</v>
      </c>
      <c r="D762" s="800" t="s">
        <v>14638</v>
      </c>
      <c r="E762" s="801">
        <v>43020</v>
      </c>
      <c r="F762" s="800" t="s">
        <v>13997</v>
      </c>
      <c r="G762" s="800" t="s">
        <v>14639</v>
      </c>
      <c r="H762" s="800" t="s">
        <v>10396</v>
      </c>
      <c r="I762" s="800" t="s">
        <v>10396</v>
      </c>
      <c r="J762" s="800" t="s">
        <v>10397</v>
      </c>
      <c r="K762" s="800">
        <v>1</v>
      </c>
      <c r="L762" s="802" t="s">
        <v>11026</v>
      </c>
      <c r="M762" s="802" t="s">
        <v>14640</v>
      </c>
      <c r="N762" s="802" t="s">
        <v>14641</v>
      </c>
      <c r="O762" s="802" t="s">
        <v>14152</v>
      </c>
      <c r="P762" s="807" t="s">
        <v>14642</v>
      </c>
    </row>
    <row r="763" spans="1:16" s="341" customFormat="1" ht="15" customHeight="1">
      <c r="A763" s="806" t="s">
        <v>109</v>
      </c>
      <c r="B763" s="800" t="s">
        <v>130</v>
      </c>
      <c r="C763" s="800" t="s">
        <v>261</v>
      </c>
      <c r="D763" s="800" t="s">
        <v>14643</v>
      </c>
      <c r="E763" s="801">
        <v>43020</v>
      </c>
      <c r="F763" s="800" t="s">
        <v>13997</v>
      </c>
      <c r="G763" s="800" t="s">
        <v>14644</v>
      </c>
      <c r="H763" s="800" t="s">
        <v>10396</v>
      </c>
      <c r="I763" s="800" t="s">
        <v>10396</v>
      </c>
      <c r="J763" s="800" t="s">
        <v>10405</v>
      </c>
      <c r="K763" s="800">
        <v>1</v>
      </c>
      <c r="L763" s="802" t="s">
        <v>10398</v>
      </c>
      <c r="M763" s="802" t="s">
        <v>14645</v>
      </c>
      <c r="N763" s="802" t="s">
        <v>14646</v>
      </c>
      <c r="O763" s="802" t="s">
        <v>14627</v>
      </c>
      <c r="P763" s="807" t="s">
        <v>14647</v>
      </c>
    </row>
    <row r="764" spans="1:16" s="341" customFormat="1" ht="15" customHeight="1">
      <c r="A764" s="806" t="s">
        <v>109</v>
      </c>
      <c r="B764" s="800" t="s">
        <v>130</v>
      </c>
      <c r="C764" s="800" t="s">
        <v>261</v>
      </c>
      <c r="D764" s="800" t="s">
        <v>14648</v>
      </c>
      <c r="E764" s="801">
        <v>43020</v>
      </c>
      <c r="F764" s="800" t="s">
        <v>13997</v>
      </c>
      <c r="G764" s="800" t="s">
        <v>14649</v>
      </c>
      <c r="H764" s="800" t="s">
        <v>10396</v>
      </c>
      <c r="I764" s="800" t="s">
        <v>10396</v>
      </c>
      <c r="J764" s="800" t="s">
        <v>10397</v>
      </c>
      <c r="K764" s="800">
        <v>1</v>
      </c>
      <c r="L764" s="802" t="s">
        <v>10398</v>
      </c>
      <c r="M764" s="802" t="s">
        <v>14650</v>
      </c>
      <c r="N764" s="802" t="s">
        <v>14651</v>
      </c>
      <c r="O764" s="802" t="s">
        <v>14109</v>
      </c>
      <c r="P764" s="807" t="s">
        <v>14652</v>
      </c>
    </row>
    <row r="765" spans="1:16" s="341" customFormat="1" ht="15" customHeight="1">
      <c r="A765" s="806" t="s">
        <v>109</v>
      </c>
      <c r="B765" s="800" t="s">
        <v>130</v>
      </c>
      <c r="C765" s="800" t="s">
        <v>261</v>
      </c>
      <c r="D765" s="800" t="s">
        <v>14653</v>
      </c>
      <c r="E765" s="801">
        <v>43020</v>
      </c>
      <c r="F765" s="800" t="s">
        <v>32</v>
      </c>
      <c r="G765" s="800" t="s">
        <v>14654</v>
      </c>
      <c r="H765" s="800" t="s">
        <v>10396</v>
      </c>
      <c r="I765" s="800" t="s">
        <v>10396</v>
      </c>
      <c r="J765" s="800" t="s">
        <v>10397</v>
      </c>
      <c r="K765" s="800">
        <v>1</v>
      </c>
      <c r="L765" s="802" t="s">
        <v>10398</v>
      </c>
      <c r="M765" s="802" t="s">
        <v>14655</v>
      </c>
      <c r="N765" s="802" t="s">
        <v>14656</v>
      </c>
      <c r="O765" s="802" t="s">
        <v>14657</v>
      </c>
      <c r="P765" s="807" t="s">
        <v>14658</v>
      </c>
    </row>
    <row r="766" spans="1:16" s="341" customFormat="1" ht="25.5" customHeight="1">
      <c r="A766" s="806" t="s">
        <v>109</v>
      </c>
      <c r="B766" s="800" t="s">
        <v>130</v>
      </c>
      <c r="C766" s="800" t="s">
        <v>261</v>
      </c>
      <c r="D766" s="800" t="s">
        <v>14659</v>
      </c>
      <c r="E766" s="801">
        <v>43020</v>
      </c>
      <c r="F766" s="800" t="s">
        <v>32</v>
      </c>
      <c r="G766" s="800" t="s">
        <v>14660</v>
      </c>
      <c r="H766" s="800" t="s">
        <v>10396</v>
      </c>
      <c r="I766" s="800" t="s">
        <v>10396</v>
      </c>
      <c r="J766" s="800" t="s">
        <v>10397</v>
      </c>
      <c r="K766" s="800">
        <v>1</v>
      </c>
      <c r="L766" s="802" t="s">
        <v>10398</v>
      </c>
      <c r="M766" s="802" t="s">
        <v>14661</v>
      </c>
      <c r="N766" s="802" t="s">
        <v>14662</v>
      </c>
      <c r="O766" s="802" t="s">
        <v>14663</v>
      </c>
      <c r="P766" s="807" t="s">
        <v>14664</v>
      </c>
    </row>
    <row r="767" spans="1:16" s="341" customFormat="1" ht="15" customHeight="1">
      <c r="A767" s="806" t="s">
        <v>109</v>
      </c>
      <c r="B767" s="800" t="s">
        <v>130</v>
      </c>
      <c r="C767" s="800" t="s">
        <v>261</v>
      </c>
      <c r="D767" s="800" t="s">
        <v>14665</v>
      </c>
      <c r="E767" s="801">
        <v>43020</v>
      </c>
      <c r="F767" s="800" t="s">
        <v>13997</v>
      </c>
      <c r="G767" s="800" t="s">
        <v>14666</v>
      </c>
      <c r="H767" s="800" t="s">
        <v>10396</v>
      </c>
      <c r="I767" s="800" t="s">
        <v>10396</v>
      </c>
      <c r="J767" s="800" t="s">
        <v>10397</v>
      </c>
      <c r="K767" s="800">
        <v>1</v>
      </c>
      <c r="L767" s="802" t="s">
        <v>10398</v>
      </c>
      <c r="M767" s="802" t="s">
        <v>14667</v>
      </c>
      <c r="N767" s="802" t="s">
        <v>14668</v>
      </c>
      <c r="O767" s="802" t="s">
        <v>14669</v>
      </c>
      <c r="P767" s="807" t="s">
        <v>14670</v>
      </c>
    </row>
    <row r="768" spans="1:16" s="341" customFormat="1" ht="25.5" customHeight="1">
      <c r="A768" s="806" t="s">
        <v>109</v>
      </c>
      <c r="B768" s="800" t="s">
        <v>130</v>
      </c>
      <c r="C768" s="800" t="s">
        <v>261</v>
      </c>
      <c r="D768" s="800" t="s">
        <v>14671</v>
      </c>
      <c r="E768" s="801">
        <v>43020</v>
      </c>
      <c r="F768" s="800" t="s">
        <v>32</v>
      </c>
      <c r="G768" s="800" t="s">
        <v>14672</v>
      </c>
      <c r="H768" s="800" t="s">
        <v>10396</v>
      </c>
      <c r="I768" s="800" t="s">
        <v>10396</v>
      </c>
      <c r="J768" s="800" t="s">
        <v>10397</v>
      </c>
      <c r="K768" s="800">
        <v>1</v>
      </c>
      <c r="L768" s="802" t="s">
        <v>10605</v>
      </c>
      <c r="M768" s="802" t="s">
        <v>32</v>
      </c>
      <c r="N768" s="802" t="s">
        <v>14673</v>
      </c>
      <c r="O768" s="802" t="s">
        <v>14674</v>
      </c>
      <c r="P768" s="807" t="s">
        <v>14675</v>
      </c>
    </row>
    <row r="769" spans="1:16" s="341" customFormat="1" ht="15" customHeight="1">
      <c r="A769" s="806" t="s">
        <v>109</v>
      </c>
      <c r="B769" s="800" t="s">
        <v>130</v>
      </c>
      <c r="C769" s="800" t="s">
        <v>261</v>
      </c>
      <c r="D769" s="800" t="s">
        <v>14676</v>
      </c>
      <c r="E769" s="801">
        <v>43020</v>
      </c>
      <c r="F769" s="800" t="s">
        <v>13997</v>
      </c>
      <c r="G769" s="800" t="s">
        <v>14677</v>
      </c>
      <c r="H769" s="800" t="s">
        <v>10396</v>
      </c>
      <c r="I769" s="800" t="s">
        <v>10396</v>
      </c>
      <c r="J769" s="800" t="s">
        <v>10397</v>
      </c>
      <c r="K769" s="800">
        <v>1</v>
      </c>
      <c r="L769" s="802" t="s">
        <v>10398</v>
      </c>
      <c r="M769" s="802" t="s">
        <v>14678</v>
      </c>
      <c r="N769" s="802" t="s">
        <v>14679</v>
      </c>
      <c r="O769" s="802" t="s">
        <v>14680</v>
      </c>
      <c r="P769" s="807" t="s">
        <v>14681</v>
      </c>
    </row>
    <row r="770" spans="1:16" s="341" customFormat="1" ht="25.5" customHeight="1">
      <c r="A770" s="806" t="s">
        <v>109</v>
      </c>
      <c r="B770" s="800" t="s">
        <v>130</v>
      </c>
      <c r="C770" s="800" t="s">
        <v>261</v>
      </c>
      <c r="D770" s="800" t="s">
        <v>14682</v>
      </c>
      <c r="E770" s="801">
        <v>43020</v>
      </c>
      <c r="F770" s="800" t="s">
        <v>13997</v>
      </c>
      <c r="G770" s="800" t="s">
        <v>14683</v>
      </c>
      <c r="H770" s="800" t="s">
        <v>10404</v>
      </c>
      <c r="I770" s="800" t="s">
        <v>10404</v>
      </c>
      <c r="J770" s="800" t="s">
        <v>10405</v>
      </c>
      <c r="K770" s="800">
        <v>1</v>
      </c>
      <c r="L770" s="802" t="s">
        <v>10398</v>
      </c>
      <c r="M770" s="802" t="s">
        <v>14684</v>
      </c>
      <c r="N770" s="802" t="s">
        <v>14685</v>
      </c>
      <c r="O770" s="802" t="s">
        <v>14686</v>
      </c>
      <c r="P770" s="807" t="s">
        <v>14687</v>
      </c>
    </row>
    <row r="771" spans="1:16" s="341" customFormat="1" ht="25.5" customHeight="1">
      <c r="A771" s="806" t="s">
        <v>109</v>
      </c>
      <c r="B771" s="800" t="s">
        <v>130</v>
      </c>
      <c r="C771" s="800" t="s">
        <v>261</v>
      </c>
      <c r="D771" s="800" t="s">
        <v>14688</v>
      </c>
      <c r="E771" s="801">
        <v>43020</v>
      </c>
      <c r="F771" s="800" t="s">
        <v>11790</v>
      </c>
      <c r="G771" s="800" t="s">
        <v>14689</v>
      </c>
      <c r="H771" s="800" t="s">
        <v>10404</v>
      </c>
      <c r="I771" s="800" t="s">
        <v>10404</v>
      </c>
      <c r="J771" s="800" t="s">
        <v>10405</v>
      </c>
      <c r="K771" s="800">
        <v>2</v>
      </c>
      <c r="L771" s="802" t="s">
        <v>10398</v>
      </c>
      <c r="M771" s="802" t="s">
        <v>14690</v>
      </c>
      <c r="N771" s="802" t="s">
        <v>14691</v>
      </c>
      <c r="O771" s="802" t="s">
        <v>10796</v>
      </c>
      <c r="P771" s="807" t="s">
        <v>14692</v>
      </c>
    </row>
    <row r="772" spans="1:16" s="341" customFormat="1" ht="15" customHeight="1">
      <c r="A772" s="806" t="s">
        <v>109</v>
      </c>
      <c r="B772" s="800" t="s">
        <v>130</v>
      </c>
      <c r="C772" s="800" t="s">
        <v>261</v>
      </c>
      <c r="D772" s="800" t="s">
        <v>14688</v>
      </c>
      <c r="E772" s="801">
        <v>43020</v>
      </c>
      <c r="F772" s="800" t="s">
        <v>11790</v>
      </c>
      <c r="G772" s="800" t="s">
        <v>14693</v>
      </c>
      <c r="H772" s="800" t="s">
        <v>10404</v>
      </c>
      <c r="I772" s="800" t="s">
        <v>10404</v>
      </c>
      <c r="J772" s="800" t="s">
        <v>10405</v>
      </c>
      <c r="K772" s="800">
        <v>2</v>
      </c>
      <c r="L772" s="802" t="s">
        <v>10398</v>
      </c>
      <c r="M772" s="802" t="s">
        <v>14694</v>
      </c>
      <c r="N772" s="802" t="s">
        <v>14695</v>
      </c>
      <c r="O772" s="802" t="s">
        <v>14696</v>
      </c>
      <c r="P772" s="807" t="s">
        <v>14692</v>
      </c>
    </row>
    <row r="773" spans="1:16" s="341" customFormat="1" ht="25.5">
      <c r="A773" s="806" t="s">
        <v>109</v>
      </c>
      <c r="B773" s="800" t="s">
        <v>130</v>
      </c>
      <c r="C773" s="800" t="s">
        <v>261</v>
      </c>
      <c r="D773" s="800" t="s">
        <v>14697</v>
      </c>
      <c r="E773" s="801">
        <v>43020</v>
      </c>
      <c r="F773" s="800" t="s">
        <v>11790</v>
      </c>
      <c r="G773" s="800" t="s">
        <v>14698</v>
      </c>
      <c r="H773" s="800" t="s">
        <v>10404</v>
      </c>
      <c r="I773" s="800" t="s">
        <v>10404</v>
      </c>
      <c r="J773" s="800" t="s">
        <v>10405</v>
      </c>
      <c r="K773" s="800">
        <v>1</v>
      </c>
      <c r="L773" s="802" t="s">
        <v>10398</v>
      </c>
      <c r="M773" s="802" t="s">
        <v>14699</v>
      </c>
      <c r="N773" s="802" t="s">
        <v>14700</v>
      </c>
      <c r="O773" s="802" t="s">
        <v>14669</v>
      </c>
      <c r="P773" s="807" t="s">
        <v>14701</v>
      </c>
    </row>
    <row r="774" spans="1:16" s="341" customFormat="1" ht="25.5" customHeight="1">
      <c r="A774" s="806" t="s">
        <v>109</v>
      </c>
      <c r="B774" s="800" t="s">
        <v>130</v>
      </c>
      <c r="C774" s="800" t="s">
        <v>261</v>
      </c>
      <c r="D774" s="800" t="s">
        <v>14702</v>
      </c>
      <c r="E774" s="801">
        <v>43020</v>
      </c>
      <c r="F774" s="800" t="s">
        <v>11790</v>
      </c>
      <c r="G774" s="800" t="s">
        <v>14703</v>
      </c>
      <c r="H774" s="800" t="s">
        <v>10396</v>
      </c>
      <c r="I774" s="800" t="s">
        <v>10396</v>
      </c>
      <c r="J774" s="800" t="s">
        <v>10397</v>
      </c>
      <c r="K774" s="800">
        <v>1</v>
      </c>
      <c r="L774" s="802" t="s">
        <v>10605</v>
      </c>
      <c r="M774" s="802" t="s">
        <v>32</v>
      </c>
      <c r="N774" s="802" t="s">
        <v>14704</v>
      </c>
      <c r="O774" s="802" t="s">
        <v>14705</v>
      </c>
      <c r="P774" s="807" t="s">
        <v>14706</v>
      </c>
    </row>
    <row r="775" spans="1:16" s="341" customFormat="1" ht="25.5" customHeight="1">
      <c r="A775" s="806" t="s">
        <v>109</v>
      </c>
      <c r="B775" s="800" t="s">
        <v>130</v>
      </c>
      <c r="C775" s="800" t="s">
        <v>261</v>
      </c>
      <c r="D775" s="800" t="s">
        <v>14707</v>
      </c>
      <c r="E775" s="801">
        <v>43020</v>
      </c>
      <c r="F775" s="800" t="s">
        <v>14377</v>
      </c>
      <c r="G775" s="800" t="s">
        <v>14708</v>
      </c>
      <c r="H775" s="800" t="s">
        <v>10404</v>
      </c>
      <c r="I775" s="800" t="s">
        <v>10404</v>
      </c>
      <c r="J775" s="800" t="s">
        <v>10405</v>
      </c>
      <c r="K775" s="800">
        <v>1</v>
      </c>
      <c r="L775" s="802" t="s">
        <v>10398</v>
      </c>
      <c r="M775" s="802" t="s">
        <v>14709</v>
      </c>
      <c r="N775" s="802" t="s">
        <v>14710</v>
      </c>
      <c r="O775" s="802" t="s">
        <v>14711</v>
      </c>
      <c r="P775" s="807" t="s">
        <v>14712</v>
      </c>
    </row>
    <row r="776" spans="1:16" s="341" customFormat="1" ht="25.5" customHeight="1">
      <c r="A776" s="806" t="s">
        <v>109</v>
      </c>
      <c r="B776" s="800" t="s">
        <v>130</v>
      </c>
      <c r="C776" s="800" t="s">
        <v>261</v>
      </c>
      <c r="D776" s="800" t="s">
        <v>14713</v>
      </c>
      <c r="E776" s="801">
        <v>43020</v>
      </c>
      <c r="F776" s="800" t="s">
        <v>32</v>
      </c>
      <c r="G776" s="800" t="s">
        <v>14714</v>
      </c>
      <c r="H776" s="800" t="s">
        <v>10404</v>
      </c>
      <c r="I776" s="800" t="s">
        <v>10404</v>
      </c>
      <c r="J776" s="800" t="s">
        <v>10405</v>
      </c>
      <c r="K776" s="800">
        <v>1</v>
      </c>
      <c r="L776" s="802" t="s">
        <v>10398</v>
      </c>
      <c r="M776" s="802"/>
      <c r="N776" s="802" t="s">
        <v>14715</v>
      </c>
      <c r="O776" s="802" t="s">
        <v>14716</v>
      </c>
      <c r="P776" s="807" t="s">
        <v>14717</v>
      </c>
    </row>
    <row r="777" spans="1:16" s="341" customFormat="1" ht="25.5" customHeight="1">
      <c r="A777" s="806" t="s">
        <v>109</v>
      </c>
      <c r="B777" s="800" t="s">
        <v>130</v>
      </c>
      <c r="C777" s="800" t="s">
        <v>261</v>
      </c>
      <c r="D777" s="800" t="s">
        <v>14718</v>
      </c>
      <c r="E777" s="801">
        <v>43020</v>
      </c>
      <c r="F777" s="800" t="s">
        <v>32</v>
      </c>
      <c r="G777" s="800" t="s">
        <v>14719</v>
      </c>
      <c r="H777" s="800" t="s">
        <v>10404</v>
      </c>
      <c r="I777" s="800" t="s">
        <v>10404</v>
      </c>
      <c r="J777" s="800" t="s">
        <v>10405</v>
      </c>
      <c r="K777" s="800">
        <v>1</v>
      </c>
      <c r="L777" s="802" t="s">
        <v>10398</v>
      </c>
      <c r="M777" s="802" t="s">
        <v>14720</v>
      </c>
      <c r="N777" s="802" t="s">
        <v>13121</v>
      </c>
      <c r="O777" s="802" t="s">
        <v>14721</v>
      </c>
      <c r="P777" s="807" t="s">
        <v>14717</v>
      </c>
    </row>
    <row r="778" spans="1:16" s="341" customFormat="1" ht="25.5" customHeight="1">
      <c r="A778" s="806" t="s">
        <v>109</v>
      </c>
      <c r="B778" s="800" t="s">
        <v>130</v>
      </c>
      <c r="C778" s="800" t="s">
        <v>261</v>
      </c>
      <c r="D778" s="800" t="s">
        <v>14722</v>
      </c>
      <c r="E778" s="801">
        <v>43020</v>
      </c>
      <c r="F778" s="800" t="s">
        <v>14377</v>
      </c>
      <c r="G778" s="800" t="s">
        <v>14723</v>
      </c>
      <c r="H778" s="800" t="s">
        <v>10404</v>
      </c>
      <c r="I778" s="800" t="s">
        <v>10404</v>
      </c>
      <c r="J778" s="800" t="s">
        <v>10405</v>
      </c>
      <c r="K778" s="800">
        <v>1</v>
      </c>
      <c r="L778" s="802" t="s">
        <v>10398</v>
      </c>
      <c r="M778" s="802" t="s">
        <v>14724</v>
      </c>
      <c r="N778" s="802" t="s">
        <v>14725</v>
      </c>
      <c r="O778" s="802" t="s">
        <v>14711</v>
      </c>
      <c r="P778" s="807" t="s">
        <v>14726</v>
      </c>
    </row>
    <row r="779" spans="1:16" s="341" customFormat="1" ht="25.5" customHeight="1">
      <c r="A779" s="806" t="s">
        <v>109</v>
      </c>
      <c r="B779" s="800" t="s">
        <v>130</v>
      </c>
      <c r="C779" s="800" t="s">
        <v>261</v>
      </c>
      <c r="D779" s="800" t="s">
        <v>14727</v>
      </c>
      <c r="E779" s="801">
        <v>43020</v>
      </c>
      <c r="F779" s="800" t="s">
        <v>14377</v>
      </c>
      <c r="G779" s="800" t="s">
        <v>14728</v>
      </c>
      <c r="H779" s="800" t="s">
        <v>10404</v>
      </c>
      <c r="I779" s="800" t="s">
        <v>10404</v>
      </c>
      <c r="J779" s="800" t="s">
        <v>10405</v>
      </c>
      <c r="K779" s="800">
        <v>1</v>
      </c>
      <c r="L779" s="802" t="s">
        <v>10398</v>
      </c>
      <c r="M779" s="802" t="s">
        <v>32</v>
      </c>
      <c r="N779" s="802" t="s">
        <v>14729</v>
      </c>
      <c r="O779" s="802" t="s">
        <v>14730</v>
      </c>
      <c r="P779" s="807" t="s">
        <v>14731</v>
      </c>
    </row>
    <row r="780" spans="1:16" s="341" customFormat="1" ht="15" customHeight="1">
      <c r="A780" s="806" t="s">
        <v>109</v>
      </c>
      <c r="B780" s="800" t="s">
        <v>130</v>
      </c>
      <c r="C780" s="800" t="s">
        <v>261</v>
      </c>
      <c r="D780" s="800" t="s">
        <v>14732</v>
      </c>
      <c r="E780" s="801">
        <v>43020</v>
      </c>
      <c r="F780" s="800" t="s">
        <v>32</v>
      </c>
      <c r="G780" s="800" t="s">
        <v>14733</v>
      </c>
      <c r="H780" s="800" t="s">
        <v>10404</v>
      </c>
      <c r="I780" s="800" t="s">
        <v>10404</v>
      </c>
      <c r="J780" s="800" t="s">
        <v>10405</v>
      </c>
      <c r="K780" s="800">
        <v>1</v>
      </c>
      <c r="L780" s="802" t="s">
        <v>10398</v>
      </c>
      <c r="M780" s="802" t="s">
        <v>14734</v>
      </c>
      <c r="N780" s="802" t="s">
        <v>14735</v>
      </c>
      <c r="O780" s="802" t="s">
        <v>14736</v>
      </c>
      <c r="P780" s="807" t="s">
        <v>14392</v>
      </c>
    </row>
    <row r="781" spans="1:16" s="341" customFormat="1" ht="15" customHeight="1">
      <c r="A781" s="806" t="s">
        <v>109</v>
      </c>
      <c r="B781" s="800" t="s">
        <v>130</v>
      </c>
      <c r="C781" s="800" t="s">
        <v>261</v>
      </c>
      <c r="D781" s="800" t="s">
        <v>14737</v>
      </c>
      <c r="E781" s="801">
        <v>43020</v>
      </c>
      <c r="F781" s="800" t="s">
        <v>2053</v>
      </c>
      <c r="G781" s="800" t="s">
        <v>14738</v>
      </c>
      <c r="H781" s="800" t="s">
        <v>10404</v>
      </c>
      <c r="I781" s="800" t="s">
        <v>10404</v>
      </c>
      <c r="J781" s="800" t="s">
        <v>10405</v>
      </c>
      <c r="K781" s="800">
        <v>1</v>
      </c>
      <c r="L781" s="802" t="s">
        <v>10398</v>
      </c>
      <c r="M781" s="802" t="s">
        <v>14739</v>
      </c>
      <c r="N781" s="802" t="s">
        <v>14740</v>
      </c>
      <c r="O781" s="802" t="s">
        <v>14741</v>
      </c>
      <c r="P781" s="807" t="s">
        <v>32</v>
      </c>
    </row>
    <row r="782" spans="1:16" s="341" customFormat="1" ht="15" customHeight="1">
      <c r="A782" s="806" t="s">
        <v>109</v>
      </c>
      <c r="B782" s="800" t="s">
        <v>130</v>
      </c>
      <c r="C782" s="800" t="s">
        <v>261</v>
      </c>
      <c r="D782" s="800" t="s">
        <v>14742</v>
      </c>
      <c r="E782" s="801">
        <v>43020</v>
      </c>
      <c r="F782" s="800" t="s">
        <v>2053</v>
      </c>
      <c r="G782" s="800" t="s">
        <v>14743</v>
      </c>
      <c r="H782" s="800" t="s">
        <v>10531</v>
      </c>
      <c r="I782" s="800" t="s">
        <v>10531</v>
      </c>
      <c r="J782" s="800" t="s">
        <v>10397</v>
      </c>
      <c r="K782" s="800">
        <v>1</v>
      </c>
      <c r="L782" s="802" t="s">
        <v>10398</v>
      </c>
      <c r="M782" s="802" t="s">
        <v>32</v>
      </c>
      <c r="N782" s="802" t="s">
        <v>14744</v>
      </c>
      <c r="O782" s="802" t="s">
        <v>14745</v>
      </c>
      <c r="P782" s="807" t="s">
        <v>14412</v>
      </c>
    </row>
    <row r="783" spans="1:16" s="341" customFormat="1" ht="15" customHeight="1">
      <c r="A783" s="806" t="s">
        <v>109</v>
      </c>
      <c r="B783" s="800" t="s">
        <v>130</v>
      </c>
      <c r="C783" s="800" t="s">
        <v>261</v>
      </c>
      <c r="D783" s="800" t="s">
        <v>14746</v>
      </c>
      <c r="E783" s="801">
        <v>43020</v>
      </c>
      <c r="F783" s="800" t="s">
        <v>14377</v>
      </c>
      <c r="G783" s="800" t="s">
        <v>14747</v>
      </c>
      <c r="H783" s="800" t="s">
        <v>10404</v>
      </c>
      <c r="I783" s="800" t="s">
        <v>10404</v>
      </c>
      <c r="J783" s="800" t="s">
        <v>10405</v>
      </c>
      <c r="K783" s="800">
        <v>1</v>
      </c>
      <c r="L783" s="802" t="s">
        <v>10605</v>
      </c>
      <c r="M783" s="802"/>
      <c r="N783" s="802" t="s">
        <v>14748</v>
      </c>
      <c r="O783" s="802" t="s">
        <v>14749</v>
      </c>
      <c r="P783" s="807" t="s">
        <v>14750</v>
      </c>
    </row>
    <row r="784" spans="1:16" s="341" customFormat="1" ht="25.5" customHeight="1">
      <c r="A784" s="806" t="s">
        <v>109</v>
      </c>
      <c r="B784" s="800" t="s">
        <v>130</v>
      </c>
      <c r="C784" s="800" t="s">
        <v>261</v>
      </c>
      <c r="D784" s="800" t="s">
        <v>14751</v>
      </c>
      <c r="E784" s="801">
        <v>43020</v>
      </c>
      <c r="F784" s="800" t="s">
        <v>32</v>
      </c>
      <c r="G784" s="800" t="s">
        <v>14752</v>
      </c>
      <c r="H784" s="800" t="s">
        <v>10531</v>
      </c>
      <c r="I784" s="800" t="s">
        <v>10531</v>
      </c>
      <c r="J784" s="800" t="s">
        <v>10447</v>
      </c>
      <c r="K784" s="800">
        <v>1</v>
      </c>
      <c r="L784" s="802" t="s">
        <v>10398</v>
      </c>
      <c r="M784" s="802" t="s">
        <v>14753</v>
      </c>
      <c r="N784" s="802" t="s">
        <v>14754</v>
      </c>
      <c r="O784" s="802" t="s">
        <v>14755</v>
      </c>
      <c r="P784" s="807" t="s">
        <v>14701</v>
      </c>
    </row>
    <row r="785" spans="1:16" s="341" customFormat="1" ht="15" customHeight="1">
      <c r="A785" s="806" t="s">
        <v>109</v>
      </c>
      <c r="B785" s="800" t="s">
        <v>130</v>
      </c>
      <c r="C785" s="800" t="s">
        <v>261</v>
      </c>
      <c r="D785" s="800" t="s">
        <v>14756</v>
      </c>
      <c r="E785" s="801">
        <v>43020</v>
      </c>
      <c r="F785" s="800" t="s">
        <v>32</v>
      </c>
      <c r="G785" s="800" t="s">
        <v>14757</v>
      </c>
      <c r="H785" s="800" t="s">
        <v>10404</v>
      </c>
      <c r="I785" s="800" t="s">
        <v>10404</v>
      </c>
      <c r="J785" s="800" t="s">
        <v>10447</v>
      </c>
      <c r="K785" s="800">
        <v>1</v>
      </c>
      <c r="L785" s="802" t="s">
        <v>11026</v>
      </c>
      <c r="M785" s="802" t="s">
        <v>14758</v>
      </c>
      <c r="N785" s="802" t="s">
        <v>14759</v>
      </c>
      <c r="O785" s="802" t="s">
        <v>14760</v>
      </c>
      <c r="P785" s="807" t="s">
        <v>14761</v>
      </c>
    </row>
    <row r="786" spans="1:16" s="341" customFormat="1" ht="25.5" customHeight="1">
      <c r="A786" s="806" t="s">
        <v>109</v>
      </c>
      <c r="B786" s="800" t="s">
        <v>130</v>
      </c>
      <c r="C786" s="800" t="s">
        <v>261</v>
      </c>
      <c r="D786" s="800" t="s">
        <v>14762</v>
      </c>
      <c r="E786" s="801">
        <v>43020</v>
      </c>
      <c r="F786" s="800" t="s">
        <v>32</v>
      </c>
      <c r="G786" s="800" t="s">
        <v>14763</v>
      </c>
      <c r="H786" s="800" t="s">
        <v>10404</v>
      </c>
      <c r="I786" s="800" t="s">
        <v>10404</v>
      </c>
      <c r="J786" s="800" t="s">
        <v>10397</v>
      </c>
      <c r="K786" s="800">
        <v>1</v>
      </c>
      <c r="L786" s="802" t="s">
        <v>10398</v>
      </c>
      <c r="M786" s="802" t="s">
        <v>14764</v>
      </c>
      <c r="N786" s="802" t="s">
        <v>12181</v>
      </c>
      <c r="O786" s="802" t="s">
        <v>14765</v>
      </c>
      <c r="P786" s="807" t="s">
        <v>14642</v>
      </c>
    </row>
    <row r="787" spans="1:16" s="341" customFormat="1" ht="25.5" customHeight="1">
      <c r="A787" s="806" t="s">
        <v>109</v>
      </c>
      <c r="B787" s="800" t="s">
        <v>130</v>
      </c>
      <c r="C787" s="800" t="s">
        <v>261</v>
      </c>
      <c r="D787" s="800" t="s">
        <v>14766</v>
      </c>
      <c r="E787" s="801">
        <v>43020</v>
      </c>
      <c r="F787" s="800" t="s">
        <v>32</v>
      </c>
      <c r="G787" s="800" t="s">
        <v>14767</v>
      </c>
      <c r="H787" s="800" t="s">
        <v>10404</v>
      </c>
      <c r="I787" s="800" t="s">
        <v>10404</v>
      </c>
      <c r="J787" s="800" t="s">
        <v>10397</v>
      </c>
      <c r="K787" s="800">
        <v>1</v>
      </c>
      <c r="L787" s="802" t="s">
        <v>10398</v>
      </c>
      <c r="M787" s="802" t="s">
        <v>14768</v>
      </c>
      <c r="N787" s="802" t="s">
        <v>14769</v>
      </c>
      <c r="O787" s="802" t="s">
        <v>14770</v>
      </c>
      <c r="P787" s="807" t="s">
        <v>14642</v>
      </c>
    </row>
    <row r="788" spans="1:16" s="341" customFormat="1" ht="25.5" customHeight="1">
      <c r="A788" s="806" t="s">
        <v>109</v>
      </c>
      <c r="B788" s="800" t="s">
        <v>130</v>
      </c>
      <c r="C788" s="800" t="s">
        <v>261</v>
      </c>
      <c r="D788" s="800" t="s">
        <v>14771</v>
      </c>
      <c r="E788" s="801">
        <v>43020</v>
      </c>
      <c r="F788" s="800" t="s">
        <v>32</v>
      </c>
      <c r="G788" s="800" t="s">
        <v>14772</v>
      </c>
      <c r="H788" s="800" t="s">
        <v>10433</v>
      </c>
      <c r="I788" s="800" t="s">
        <v>10433</v>
      </c>
      <c r="J788" s="800" t="s">
        <v>10447</v>
      </c>
      <c r="K788" s="800">
        <v>1</v>
      </c>
      <c r="L788" s="802" t="s">
        <v>11026</v>
      </c>
      <c r="M788" s="802" t="s">
        <v>14773</v>
      </c>
      <c r="N788" s="802" t="s">
        <v>14774</v>
      </c>
      <c r="O788" s="802" t="s">
        <v>14775</v>
      </c>
      <c r="P788" s="807" t="s">
        <v>14776</v>
      </c>
    </row>
    <row r="789" spans="1:16" s="341" customFormat="1" ht="15" customHeight="1">
      <c r="A789" s="806" t="s">
        <v>109</v>
      </c>
      <c r="B789" s="800" t="s">
        <v>130</v>
      </c>
      <c r="C789" s="800" t="s">
        <v>261</v>
      </c>
      <c r="D789" s="800" t="s">
        <v>14777</v>
      </c>
      <c r="E789" s="801">
        <v>43020</v>
      </c>
      <c r="F789" s="800" t="s">
        <v>14377</v>
      </c>
      <c r="G789" s="800" t="s">
        <v>14778</v>
      </c>
      <c r="H789" s="800" t="s">
        <v>10396</v>
      </c>
      <c r="I789" s="800" t="s">
        <v>10396</v>
      </c>
      <c r="J789" s="800" t="s">
        <v>10405</v>
      </c>
      <c r="K789" s="800">
        <v>1</v>
      </c>
      <c r="L789" s="802" t="s">
        <v>10398</v>
      </c>
      <c r="M789" s="802" t="s">
        <v>32</v>
      </c>
      <c r="N789" s="802" t="s">
        <v>12064</v>
      </c>
      <c r="O789" s="802" t="s">
        <v>32</v>
      </c>
      <c r="P789" s="807" t="s">
        <v>14779</v>
      </c>
    </row>
    <row r="790" spans="1:16" s="341" customFormat="1" ht="25.5" customHeight="1">
      <c r="A790" s="806" t="s">
        <v>109</v>
      </c>
      <c r="B790" s="800" t="s">
        <v>130</v>
      </c>
      <c r="C790" s="800" t="s">
        <v>261</v>
      </c>
      <c r="D790" s="800" t="s">
        <v>14780</v>
      </c>
      <c r="E790" s="801">
        <v>43020</v>
      </c>
      <c r="F790" s="800" t="s">
        <v>14377</v>
      </c>
      <c r="G790" s="800" t="s">
        <v>14781</v>
      </c>
      <c r="H790" s="800" t="s">
        <v>10433</v>
      </c>
      <c r="I790" s="800" t="s">
        <v>10433</v>
      </c>
      <c r="J790" s="800" t="s">
        <v>4342</v>
      </c>
      <c r="K790" s="800">
        <v>1</v>
      </c>
      <c r="L790" s="802" t="s">
        <v>10605</v>
      </c>
      <c r="M790" s="802" t="s">
        <v>32</v>
      </c>
      <c r="N790" s="802" t="s">
        <v>14782</v>
      </c>
      <c r="O790" s="802" t="s">
        <v>14783</v>
      </c>
      <c r="P790" s="807" t="s">
        <v>14784</v>
      </c>
    </row>
    <row r="791" spans="1:16" s="341" customFormat="1" ht="25.5">
      <c r="A791" s="806" t="s">
        <v>109</v>
      </c>
      <c r="B791" s="800" t="s">
        <v>130</v>
      </c>
      <c r="C791" s="800" t="s">
        <v>261</v>
      </c>
      <c r="D791" s="800" t="s">
        <v>14785</v>
      </c>
      <c r="E791" s="801">
        <v>43020</v>
      </c>
      <c r="F791" s="800" t="s">
        <v>2053</v>
      </c>
      <c r="G791" s="800" t="s">
        <v>14786</v>
      </c>
      <c r="H791" s="800" t="s">
        <v>10396</v>
      </c>
      <c r="I791" s="800" t="s">
        <v>10396</v>
      </c>
      <c r="J791" s="800" t="s">
        <v>10397</v>
      </c>
      <c r="K791" s="800">
        <v>1</v>
      </c>
      <c r="L791" s="802" t="s">
        <v>10605</v>
      </c>
      <c r="M791" s="802" t="s">
        <v>32</v>
      </c>
      <c r="N791" s="802" t="s">
        <v>14787</v>
      </c>
      <c r="O791" s="802" t="s">
        <v>14788</v>
      </c>
      <c r="P791" s="807" t="s">
        <v>32</v>
      </c>
    </row>
    <row r="792" spans="1:16" s="341" customFormat="1" ht="15">
      <c r="A792" s="806" t="s">
        <v>109</v>
      </c>
      <c r="B792" s="800" t="s">
        <v>130</v>
      </c>
      <c r="C792" s="800" t="s">
        <v>261</v>
      </c>
      <c r="D792" s="800" t="s">
        <v>14789</v>
      </c>
      <c r="E792" s="801">
        <v>43021</v>
      </c>
      <c r="F792" s="800" t="s">
        <v>32</v>
      </c>
      <c r="G792" s="800" t="s">
        <v>14790</v>
      </c>
      <c r="H792" s="800" t="s">
        <v>10433</v>
      </c>
      <c r="I792" s="800" t="s">
        <v>10433</v>
      </c>
      <c r="J792" s="800" t="s">
        <v>10447</v>
      </c>
      <c r="K792" s="800">
        <v>1</v>
      </c>
      <c r="L792" s="802" t="s">
        <v>10398</v>
      </c>
      <c r="M792" s="802" t="s">
        <v>32</v>
      </c>
      <c r="N792" s="802" t="s">
        <v>14791</v>
      </c>
      <c r="O792" s="802" t="s">
        <v>14792</v>
      </c>
      <c r="P792" s="807" t="s">
        <v>32</v>
      </c>
    </row>
    <row r="793" spans="1:16" s="341" customFormat="1" ht="15">
      <c r="A793" s="806" t="s">
        <v>109</v>
      </c>
      <c r="B793" s="800" t="s">
        <v>130</v>
      </c>
      <c r="C793" s="800" t="s">
        <v>261</v>
      </c>
      <c r="D793" s="800" t="s">
        <v>14793</v>
      </c>
      <c r="E793" s="801">
        <v>43052</v>
      </c>
      <c r="F793" s="800" t="s">
        <v>32</v>
      </c>
      <c r="G793" s="800" t="s">
        <v>14794</v>
      </c>
      <c r="H793" s="800" t="s">
        <v>10433</v>
      </c>
      <c r="I793" s="800" t="s">
        <v>10433</v>
      </c>
      <c r="J793" s="800" t="s">
        <v>10447</v>
      </c>
      <c r="K793" s="800">
        <v>1</v>
      </c>
      <c r="L793" s="802" t="s">
        <v>10605</v>
      </c>
      <c r="M793" s="802" t="s">
        <v>32</v>
      </c>
      <c r="N793" s="802" t="s">
        <v>14795</v>
      </c>
      <c r="O793" s="802" t="s">
        <v>14796</v>
      </c>
      <c r="P793" s="807" t="s">
        <v>14797</v>
      </c>
    </row>
    <row r="794" spans="1:16" s="341" customFormat="1" ht="25.5" customHeight="1">
      <c r="A794" s="806" t="s">
        <v>109</v>
      </c>
      <c r="B794" s="800" t="s">
        <v>130</v>
      </c>
      <c r="C794" s="800" t="s">
        <v>261</v>
      </c>
      <c r="D794" s="800" t="s">
        <v>14798</v>
      </c>
      <c r="E794" s="801">
        <v>43021</v>
      </c>
      <c r="F794" s="800" t="s">
        <v>32</v>
      </c>
      <c r="G794" s="800" t="s">
        <v>14799</v>
      </c>
      <c r="H794" s="800" t="s">
        <v>10404</v>
      </c>
      <c r="I794" s="800" t="s">
        <v>10404</v>
      </c>
      <c r="J794" s="800" t="s">
        <v>10405</v>
      </c>
      <c r="K794" s="800">
        <v>1</v>
      </c>
      <c r="L794" s="802" t="s">
        <v>10398</v>
      </c>
      <c r="M794" s="802" t="s">
        <v>14800</v>
      </c>
      <c r="N794" s="802" t="s">
        <v>14801</v>
      </c>
      <c r="O794" s="802" t="s">
        <v>14802</v>
      </c>
      <c r="P794" s="807" t="s">
        <v>14803</v>
      </c>
    </row>
    <row r="795" spans="1:16" s="341" customFormat="1" ht="25.5" customHeight="1">
      <c r="A795" s="806" t="s">
        <v>109</v>
      </c>
      <c r="B795" s="800" t="s">
        <v>130</v>
      </c>
      <c r="C795" s="800" t="s">
        <v>261</v>
      </c>
      <c r="D795" s="800" t="s">
        <v>14804</v>
      </c>
      <c r="E795" s="801">
        <v>43021</v>
      </c>
      <c r="F795" s="800" t="s">
        <v>2053</v>
      </c>
      <c r="G795" s="800" t="s">
        <v>14805</v>
      </c>
      <c r="H795" s="800" t="s">
        <v>10433</v>
      </c>
      <c r="I795" s="800" t="s">
        <v>10433</v>
      </c>
      <c r="J795" s="800" t="s">
        <v>10447</v>
      </c>
      <c r="K795" s="800">
        <v>1</v>
      </c>
      <c r="L795" s="802" t="s">
        <v>11026</v>
      </c>
      <c r="M795" s="802" t="s">
        <v>14806</v>
      </c>
      <c r="N795" s="802" t="s">
        <v>11467</v>
      </c>
      <c r="O795" s="802" t="s">
        <v>14807</v>
      </c>
      <c r="P795" s="807" t="s">
        <v>14808</v>
      </c>
    </row>
    <row r="796" spans="1:16" s="341" customFormat="1" ht="15" customHeight="1">
      <c r="A796" s="806" t="s">
        <v>109</v>
      </c>
      <c r="B796" s="800" t="s">
        <v>130</v>
      </c>
      <c r="C796" s="800" t="s">
        <v>261</v>
      </c>
      <c r="D796" s="800" t="s">
        <v>14809</v>
      </c>
      <c r="E796" s="801">
        <v>43021</v>
      </c>
      <c r="F796" s="800" t="s">
        <v>10605</v>
      </c>
      <c r="G796" s="800" t="s">
        <v>14810</v>
      </c>
      <c r="H796" s="800" t="s">
        <v>10433</v>
      </c>
      <c r="I796" s="800" t="s">
        <v>10433</v>
      </c>
      <c r="J796" s="800" t="s">
        <v>10447</v>
      </c>
      <c r="K796" s="800">
        <v>1</v>
      </c>
      <c r="L796" s="802" t="s">
        <v>10398</v>
      </c>
      <c r="M796" s="802" t="s">
        <v>32</v>
      </c>
      <c r="N796" s="802" t="s">
        <v>14811</v>
      </c>
      <c r="O796" s="802" t="s">
        <v>14812</v>
      </c>
      <c r="P796" s="807" t="s">
        <v>14813</v>
      </c>
    </row>
    <row r="797" spans="1:16" s="341" customFormat="1" ht="25.5" customHeight="1">
      <c r="A797" s="806" t="s">
        <v>109</v>
      </c>
      <c r="B797" s="800" t="s">
        <v>130</v>
      </c>
      <c r="C797" s="800" t="s">
        <v>261</v>
      </c>
      <c r="D797" s="800" t="s">
        <v>14814</v>
      </c>
      <c r="E797" s="801">
        <v>43021</v>
      </c>
      <c r="F797" s="800" t="s">
        <v>261</v>
      </c>
      <c r="G797" s="800" t="s">
        <v>14815</v>
      </c>
      <c r="H797" s="800" t="s">
        <v>10396</v>
      </c>
      <c r="I797" s="800" t="s">
        <v>10396</v>
      </c>
      <c r="J797" s="800" t="s">
        <v>10397</v>
      </c>
      <c r="K797" s="800">
        <v>1</v>
      </c>
      <c r="L797" s="802" t="s">
        <v>11026</v>
      </c>
      <c r="M797" s="802" t="s">
        <v>14816</v>
      </c>
      <c r="N797" s="802" t="s">
        <v>14817</v>
      </c>
      <c r="O797" s="802" t="s">
        <v>14818</v>
      </c>
      <c r="P797" s="807" t="s">
        <v>14819</v>
      </c>
    </row>
    <row r="798" spans="1:16" s="341" customFormat="1" ht="25.5" customHeight="1">
      <c r="A798" s="806" t="s">
        <v>109</v>
      </c>
      <c r="B798" s="800" t="s">
        <v>130</v>
      </c>
      <c r="C798" s="800" t="s">
        <v>261</v>
      </c>
      <c r="D798" s="800" t="s">
        <v>14820</v>
      </c>
      <c r="E798" s="801">
        <v>43021</v>
      </c>
      <c r="F798" s="800" t="s">
        <v>10605</v>
      </c>
      <c r="G798" s="800" t="s">
        <v>14821</v>
      </c>
      <c r="H798" s="800" t="s">
        <v>10404</v>
      </c>
      <c r="I798" s="800" t="s">
        <v>10404</v>
      </c>
      <c r="J798" s="800" t="s">
        <v>10405</v>
      </c>
      <c r="K798" s="800">
        <v>1</v>
      </c>
      <c r="L798" s="802" t="s">
        <v>11026</v>
      </c>
      <c r="M798" s="802" t="s">
        <v>14822</v>
      </c>
      <c r="N798" s="802" t="s">
        <v>14823</v>
      </c>
      <c r="O798" s="802" t="s">
        <v>14824</v>
      </c>
      <c r="P798" s="807" t="s">
        <v>14825</v>
      </c>
    </row>
    <row r="799" spans="1:16" s="341" customFormat="1" ht="15" customHeight="1">
      <c r="A799" s="806" t="s">
        <v>109</v>
      </c>
      <c r="B799" s="800" t="s">
        <v>130</v>
      </c>
      <c r="C799" s="800" t="s">
        <v>261</v>
      </c>
      <c r="D799" s="800" t="s">
        <v>14826</v>
      </c>
      <c r="E799" s="801">
        <v>43021</v>
      </c>
      <c r="F799" s="800" t="s">
        <v>10605</v>
      </c>
      <c r="G799" s="800" t="s">
        <v>14827</v>
      </c>
      <c r="H799" s="800" t="s">
        <v>10404</v>
      </c>
      <c r="I799" s="800" t="s">
        <v>10404</v>
      </c>
      <c r="J799" s="800" t="s">
        <v>10405</v>
      </c>
      <c r="K799" s="800">
        <v>1</v>
      </c>
      <c r="L799" s="802" t="s">
        <v>10398</v>
      </c>
      <c r="M799" s="802" t="s">
        <v>14828</v>
      </c>
      <c r="N799" s="802" t="s">
        <v>14829</v>
      </c>
      <c r="O799" s="802" t="s">
        <v>14830</v>
      </c>
      <c r="P799" s="807" t="s">
        <v>14831</v>
      </c>
    </row>
    <row r="800" spans="1:16" s="341" customFormat="1" ht="15" customHeight="1">
      <c r="A800" s="806" t="s">
        <v>109</v>
      </c>
      <c r="B800" s="800" t="s">
        <v>130</v>
      </c>
      <c r="C800" s="800" t="s">
        <v>261</v>
      </c>
      <c r="D800" s="800" t="s">
        <v>14832</v>
      </c>
      <c r="E800" s="801">
        <v>43021</v>
      </c>
      <c r="F800" s="800" t="s">
        <v>261</v>
      </c>
      <c r="G800" s="800" t="s">
        <v>14833</v>
      </c>
      <c r="H800" s="800" t="s">
        <v>10404</v>
      </c>
      <c r="I800" s="800" t="s">
        <v>10404</v>
      </c>
      <c r="J800" s="800" t="s">
        <v>10405</v>
      </c>
      <c r="K800" s="800">
        <v>1</v>
      </c>
      <c r="L800" s="802" t="s">
        <v>10398</v>
      </c>
      <c r="M800" s="802" t="s">
        <v>32</v>
      </c>
      <c r="N800" s="802" t="s">
        <v>14834</v>
      </c>
      <c r="O800" s="802" t="s">
        <v>14835</v>
      </c>
      <c r="P800" s="807" t="s">
        <v>32</v>
      </c>
    </row>
    <row r="801" spans="1:16" s="341" customFormat="1" ht="25.5">
      <c r="A801" s="806" t="s">
        <v>109</v>
      </c>
      <c r="B801" s="800" t="s">
        <v>130</v>
      </c>
      <c r="C801" s="800" t="s">
        <v>261</v>
      </c>
      <c r="D801" s="800" t="s">
        <v>14836</v>
      </c>
      <c r="E801" s="801">
        <v>43021</v>
      </c>
      <c r="F801" s="800" t="s">
        <v>10605</v>
      </c>
      <c r="G801" s="800" t="s">
        <v>14837</v>
      </c>
      <c r="H801" s="800" t="s">
        <v>10531</v>
      </c>
      <c r="I801" s="800" t="s">
        <v>10531</v>
      </c>
      <c r="J801" s="800" t="s">
        <v>10397</v>
      </c>
      <c r="K801" s="800">
        <v>1</v>
      </c>
      <c r="L801" s="802" t="s">
        <v>10398</v>
      </c>
      <c r="M801" s="802" t="s">
        <v>32</v>
      </c>
      <c r="N801" s="802" t="s">
        <v>14838</v>
      </c>
      <c r="O801" s="802" t="s">
        <v>14839</v>
      </c>
      <c r="P801" s="807" t="s">
        <v>14840</v>
      </c>
    </row>
    <row r="802" spans="1:16" s="341" customFormat="1" ht="25.5">
      <c r="A802" s="806" t="s">
        <v>109</v>
      </c>
      <c r="B802" s="800" t="s">
        <v>130</v>
      </c>
      <c r="C802" s="800" t="s">
        <v>261</v>
      </c>
      <c r="D802" s="800" t="s">
        <v>14841</v>
      </c>
      <c r="E802" s="801">
        <v>43021</v>
      </c>
      <c r="F802" s="800" t="s">
        <v>10605</v>
      </c>
      <c r="G802" s="800" t="s">
        <v>14842</v>
      </c>
      <c r="H802" s="800" t="s">
        <v>10404</v>
      </c>
      <c r="I802" s="800" t="s">
        <v>10404</v>
      </c>
      <c r="J802" s="800" t="s">
        <v>10397</v>
      </c>
      <c r="K802" s="800">
        <v>1</v>
      </c>
      <c r="L802" s="802" t="s">
        <v>10398</v>
      </c>
      <c r="M802" s="802" t="s">
        <v>14843</v>
      </c>
      <c r="N802" s="802" t="s">
        <v>14844</v>
      </c>
      <c r="O802" s="802" t="s">
        <v>14845</v>
      </c>
      <c r="P802" s="807" t="s">
        <v>14846</v>
      </c>
    </row>
    <row r="803" spans="1:16" s="341" customFormat="1" ht="25.5" customHeight="1">
      <c r="A803" s="806" t="s">
        <v>109</v>
      </c>
      <c r="B803" s="800" t="s">
        <v>130</v>
      </c>
      <c r="C803" s="800" t="s">
        <v>261</v>
      </c>
      <c r="D803" s="800" t="s">
        <v>14847</v>
      </c>
      <c r="E803" s="801">
        <v>43021</v>
      </c>
      <c r="F803" s="800" t="s">
        <v>14848</v>
      </c>
      <c r="G803" s="800" t="s">
        <v>14842</v>
      </c>
      <c r="H803" s="800" t="s">
        <v>10404</v>
      </c>
      <c r="I803" s="800" t="s">
        <v>10404</v>
      </c>
      <c r="J803" s="800" t="s">
        <v>10405</v>
      </c>
      <c r="K803" s="800">
        <v>1</v>
      </c>
      <c r="L803" s="802" t="s">
        <v>10398</v>
      </c>
      <c r="M803" s="802" t="s">
        <v>14849</v>
      </c>
      <c r="N803" s="802" t="s">
        <v>14850</v>
      </c>
      <c r="O803" s="802" t="s">
        <v>14851</v>
      </c>
      <c r="P803" s="807" t="s">
        <v>14852</v>
      </c>
    </row>
    <row r="804" spans="1:16" s="341" customFormat="1" ht="15" customHeight="1">
      <c r="A804" s="806" t="s">
        <v>109</v>
      </c>
      <c r="B804" s="800" t="s">
        <v>130</v>
      </c>
      <c r="C804" s="800" t="s">
        <v>261</v>
      </c>
      <c r="D804" s="800" t="s">
        <v>14853</v>
      </c>
      <c r="E804" s="801">
        <v>43021</v>
      </c>
      <c r="F804" s="800" t="s">
        <v>261</v>
      </c>
      <c r="G804" s="800" t="s">
        <v>14854</v>
      </c>
      <c r="H804" s="800" t="s">
        <v>10396</v>
      </c>
      <c r="I804" s="800" t="s">
        <v>10396</v>
      </c>
      <c r="J804" s="800" t="s">
        <v>10405</v>
      </c>
      <c r="K804" s="800">
        <v>1</v>
      </c>
      <c r="L804" s="802" t="s">
        <v>10398</v>
      </c>
      <c r="M804" s="802" t="s">
        <v>14855</v>
      </c>
      <c r="N804" s="802" t="s">
        <v>14856</v>
      </c>
      <c r="O804" s="802" t="s">
        <v>14857</v>
      </c>
      <c r="P804" s="807" t="s">
        <v>14858</v>
      </c>
    </row>
    <row r="805" spans="1:16" s="341" customFormat="1" ht="25.5" customHeight="1">
      <c r="A805" s="806" t="s">
        <v>109</v>
      </c>
      <c r="B805" s="800" t="s">
        <v>130</v>
      </c>
      <c r="C805" s="800" t="s">
        <v>261</v>
      </c>
      <c r="D805" s="800" t="s">
        <v>14859</v>
      </c>
      <c r="E805" s="801">
        <v>43021</v>
      </c>
      <c r="F805" s="800" t="s">
        <v>261</v>
      </c>
      <c r="G805" s="800" t="s">
        <v>14860</v>
      </c>
      <c r="H805" s="800" t="s">
        <v>10396</v>
      </c>
      <c r="I805" s="800" t="s">
        <v>10396</v>
      </c>
      <c r="J805" s="800" t="s">
        <v>10405</v>
      </c>
      <c r="K805" s="800">
        <v>1</v>
      </c>
      <c r="L805" s="802" t="s">
        <v>10398</v>
      </c>
      <c r="M805" s="802" t="s">
        <v>32</v>
      </c>
      <c r="N805" s="802" t="s">
        <v>11970</v>
      </c>
      <c r="O805" s="802" t="s">
        <v>14861</v>
      </c>
      <c r="P805" s="807" t="s">
        <v>14234</v>
      </c>
    </row>
    <row r="806" spans="1:16" s="341" customFormat="1" ht="15" customHeight="1">
      <c r="A806" s="806" t="s">
        <v>109</v>
      </c>
      <c r="B806" s="800" t="s">
        <v>130</v>
      </c>
      <c r="C806" s="800" t="s">
        <v>261</v>
      </c>
      <c r="D806" s="800" t="s">
        <v>14862</v>
      </c>
      <c r="E806" s="801">
        <v>43021</v>
      </c>
      <c r="F806" s="800" t="s">
        <v>261</v>
      </c>
      <c r="G806" s="800" t="s">
        <v>14863</v>
      </c>
      <c r="H806" s="800" t="s">
        <v>10396</v>
      </c>
      <c r="I806" s="800" t="s">
        <v>10396</v>
      </c>
      <c r="J806" s="800" t="s">
        <v>10405</v>
      </c>
      <c r="K806" s="800">
        <v>1</v>
      </c>
      <c r="L806" s="802" t="s">
        <v>10398</v>
      </c>
      <c r="M806" s="802" t="s">
        <v>32</v>
      </c>
      <c r="N806" s="802" t="s">
        <v>14864</v>
      </c>
      <c r="O806" s="802" t="s">
        <v>14865</v>
      </c>
      <c r="P806" s="807" t="s">
        <v>14866</v>
      </c>
    </row>
    <row r="807" spans="1:16" s="341" customFormat="1" ht="15" customHeight="1">
      <c r="A807" s="806" t="s">
        <v>109</v>
      </c>
      <c r="B807" s="800" t="s">
        <v>130</v>
      </c>
      <c r="C807" s="800" t="s">
        <v>261</v>
      </c>
      <c r="D807" s="800" t="s">
        <v>14867</v>
      </c>
      <c r="E807" s="801">
        <v>43021</v>
      </c>
      <c r="F807" s="800" t="s">
        <v>261</v>
      </c>
      <c r="G807" s="800" t="s">
        <v>14868</v>
      </c>
      <c r="H807" s="800" t="s">
        <v>10396</v>
      </c>
      <c r="I807" s="800" t="s">
        <v>10396</v>
      </c>
      <c r="J807" s="800" t="s">
        <v>10405</v>
      </c>
      <c r="K807" s="800">
        <v>1</v>
      </c>
      <c r="L807" s="802" t="s">
        <v>10398</v>
      </c>
      <c r="M807" s="802" t="s">
        <v>14869</v>
      </c>
      <c r="N807" s="802" t="s">
        <v>14870</v>
      </c>
      <c r="O807" s="802" t="s">
        <v>14865</v>
      </c>
      <c r="P807" s="807" t="s">
        <v>14871</v>
      </c>
    </row>
    <row r="808" spans="1:16" s="341" customFormat="1" ht="25.5" customHeight="1">
      <c r="A808" s="806" t="s">
        <v>109</v>
      </c>
      <c r="B808" s="800" t="s">
        <v>130</v>
      </c>
      <c r="C808" s="800" t="s">
        <v>261</v>
      </c>
      <c r="D808" s="800" t="s">
        <v>14872</v>
      </c>
      <c r="E808" s="801">
        <v>43021</v>
      </c>
      <c r="F808" s="800" t="s">
        <v>261</v>
      </c>
      <c r="G808" s="800" t="s">
        <v>14873</v>
      </c>
      <c r="H808" s="800" t="s">
        <v>10396</v>
      </c>
      <c r="I808" s="800" t="s">
        <v>10396</v>
      </c>
      <c r="J808" s="800" t="s">
        <v>10405</v>
      </c>
      <c r="K808" s="800">
        <v>1</v>
      </c>
      <c r="L808" s="802" t="s">
        <v>10398</v>
      </c>
      <c r="M808" s="802" t="s">
        <v>32</v>
      </c>
      <c r="N808" s="802" t="s">
        <v>14874</v>
      </c>
      <c r="O808" s="802" t="s">
        <v>14875</v>
      </c>
      <c r="P808" s="807" t="s">
        <v>14876</v>
      </c>
    </row>
    <row r="809" spans="1:16" s="341" customFormat="1" ht="15" customHeight="1">
      <c r="A809" s="806" t="s">
        <v>109</v>
      </c>
      <c r="B809" s="800" t="s">
        <v>130</v>
      </c>
      <c r="C809" s="800" t="s">
        <v>261</v>
      </c>
      <c r="D809" s="800" t="s">
        <v>14877</v>
      </c>
      <c r="E809" s="801">
        <v>43021</v>
      </c>
      <c r="F809" s="800" t="s">
        <v>261</v>
      </c>
      <c r="G809" s="800" t="s">
        <v>14878</v>
      </c>
      <c r="H809" s="800" t="s">
        <v>10396</v>
      </c>
      <c r="I809" s="800" t="s">
        <v>10396</v>
      </c>
      <c r="J809" s="800" t="s">
        <v>10405</v>
      </c>
      <c r="K809" s="800">
        <v>1</v>
      </c>
      <c r="L809" s="802" t="s">
        <v>11045</v>
      </c>
      <c r="M809" s="802" t="s">
        <v>14879</v>
      </c>
      <c r="N809" s="802" t="s">
        <v>14880</v>
      </c>
      <c r="O809" s="802" t="s">
        <v>14881</v>
      </c>
      <c r="P809" s="807" t="s">
        <v>14882</v>
      </c>
    </row>
    <row r="810" spans="1:16" s="341" customFormat="1" ht="15" customHeight="1">
      <c r="A810" s="806" t="s">
        <v>109</v>
      </c>
      <c r="B810" s="800" t="s">
        <v>130</v>
      </c>
      <c r="C810" s="800" t="s">
        <v>261</v>
      </c>
      <c r="D810" s="800" t="s">
        <v>14883</v>
      </c>
      <c r="E810" s="801">
        <v>43021</v>
      </c>
      <c r="F810" s="800" t="s">
        <v>261</v>
      </c>
      <c r="G810" s="800" t="s">
        <v>14884</v>
      </c>
      <c r="H810" s="800" t="s">
        <v>10396</v>
      </c>
      <c r="I810" s="800" t="s">
        <v>10396</v>
      </c>
      <c r="J810" s="800" t="s">
        <v>10405</v>
      </c>
      <c r="K810" s="800">
        <v>1</v>
      </c>
      <c r="L810" s="802" t="s">
        <v>10398</v>
      </c>
      <c r="M810" s="802" t="s">
        <v>14885</v>
      </c>
      <c r="N810" s="802" t="s">
        <v>14886</v>
      </c>
      <c r="O810" s="802" t="s">
        <v>14887</v>
      </c>
      <c r="P810" s="807" t="s">
        <v>14888</v>
      </c>
    </row>
    <row r="811" spans="1:16" s="341" customFormat="1" ht="25.5" customHeight="1">
      <c r="A811" s="806" t="s">
        <v>109</v>
      </c>
      <c r="B811" s="800" t="s">
        <v>130</v>
      </c>
      <c r="C811" s="800" t="s">
        <v>261</v>
      </c>
      <c r="D811" s="800" t="s">
        <v>14889</v>
      </c>
      <c r="E811" s="801">
        <v>43021</v>
      </c>
      <c r="F811" s="800" t="s">
        <v>261</v>
      </c>
      <c r="G811" s="800" t="s">
        <v>14890</v>
      </c>
      <c r="H811" s="800" t="s">
        <v>10396</v>
      </c>
      <c r="I811" s="800" t="s">
        <v>10396</v>
      </c>
      <c r="J811" s="800" t="s">
        <v>10405</v>
      </c>
      <c r="K811" s="800">
        <v>1</v>
      </c>
      <c r="L811" s="802" t="s">
        <v>10398</v>
      </c>
      <c r="M811" s="802" t="s">
        <v>14891</v>
      </c>
      <c r="N811" s="802" t="s">
        <v>14892</v>
      </c>
      <c r="O811" s="802" t="s">
        <v>14851</v>
      </c>
      <c r="P811" s="807" t="s">
        <v>14893</v>
      </c>
    </row>
    <row r="812" spans="1:16" s="341" customFormat="1" ht="15" customHeight="1">
      <c r="A812" s="806" t="s">
        <v>109</v>
      </c>
      <c r="B812" s="800" t="s">
        <v>130</v>
      </c>
      <c r="C812" s="800" t="s">
        <v>261</v>
      </c>
      <c r="D812" s="800" t="s">
        <v>14894</v>
      </c>
      <c r="E812" s="801">
        <v>43021</v>
      </c>
      <c r="F812" s="800" t="s">
        <v>2053</v>
      </c>
      <c r="G812" s="800" t="s">
        <v>14895</v>
      </c>
      <c r="H812" s="800" t="s">
        <v>10404</v>
      </c>
      <c r="I812" s="800" t="s">
        <v>10404</v>
      </c>
      <c r="J812" s="800" t="s">
        <v>10405</v>
      </c>
      <c r="K812" s="800">
        <v>1</v>
      </c>
      <c r="L812" s="802" t="s">
        <v>10398</v>
      </c>
      <c r="M812" s="802" t="s">
        <v>14896</v>
      </c>
      <c r="N812" s="802" t="s">
        <v>14897</v>
      </c>
      <c r="O812" s="802" t="s">
        <v>14898</v>
      </c>
      <c r="P812" s="807" t="s">
        <v>14899</v>
      </c>
    </row>
    <row r="813" spans="1:16" s="341" customFormat="1" ht="15" customHeight="1">
      <c r="A813" s="806" t="s">
        <v>109</v>
      </c>
      <c r="B813" s="800" t="s">
        <v>130</v>
      </c>
      <c r="C813" s="800" t="s">
        <v>261</v>
      </c>
      <c r="D813" s="800" t="s">
        <v>14900</v>
      </c>
      <c r="E813" s="801">
        <v>43021</v>
      </c>
      <c r="F813" s="800" t="s">
        <v>10605</v>
      </c>
      <c r="G813" s="800" t="s">
        <v>14901</v>
      </c>
      <c r="H813" s="800" t="s">
        <v>10396</v>
      </c>
      <c r="I813" s="800" t="s">
        <v>10396</v>
      </c>
      <c r="J813" s="800" t="s">
        <v>10405</v>
      </c>
      <c r="K813" s="800">
        <v>1</v>
      </c>
      <c r="L813" s="802" t="s">
        <v>10398</v>
      </c>
      <c r="M813" s="802" t="s">
        <v>14902</v>
      </c>
      <c r="N813" s="802" t="s">
        <v>14903</v>
      </c>
      <c r="O813" s="802" t="s">
        <v>14904</v>
      </c>
      <c r="P813" s="807" t="s">
        <v>14905</v>
      </c>
    </row>
    <row r="814" spans="1:16" s="341" customFormat="1" ht="15" customHeight="1">
      <c r="A814" s="806" t="s">
        <v>109</v>
      </c>
      <c r="B814" s="800" t="s">
        <v>130</v>
      </c>
      <c r="C814" s="800" t="s">
        <v>261</v>
      </c>
      <c r="D814" s="800" t="s">
        <v>14906</v>
      </c>
      <c r="E814" s="801">
        <v>43017</v>
      </c>
      <c r="F814" s="800" t="s">
        <v>14907</v>
      </c>
      <c r="G814" s="800" t="s">
        <v>14908</v>
      </c>
      <c r="H814" s="800" t="s">
        <v>10404</v>
      </c>
      <c r="I814" s="800" t="s">
        <v>10404</v>
      </c>
      <c r="J814" s="800" t="s">
        <v>10405</v>
      </c>
      <c r="K814" s="800">
        <v>1</v>
      </c>
      <c r="L814" s="802" t="s">
        <v>10398</v>
      </c>
      <c r="M814" s="802" t="s">
        <v>14909</v>
      </c>
      <c r="N814" s="802" t="s">
        <v>12557</v>
      </c>
      <c r="O814" s="802" t="s">
        <v>14910</v>
      </c>
      <c r="P814" s="807" t="s">
        <v>32</v>
      </c>
    </row>
    <row r="815" spans="1:16" s="341" customFormat="1" ht="15" customHeight="1">
      <c r="A815" s="806" t="s">
        <v>109</v>
      </c>
      <c r="B815" s="800" t="s">
        <v>130</v>
      </c>
      <c r="C815" s="800" t="s">
        <v>261</v>
      </c>
      <c r="D815" s="800" t="s">
        <v>14911</v>
      </c>
      <c r="E815" s="801">
        <v>43017</v>
      </c>
      <c r="F815" s="800" t="s">
        <v>261</v>
      </c>
      <c r="G815" s="800" t="s">
        <v>14912</v>
      </c>
      <c r="H815" s="800" t="s">
        <v>10433</v>
      </c>
      <c r="I815" s="800" t="s">
        <v>10433</v>
      </c>
      <c r="J815" s="800" t="s">
        <v>4342</v>
      </c>
      <c r="K815" s="800">
        <v>1</v>
      </c>
      <c r="L815" s="802" t="s">
        <v>11026</v>
      </c>
      <c r="M815" s="802" t="s">
        <v>14913</v>
      </c>
      <c r="N815" s="802" t="s">
        <v>14914</v>
      </c>
      <c r="O815" s="802" t="s">
        <v>14915</v>
      </c>
      <c r="P815" s="807" t="s">
        <v>14916</v>
      </c>
    </row>
    <row r="816" spans="1:16" s="341" customFormat="1" ht="25.5">
      <c r="A816" s="806" t="s">
        <v>109</v>
      </c>
      <c r="B816" s="800" t="s">
        <v>130</v>
      </c>
      <c r="C816" s="800" t="s">
        <v>261</v>
      </c>
      <c r="D816" s="800" t="s">
        <v>14917</v>
      </c>
      <c r="E816" s="801">
        <v>43017</v>
      </c>
      <c r="F816" s="800" t="s">
        <v>261</v>
      </c>
      <c r="G816" s="800" t="s">
        <v>14918</v>
      </c>
      <c r="H816" s="800" t="s">
        <v>10404</v>
      </c>
      <c r="I816" s="800" t="s">
        <v>10404</v>
      </c>
      <c r="J816" s="800" t="s">
        <v>10405</v>
      </c>
      <c r="K816" s="800">
        <v>1</v>
      </c>
      <c r="L816" s="802" t="s">
        <v>10398</v>
      </c>
      <c r="M816" s="802" t="s">
        <v>32</v>
      </c>
      <c r="N816" s="802" t="s">
        <v>14919</v>
      </c>
      <c r="O816" s="802" t="s">
        <v>14920</v>
      </c>
      <c r="P816" s="807" t="s">
        <v>14921</v>
      </c>
    </row>
    <row r="817" spans="1:16" s="341" customFormat="1" ht="15" customHeight="1">
      <c r="A817" s="806" t="s">
        <v>109</v>
      </c>
      <c r="B817" s="800" t="s">
        <v>130</v>
      </c>
      <c r="C817" s="800" t="s">
        <v>261</v>
      </c>
      <c r="D817" s="800" t="s">
        <v>14922</v>
      </c>
      <c r="E817" s="801">
        <v>43017</v>
      </c>
      <c r="F817" s="800" t="s">
        <v>14923</v>
      </c>
      <c r="G817" s="800" t="s">
        <v>14924</v>
      </c>
      <c r="H817" s="800" t="s">
        <v>10404</v>
      </c>
      <c r="I817" s="800" t="s">
        <v>10404</v>
      </c>
      <c r="J817" s="800" t="s">
        <v>10405</v>
      </c>
      <c r="K817" s="800">
        <v>1</v>
      </c>
      <c r="L817" s="802" t="s">
        <v>10398</v>
      </c>
      <c r="M817" s="802" t="s">
        <v>14925</v>
      </c>
      <c r="N817" s="802" t="s">
        <v>14926</v>
      </c>
      <c r="O817" s="802" t="s">
        <v>14927</v>
      </c>
      <c r="P817" s="807" t="s">
        <v>14928</v>
      </c>
    </row>
    <row r="818" spans="1:16" s="341" customFormat="1" ht="15" customHeight="1">
      <c r="A818" s="806" t="s">
        <v>109</v>
      </c>
      <c r="B818" s="800" t="s">
        <v>130</v>
      </c>
      <c r="C818" s="800" t="s">
        <v>261</v>
      </c>
      <c r="D818" s="800" t="s">
        <v>14929</v>
      </c>
      <c r="E818" s="801">
        <v>43017</v>
      </c>
      <c r="F818" s="800" t="s">
        <v>14923</v>
      </c>
      <c r="G818" s="800" t="s">
        <v>14930</v>
      </c>
      <c r="H818" s="800" t="s">
        <v>10404</v>
      </c>
      <c r="I818" s="800" t="s">
        <v>10404</v>
      </c>
      <c r="J818" s="800" t="s">
        <v>10405</v>
      </c>
      <c r="K818" s="800">
        <v>1</v>
      </c>
      <c r="L818" s="802" t="s">
        <v>10398</v>
      </c>
      <c r="M818" s="802" t="s">
        <v>32</v>
      </c>
      <c r="N818" s="802" t="s">
        <v>14931</v>
      </c>
      <c r="O818" s="802" t="s">
        <v>14932</v>
      </c>
      <c r="P818" s="807" t="s">
        <v>32</v>
      </c>
    </row>
    <row r="819" spans="1:16" s="341" customFormat="1" ht="25.5" customHeight="1">
      <c r="A819" s="806" t="s">
        <v>109</v>
      </c>
      <c r="B819" s="800" t="s">
        <v>130</v>
      </c>
      <c r="C819" s="800" t="s">
        <v>261</v>
      </c>
      <c r="D819" s="800" t="s">
        <v>14933</v>
      </c>
      <c r="E819" s="801">
        <v>43017</v>
      </c>
      <c r="F819" s="800" t="s">
        <v>14934</v>
      </c>
      <c r="G819" s="800" t="s">
        <v>32</v>
      </c>
      <c r="H819" s="800" t="s">
        <v>10404</v>
      </c>
      <c r="I819" s="800" t="s">
        <v>10404</v>
      </c>
      <c r="J819" s="800" t="s">
        <v>10405</v>
      </c>
      <c r="K819" s="800">
        <v>1</v>
      </c>
      <c r="L819" s="802" t="s">
        <v>10398</v>
      </c>
      <c r="M819" s="802" t="s">
        <v>32</v>
      </c>
      <c r="N819" s="802" t="s">
        <v>11939</v>
      </c>
      <c r="O819" s="802" t="s">
        <v>14935</v>
      </c>
      <c r="P819" s="807" t="s">
        <v>32</v>
      </c>
    </row>
    <row r="820" spans="1:16" s="341" customFormat="1" ht="25.5" customHeight="1">
      <c r="A820" s="806" t="s">
        <v>109</v>
      </c>
      <c r="B820" s="800" t="s">
        <v>130</v>
      </c>
      <c r="C820" s="800" t="s">
        <v>261</v>
      </c>
      <c r="D820" s="800" t="s">
        <v>14936</v>
      </c>
      <c r="E820" s="801">
        <v>43017</v>
      </c>
      <c r="F820" s="800" t="s">
        <v>261</v>
      </c>
      <c r="G820" s="800" t="s">
        <v>14937</v>
      </c>
      <c r="H820" s="800" t="s">
        <v>10404</v>
      </c>
      <c r="I820" s="800" t="s">
        <v>10404</v>
      </c>
      <c r="J820" s="800" t="s">
        <v>10405</v>
      </c>
      <c r="K820" s="800">
        <v>1</v>
      </c>
      <c r="L820" s="802" t="s">
        <v>10398</v>
      </c>
      <c r="M820" s="802" t="s">
        <v>14938</v>
      </c>
      <c r="N820" s="802" t="s">
        <v>14939</v>
      </c>
      <c r="O820" s="802" t="s">
        <v>14940</v>
      </c>
      <c r="P820" s="807" t="s">
        <v>14941</v>
      </c>
    </row>
    <row r="821" spans="1:16" s="341" customFormat="1" ht="25.5">
      <c r="A821" s="806" t="s">
        <v>109</v>
      </c>
      <c r="B821" s="800" t="s">
        <v>130</v>
      </c>
      <c r="C821" s="800" t="s">
        <v>261</v>
      </c>
      <c r="D821" s="800" t="s">
        <v>14942</v>
      </c>
      <c r="E821" s="801">
        <v>43017</v>
      </c>
      <c r="F821" s="800" t="s">
        <v>261</v>
      </c>
      <c r="G821" s="800" t="s">
        <v>14943</v>
      </c>
      <c r="H821" s="800" t="s">
        <v>10531</v>
      </c>
      <c r="I821" s="800" t="s">
        <v>10531</v>
      </c>
      <c r="J821" s="800" t="s">
        <v>10664</v>
      </c>
      <c r="K821" s="800">
        <v>1</v>
      </c>
      <c r="L821" s="802" t="s">
        <v>10398</v>
      </c>
      <c r="M821" s="802" t="s">
        <v>14944</v>
      </c>
      <c r="N821" s="802" t="s">
        <v>14945</v>
      </c>
      <c r="O821" s="802" t="s">
        <v>14946</v>
      </c>
      <c r="P821" s="807" t="s">
        <v>14947</v>
      </c>
    </row>
    <row r="822" spans="1:16" s="341" customFormat="1" ht="25.5" customHeight="1">
      <c r="A822" s="806" t="s">
        <v>109</v>
      </c>
      <c r="B822" s="800" t="s">
        <v>130</v>
      </c>
      <c r="C822" s="800" t="s">
        <v>261</v>
      </c>
      <c r="D822" s="800" t="s">
        <v>14948</v>
      </c>
      <c r="E822" s="801">
        <v>43017</v>
      </c>
      <c r="F822" s="800" t="s">
        <v>32</v>
      </c>
      <c r="G822" s="800" t="s">
        <v>14949</v>
      </c>
      <c r="H822" s="800" t="s">
        <v>10404</v>
      </c>
      <c r="I822" s="800" t="s">
        <v>10404</v>
      </c>
      <c r="J822" s="800" t="s">
        <v>10405</v>
      </c>
      <c r="K822" s="800">
        <v>1</v>
      </c>
      <c r="L822" s="802" t="s">
        <v>10398</v>
      </c>
      <c r="M822" s="802" t="s">
        <v>14950</v>
      </c>
      <c r="N822" s="802" t="s">
        <v>14951</v>
      </c>
      <c r="O822" s="802" t="s">
        <v>14952</v>
      </c>
      <c r="P822" s="807" t="s">
        <v>14953</v>
      </c>
    </row>
    <row r="823" spans="1:16" s="341" customFormat="1" ht="25.5" customHeight="1">
      <c r="A823" s="806" t="s">
        <v>109</v>
      </c>
      <c r="B823" s="800" t="s">
        <v>130</v>
      </c>
      <c r="C823" s="800" t="s">
        <v>261</v>
      </c>
      <c r="D823" s="800" t="s">
        <v>14954</v>
      </c>
      <c r="E823" s="801">
        <v>43017</v>
      </c>
      <c r="F823" s="800" t="s">
        <v>2053</v>
      </c>
      <c r="G823" s="800" t="s">
        <v>14955</v>
      </c>
      <c r="H823" s="800" t="s">
        <v>10404</v>
      </c>
      <c r="I823" s="800" t="s">
        <v>10404</v>
      </c>
      <c r="J823" s="800" t="s">
        <v>10405</v>
      </c>
      <c r="K823" s="800">
        <v>1</v>
      </c>
      <c r="L823" s="802" t="s">
        <v>10398</v>
      </c>
      <c r="M823" s="802" t="s">
        <v>14956</v>
      </c>
      <c r="N823" s="802" t="s">
        <v>13506</v>
      </c>
      <c r="O823" s="802" t="s">
        <v>14957</v>
      </c>
      <c r="P823" s="807" t="s">
        <v>32</v>
      </c>
    </row>
    <row r="824" spans="1:16" s="341" customFormat="1" ht="25.5" customHeight="1">
      <c r="A824" s="806" t="s">
        <v>109</v>
      </c>
      <c r="B824" s="800" t="s">
        <v>130</v>
      </c>
      <c r="C824" s="800" t="s">
        <v>261</v>
      </c>
      <c r="D824" s="800" t="s">
        <v>14958</v>
      </c>
      <c r="E824" s="801">
        <v>43017</v>
      </c>
      <c r="F824" s="800" t="s">
        <v>2053</v>
      </c>
      <c r="G824" s="800" t="s">
        <v>14959</v>
      </c>
      <c r="H824" s="800" t="s">
        <v>10396</v>
      </c>
      <c r="I824" s="800" t="s">
        <v>10396</v>
      </c>
      <c r="J824" s="800" t="s">
        <v>10397</v>
      </c>
      <c r="K824" s="800">
        <v>1</v>
      </c>
      <c r="L824" s="802" t="s">
        <v>10398</v>
      </c>
      <c r="M824" s="802" t="s">
        <v>14960</v>
      </c>
      <c r="N824" s="802" t="s">
        <v>14961</v>
      </c>
      <c r="O824" s="802" t="s">
        <v>14962</v>
      </c>
      <c r="P824" s="807" t="s">
        <v>32</v>
      </c>
    </row>
    <row r="825" spans="1:16" s="341" customFormat="1" ht="25.5" customHeight="1">
      <c r="A825" s="806" t="s">
        <v>109</v>
      </c>
      <c r="B825" s="800" t="s">
        <v>130</v>
      </c>
      <c r="C825" s="800" t="s">
        <v>261</v>
      </c>
      <c r="D825" s="800" t="s">
        <v>14963</v>
      </c>
      <c r="E825" s="801">
        <v>43017</v>
      </c>
      <c r="F825" s="800" t="s">
        <v>2053</v>
      </c>
      <c r="G825" s="800" t="s">
        <v>14964</v>
      </c>
      <c r="H825" s="800" t="s">
        <v>10404</v>
      </c>
      <c r="I825" s="800" t="s">
        <v>10404</v>
      </c>
      <c r="J825" s="800" t="s">
        <v>10405</v>
      </c>
      <c r="K825" s="800">
        <v>1</v>
      </c>
      <c r="L825" s="802" t="s">
        <v>10398</v>
      </c>
      <c r="M825" s="802" t="s">
        <v>14965</v>
      </c>
      <c r="N825" s="802" t="s">
        <v>14966</v>
      </c>
      <c r="O825" s="802" t="s">
        <v>14967</v>
      </c>
      <c r="P825" s="807" t="s">
        <v>14968</v>
      </c>
    </row>
    <row r="826" spans="1:16" s="341" customFormat="1" ht="25.5" customHeight="1">
      <c r="A826" s="806" t="s">
        <v>109</v>
      </c>
      <c r="B826" s="800" t="s">
        <v>130</v>
      </c>
      <c r="C826" s="800" t="s">
        <v>261</v>
      </c>
      <c r="D826" s="800" t="s">
        <v>14969</v>
      </c>
      <c r="E826" s="801">
        <v>42988</v>
      </c>
      <c r="F826" s="800" t="s">
        <v>14934</v>
      </c>
      <c r="G826" s="800" t="s">
        <v>14970</v>
      </c>
      <c r="H826" s="800" t="s">
        <v>10404</v>
      </c>
      <c r="I826" s="800" t="s">
        <v>10404</v>
      </c>
      <c r="J826" s="800" t="s">
        <v>10397</v>
      </c>
      <c r="K826" s="800">
        <v>1</v>
      </c>
      <c r="L826" s="802" t="s">
        <v>10398</v>
      </c>
      <c r="M826" s="802" t="s">
        <v>14971</v>
      </c>
      <c r="N826" s="802" t="s">
        <v>14972</v>
      </c>
      <c r="O826" s="802" t="s">
        <v>14973</v>
      </c>
      <c r="P826" s="807" t="s">
        <v>14974</v>
      </c>
    </row>
    <row r="827" spans="1:16" s="341" customFormat="1" ht="25.5" customHeight="1">
      <c r="A827" s="806" t="s">
        <v>109</v>
      </c>
      <c r="B827" s="800" t="s">
        <v>130</v>
      </c>
      <c r="C827" s="800" t="s">
        <v>261</v>
      </c>
      <c r="D827" s="800" t="s">
        <v>14975</v>
      </c>
      <c r="E827" s="801">
        <v>43050</v>
      </c>
      <c r="F827" s="800" t="s">
        <v>32</v>
      </c>
      <c r="G827" s="800" t="s">
        <v>14976</v>
      </c>
      <c r="H827" s="800" t="s">
        <v>10433</v>
      </c>
      <c r="I827" s="800" t="s">
        <v>10433</v>
      </c>
      <c r="J827" s="800" t="s">
        <v>10447</v>
      </c>
      <c r="K827" s="800">
        <v>1</v>
      </c>
      <c r="L827" s="802" t="s">
        <v>10398</v>
      </c>
      <c r="M827" s="802" t="s">
        <v>32</v>
      </c>
      <c r="N827" s="802" t="s">
        <v>14977</v>
      </c>
      <c r="O827" s="802" t="s">
        <v>32</v>
      </c>
      <c r="P827" s="807" t="s">
        <v>32</v>
      </c>
    </row>
    <row r="828" spans="1:16" s="341" customFormat="1" ht="15" customHeight="1">
      <c r="A828" s="806" t="s">
        <v>109</v>
      </c>
      <c r="B828" s="800" t="s">
        <v>130</v>
      </c>
      <c r="C828" s="800" t="s">
        <v>261</v>
      </c>
      <c r="D828" s="800" t="s">
        <v>14978</v>
      </c>
      <c r="E828" s="801">
        <v>43019</v>
      </c>
      <c r="F828" s="800" t="s">
        <v>261</v>
      </c>
      <c r="G828" s="800" t="s">
        <v>14979</v>
      </c>
      <c r="H828" s="800" t="s">
        <v>10433</v>
      </c>
      <c r="I828" s="800" t="s">
        <v>10433</v>
      </c>
      <c r="J828" s="800" t="s">
        <v>10447</v>
      </c>
      <c r="K828" s="800">
        <v>1</v>
      </c>
      <c r="L828" s="802" t="s">
        <v>10398</v>
      </c>
      <c r="M828" s="802" t="s">
        <v>32</v>
      </c>
      <c r="N828" s="802" t="s">
        <v>14980</v>
      </c>
      <c r="O828" s="802" t="s">
        <v>14981</v>
      </c>
      <c r="P828" s="807" t="s">
        <v>32</v>
      </c>
    </row>
    <row r="829" spans="1:16" s="341" customFormat="1" ht="15" customHeight="1">
      <c r="A829" s="806" t="s">
        <v>109</v>
      </c>
      <c r="B829" s="800" t="s">
        <v>130</v>
      </c>
      <c r="C829" s="800" t="s">
        <v>261</v>
      </c>
      <c r="D829" s="800" t="s">
        <v>14982</v>
      </c>
      <c r="E829" s="801">
        <v>43019</v>
      </c>
      <c r="F829" s="800" t="s">
        <v>2053</v>
      </c>
      <c r="G829" s="800" t="s">
        <v>14983</v>
      </c>
      <c r="H829" s="800" t="s">
        <v>10396</v>
      </c>
      <c r="I829" s="800" t="s">
        <v>10396</v>
      </c>
      <c r="J829" s="800" t="s">
        <v>4342</v>
      </c>
      <c r="K829" s="800">
        <v>1</v>
      </c>
      <c r="L829" s="802" t="s">
        <v>10398</v>
      </c>
      <c r="M829" s="802" t="s">
        <v>14984</v>
      </c>
      <c r="N829" s="802" t="s">
        <v>14985</v>
      </c>
      <c r="O829" s="802" t="s">
        <v>14986</v>
      </c>
      <c r="P829" s="807" t="s">
        <v>32</v>
      </c>
    </row>
    <row r="830" spans="1:16" s="341" customFormat="1" ht="25.5" customHeight="1">
      <c r="A830" s="806" t="s">
        <v>109</v>
      </c>
      <c r="B830" s="800" t="s">
        <v>130</v>
      </c>
      <c r="C830" s="800" t="s">
        <v>261</v>
      </c>
      <c r="D830" s="800" t="s">
        <v>14987</v>
      </c>
      <c r="E830" s="801">
        <v>43019</v>
      </c>
      <c r="F830" s="800" t="s">
        <v>2053</v>
      </c>
      <c r="G830" s="800" t="s">
        <v>14988</v>
      </c>
      <c r="H830" s="800" t="s">
        <v>10404</v>
      </c>
      <c r="I830" s="800" t="s">
        <v>10404</v>
      </c>
      <c r="J830" s="800" t="s">
        <v>10405</v>
      </c>
      <c r="K830" s="800">
        <v>1</v>
      </c>
      <c r="L830" s="802" t="s">
        <v>10398</v>
      </c>
      <c r="M830" s="802" t="s">
        <v>14989</v>
      </c>
      <c r="N830" s="802" t="s">
        <v>14990</v>
      </c>
      <c r="O830" s="802" t="s">
        <v>14991</v>
      </c>
      <c r="P830" s="807" t="s">
        <v>14992</v>
      </c>
    </row>
    <row r="831" spans="1:16" s="341" customFormat="1" ht="25.5" customHeight="1">
      <c r="A831" s="806" t="s">
        <v>109</v>
      </c>
      <c r="B831" s="800" t="s">
        <v>130</v>
      </c>
      <c r="C831" s="800" t="s">
        <v>261</v>
      </c>
      <c r="D831" s="800" t="s">
        <v>14993</v>
      </c>
      <c r="E831" s="801">
        <v>43019</v>
      </c>
      <c r="F831" s="800" t="s">
        <v>2053</v>
      </c>
      <c r="G831" s="800" t="s">
        <v>14994</v>
      </c>
      <c r="H831" s="800" t="s">
        <v>10404</v>
      </c>
      <c r="I831" s="800" t="s">
        <v>10404</v>
      </c>
      <c r="J831" s="800" t="s">
        <v>10405</v>
      </c>
      <c r="K831" s="800">
        <v>1</v>
      </c>
      <c r="L831" s="802" t="s">
        <v>10398</v>
      </c>
      <c r="M831" s="802" t="s">
        <v>14995</v>
      </c>
      <c r="N831" s="802" t="s">
        <v>14996</v>
      </c>
      <c r="O831" s="802" t="s">
        <v>14997</v>
      </c>
      <c r="P831" s="807" t="s">
        <v>14998</v>
      </c>
    </row>
    <row r="832" spans="1:16" s="341" customFormat="1" ht="15" customHeight="1">
      <c r="A832" s="806" t="s">
        <v>109</v>
      </c>
      <c r="B832" s="800" t="s">
        <v>130</v>
      </c>
      <c r="C832" s="800" t="s">
        <v>261</v>
      </c>
      <c r="D832" s="800" t="s">
        <v>14999</v>
      </c>
      <c r="E832" s="801">
        <v>43019</v>
      </c>
      <c r="F832" s="800" t="s">
        <v>2053</v>
      </c>
      <c r="G832" s="800" t="s">
        <v>15000</v>
      </c>
      <c r="H832" s="800" t="s">
        <v>10404</v>
      </c>
      <c r="I832" s="800" t="s">
        <v>10404</v>
      </c>
      <c r="J832" s="800" t="s">
        <v>10405</v>
      </c>
      <c r="K832" s="800">
        <v>1</v>
      </c>
      <c r="L832" s="802" t="s">
        <v>10398</v>
      </c>
      <c r="M832" s="802" t="s">
        <v>32</v>
      </c>
      <c r="N832" s="802" t="s">
        <v>15001</v>
      </c>
      <c r="O832" s="802" t="s">
        <v>15002</v>
      </c>
      <c r="P832" s="807" t="s">
        <v>32</v>
      </c>
    </row>
    <row r="833" spans="1:16" s="341" customFormat="1" ht="25.5" customHeight="1">
      <c r="A833" s="806" t="s">
        <v>109</v>
      </c>
      <c r="B833" s="800" t="s">
        <v>130</v>
      </c>
      <c r="C833" s="800" t="s">
        <v>261</v>
      </c>
      <c r="D833" s="800" t="s">
        <v>15003</v>
      </c>
      <c r="E833" s="801">
        <v>43019</v>
      </c>
      <c r="F833" s="800" t="s">
        <v>2053</v>
      </c>
      <c r="G833" s="800" t="s">
        <v>15004</v>
      </c>
      <c r="H833" s="800" t="s">
        <v>10404</v>
      </c>
      <c r="I833" s="800" t="s">
        <v>10404</v>
      </c>
      <c r="J833" s="800" t="s">
        <v>10405</v>
      </c>
      <c r="K833" s="800">
        <v>1</v>
      </c>
      <c r="L833" s="802" t="s">
        <v>10398</v>
      </c>
      <c r="M833" s="802" t="s">
        <v>32</v>
      </c>
      <c r="N833" s="802" t="s">
        <v>15005</v>
      </c>
      <c r="O833" s="802" t="s">
        <v>15006</v>
      </c>
      <c r="P833" s="807" t="s">
        <v>32</v>
      </c>
    </row>
    <row r="834" spans="1:16" s="341" customFormat="1" ht="25.5">
      <c r="A834" s="806" t="s">
        <v>109</v>
      </c>
      <c r="B834" s="800" t="s">
        <v>130</v>
      </c>
      <c r="C834" s="800" t="s">
        <v>261</v>
      </c>
      <c r="D834" s="800" t="s">
        <v>15007</v>
      </c>
      <c r="E834" s="801">
        <v>43019</v>
      </c>
      <c r="F834" s="800" t="s">
        <v>2053</v>
      </c>
      <c r="G834" s="800" t="s">
        <v>15008</v>
      </c>
      <c r="H834" s="800" t="s">
        <v>10404</v>
      </c>
      <c r="I834" s="800" t="s">
        <v>10404</v>
      </c>
      <c r="J834" s="800" t="s">
        <v>10405</v>
      </c>
      <c r="K834" s="800">
        <v>1</v>
      </c>
      <c r="L834" s="802" t="s">
        <v>10398</v>
      </c>
      <c r="M834" s="802" t="s">
        <v>15009</v>
      </c>
      <c r="N834" s="802" t="s">
        <v>15010</v>
      </c>
      <c r="O834" s="802" t="s">
        <v>15011</v>
      </c>
      <c r="P834" s="807" t="s">
        <v>15012</v>
      </c>
    </row>
    <row r="835" spans="1:16" s="341" customFormat="1" ht="15" customHeight="1">
      <c r="A835" s="806" t="s">
        <v>109</v>
      </c>
      <c r="B835" s="800" t="s">
        <v>130</v>
      </c>
      <c r="C835" s="800" t="s">
        <v>261</v>
      </c>
      <c r="D835" s="800" t="s">
        <v>15013</v>
      </c>
      <c r="E835" s="801">
        <v>43019</v>
      </c>
      <c r="F835" s="800" t="s">
        <v>2053</v>
      </c>
      <c r="G835" s="800" t="s">
        <v>15014</v>
      </c>
      <c r="H835" s="800" t="s">
        <v>10404</v>
      </c>
      <c r="I835" s="800" t="s">
        <v>10404</v>
      </c>
      <c r="J835" s="800" t="s">
        <v>10405</v>
      </c>
      <c r="K835" s="800">
        <v>1</v>
      </c>
      <c r="L835" s="802" t="s">
        <v>10398</v>
      </c>
      <c r="M835" s="802" t="s">
        <v>15015</v>
      </c>
      <c r="N835" s="802" t="s">
        <v>15016</v>
      </c>
      <c r="O835" s="802" t="s">
        <v>15017</v>
      </c>
      <c r="P835" s="807" t="s">
        <v>15018</v>
      </c>
    </row>
    <row r="836" spans="1:16" s="341" customFormat="1" ht="15" customHeight="1">
      <c r="A836" s="806" t="s">
        <v>109</v>
      </c>
      <c r="B836" s="800" t="s">
        <v>130</v>
      </c>
      <c r="C836" s="800" t="s">
        <v>261</v>
      </c>
      <c r="D836" s="800" t="s">
        <v>15019</v>
      </c>
      <c r="E836" s="801">
        <v>43019</v>
      </c>
      <c r="F836" s="800" t="s">
        <v>2053</v>
      </c>
      <c r="G836" s="800" t="s">
        <v>15020</v>
      </c>
      <c r="H836" s="800" t="s">
        <v>10404</v>
      </c>
      <c r="I836" s="800" t="s">
        <v>10404</v>
      </c>
      <c r="J836" s="800" t="s">
        <v>10405</v>
      </c>
      <c r="K836" s="800">
        <v>1</v>
      </c>
      <c r="L836" s="802" t="s">
        <v>10398</v>
      </c>
      <c r="M836" s="802" t="s">
        <v>15021</v>
      </c>
      <c r="N836" s="802" t="s">
        <v>15022</v>
      </c>
      <c r="O836" s="802" t="s">
        <v>15011</v>
      </c>
      <c r="P836" s="807" t="s">
        <v>15023</v>
      </c>
    </row>
    <row r="837" spans="1:16" s="341" customFormat="1" ht="25.5" customHeight="1">
      <c r="A837" s="806" t="s">
        <v>109</v>
      </c>
      <c r="B837" s="800" t="s">
        <v>130</v>
      </c>
      <c r="C837" s="800" t="s">
        <v>261</v>
      </c>
      <c r="D837" s="800" t="s">
        <v>15024</v>
      </c>
      <c r="E837" s="801">
        <v>43019</v>
      </c>
      <c r="F837" s="800" t="s">
        <v>2053</v>
      </c>
      <c r="G837" s="800" t="s">
        <v>15025</v>
      </c>
      <c r="H837" s="800" t="s">
        <v>10404</v>
      </c>
      <c r="I837" s="800" t="s">
        <v>10404</v>
      </c>
      <c r="J837" s="800" t="s">
        <v>10405</v>
      </c>
      <c r="K837" s="800">
        <v>1</v>
      </c>
      <c r="L837" s="802" t="s">
        <v>10398</v>
      </c>
      <c r="M837" s="802" t="s">
        <v>15026</v>
      </c>
      <c r="N837" s="802" t="s">
        <v>15027</v>
      </c>
      <c r="O837" s="802" t="s">
        <v>14940</v>
      </c>
      <c r="P837" s="807" t="s">
        <v>15028</v>
      </c>
    </row>
    <row r="838" spans="1:16" s="341" customFormat="1" ht="15" customHeight="1">
      <c r="A838" s="806" t="s">
        <v>109</v>
      </c>
      <c r="B838" s="800" t="s">
        <v>130</v>
      </c>
      <c r="C838" s="800" t="s">
        <v>261</v>
      </c>
      <c r="D838" s="800" t="s">
        <v>15029</v>
      </c>
      <c r="E838" s="801">
        <v>43019</v>
      </c>
      <c r="F838" s="800" t="s">
        <v>2053</v>
      </c>
      <c r="G838" s="800" t="s">
        <v>15030</v>
      </c>
      <c r="H838" s="800" t="s">
        <v>10404</v>
      </c>
      <c r="I838" s="800" t="s">
        <v>10404</v>
      </c>
      <c r="J838" s="800" t="s">
        <v>10405</v>
      </c>
      <c r="K838" s="800">
        <v>1</v>
      </c>
      <c r="L838" s="802" t="s">
        <v>10398</v>
      </c>
      <c r="M838" s="802" t="s">
        <v>15031</v>
      </c>
      <c r="N838" s="802" t="s">
        <v>15032</v>
      </c>
      <c r="O838" s="802" t="s">
        <v>15033</v>
      </c>
      <c r="P838" s="807" t="s">
        <v>32</v>
      </c>
    </row>
    <row r="839" spans="1:16" s="341" customFormat="1" ht="25.5">
      <c r="A839" s="806" t="s">
        <v>109</v>
      </c>
      <c r="B839" s="800" t="s">
        <v>130</v>
      </c>
      <c r="C839" s="800" t="s">
        <v>261</v>
      </c>
      <c r="D839" s="800" t="s">
        <v>15034</v>
      </c>
      <c r="E839" s="801">
        <v>43019</v>
      </c>
      <c r="F839" s="800" t="s">
        <v>2053</v>
      </c>
      <c r="G839" s="800" t="s">
        <v>15035</v>
      </c>
      <c r="H839" s="800" t="s">
        <v>10404</v>
      </c>
      <c r="I839" s="800" t="s">
        <v>10404</v>
      </c>
      <c r="J839" s="800" t="s">
        <v>10405</v>
      </c>
      <c r="K839" s="800">
        <v>1</v>
      </c>
      <c r="L839" s="802" t="s">
        <v>10398</v>
      </c>
      <c r="M839" s="802" t="s">
        <v>15036</v>
      </c>
      <c r="N839" s="802" t="s">
        <v>15037</v>
      </c>
      <c r="O839" s="802" t="s">
        <v>15038</v>
      </c>
      <c r="P839" s="807" t="s">
        <v>14476</v>
      </c>
    </row>
    <row r="840" spans="1:16" s="341" customFormat="1" ht="15" customHeight="1">
      <c r="A840" s="806" t="s">
        <v>109</v>
      </c>
      <c r="B840" s="800" t="s">
        <v>130</v>
      </c>
      <c r="C840" s="800" t="s">
        <v>261</v>
      </c>
      <c r="D840" s="800" t="s">
        <v>15039</v>
      </c>
      <c r="E840" s="801">
        <v>43019</v>
      </c>
      <c r="F840" s="800" t="s">
        <v>2053</v>
      </c>
      <c r="G840" s="800" t="s">
        <v>15035</v>
      </c>
      <c r="H840" s="800" t="s">
        <v>10404</v>
      </c>
      <c r="I840" s="800" t="s">
        <v>10404</v>
      </c>
      <c r="J840" s="800" t="s">
        <v>10405</v>
      </c>
      <c r="K840" s="800">
        <v>1</v>
      </c>
      <c r="L840" s="802" t="s">
        <v>10398</v>
      </c>
      <c r="M840" s="802" t="s">
        <v>15040</v>
      </c>
      <c r="N840" s="802" t="s">
        <v>15041</v>
      </c>
      <c r="O840" s="802" t="s">
        <v>15042</v>
      </c>
      <c r="P840" s="807" t="s">
        <v>15043</v>
      </c>
    </row>
    <row r="841" spans="1:16" s="341" customFormat="1" ht="25.5" customHeight="1">
      <c r="A841" s="806" t="s">
        <v>109</v>
      </c>
      <c r="B841" s="800" t="s">
        <v>130</v>
      </c>
      <c r="C841" s="800" t="s">
        <v>261</v>
      </c>
      <c r="D841" s="800" t="s">
        <v>15044</v>
      </c>
      <c r="E841" s="801">
        <v>43019</v>
      </c>
      <c r="F841" s="800" t="s">
        <v>2053</v>
      </c>
      <c r="G841" s="800" t="s">
        <v>15045</v>
      </c>
      <c r="H841" s="800" t="s">
        <v>10404</v>
      </c>
      <c r="I841" s="800" t="s">
        <v>10404</v>
      </c>
      <c r="J841" s="800" t="s">
        <v>10405</v>
      </c>
      <c r="K841" s="800">
        <v>1</v>
      </c>
      <c r="L841" s="802" t="s">
        <v>10398</v>
      </c>
      <c r="M841" s="802" t="s">
        <v>15046</v>
      </c>
      <c r="N841" s="802" t="s">
        <v>15047</v>
      </c>
      <c r="O841" s="802" t="s">
        <v>15048</v>
      </c>
      <c r="P841" s="807" t="s">
        <v>32</v>
      </c>
    </row>
    <row r="842" spans="1:16" s="341" customFormat="1" ht="25.5" customHeight="1">
      <c r="A842" s="806" t="s">
        <v>109</v>
      </c>
      <c r="B842" s="800" t="s">
        <v>130</v>
      </c>
      <c r="C842" s="800" t="s">
        <v>261</v>
      </c>
      <c r="D842" s="800" t="s">
        <v>15049</v>
      </c>
      <c r="E842" s="801">
        <v>43019</v>
      </c>
      <c r="F842" s="800" t="s">
        <v>32</v>
      </c>
      <c r="G842" s="800" t="s">
        <v>15050</v>
      </c>
      <c r="H842" s="800" t="s">
        <v>10404</v>
      </c>
      <c r="I842" s="800" t="s">
        <v>10404</v>
      </c>
      <c r="J842" s="800" t="s">
        <v>10405</v>
      </c>
      <c r="K842" s="800">
        <v>1</v>
      </c>
      <c r="L842" s="802" t="s">
        <v>10398</v>
      </c>
      <c r="M842" s="802" t="s">
        <v>15051</v>
      </c>
      <c r="N842" s="802" t="s">
        <v>12274</v>
      </c>
      <c r="O842" s="802" t="s">
        <v>15052</v>
      </c>
      <c r="P842" s="807" t="s">
        <v>14415</v>
      </c>
    </row>
    <row r="843" spans="1:16" s="341" customFormat="1" ht="15" customHeight="1">
      <c r="A843" s="806" t="s">
        <v>109</v>
      </c>
      <c r="B843" s="800" t="s">
        <v>130</v>
      </c>
      <c r="C843" s="800" t="s">
        <v>261</v>
      </c>
      <c r="D843" s="800" t="s">
        <v>15053</v>
      </c>
      <c r="E843" s="801">
        <v>42989</v>
      </c>
      <c r="F843" s="800" t="s">
        <v>14377</v>
      </c>
      <c r="G843" s="800" t="s">
        <v>15054</v>
      </c>
      <c r="H843" s="800" t="s">
        <v>10404</v>
      </c>
      <c r="I843" s="800" t="s">
        <v>10404</v>
      </c>
      <c r="J843" s="800" t="s">
        <v>10405</v>
      </c>
      <c r="K843" s="800">
        <v>1</v>
      </c>
      <c r="L843" s="802" t="s">
        <v>10398</v>
      </c>
      <c r="M843" s="802" t="s">
        <v>15055</v>
      </c>
      <c r="N843" s="802" t="s">
        <v>12155</v>
      </c>
      <c r="O843" s="802" t="s">
        <v>14406</v>
      </c>
      <c r="P843" s="807" t="s">
        <v>32</v>
      </c>
    </row>
    <row r="844" spans="1:16" s="341" customFormat="1" ht="25.5" customHeight="1">
      <c r="A844" s="806" t="s">
        <v>109</v>
      </c>
      <c r="B844" s="800" t="s">
        <v>130</v>
      </c>
      <c r="C844" s="800" t="s">
        <v>261</v>
      </c>
      <c r="D844" s="800" t="s">
        <v>15056</v>
      </c>
      <c r="E844" s="801">
        <v>43019</v>
      </c>
      <c r="F844" s="800" t="s">
        <v>32</v>
      </c>
      <c r="G844" s="800" t="s">
        <v>15057</v>
      </c>
      <c r="H844" s="800" t="s">
        <v>10404</v>
      </c>
      <c r="I844" s="800" t="s">
        <v>10404</v>
      </c>
      <c r="J844" s="800" t="s">
        <v>10405</v>
      </c>
      <c r="K844" s="800">
        <v>1</v>
      </c>
      <c r="L844" s="802" t="s">
        <v>10398</v>
      </c>
      <c r="M844" s="802" t="s">
        <v>15058</v>
      </c>
      <c r="N844" s="802" t="s">
        <v>15059</v>
      </c>
      <c r="O844" s="802" t="s">
        <v>15060</v>
      </c>
      <c r="P844" s="807" t="s">
        <v>15061</v>
      </c>
    </row>
    <row r="845" spans="1:16" s="341" customFormat="1" ht="25.5" customHeight="1">
      <c r="A845" s="806" t="s">
        <v>109</v>
      </c>
      <c r="B845" s="800" t="s">
        <v>130</v>
      </c>
      <c r="C845" s="800" t="s">
        <v>261</v>
      </c>
      <c r="D845" s="800" t="s">
        <v>15062</v>
      </c>
      <c r="E845" s="801">
        <v>43019</v>
      </c>
      <c r="F845" s="800" t="s">
        <v>15063</v>
      </c>
      <c r="G845" s="800" t="s">
        <v>15064</v>
      </c>
      <c r="H845" s="800" t="s">
        <v>10396</v>
      </c>
      <c r="I845" s="800" t="s">
        <v>10396</v>
      </c>
      <c r="J845" s="800" t="s">
        <v>10664</v>
      </c>
      <c r="K845" s="800">
        <v>1</v>
      </c>
      <c r="L845" s="802"/>
      <c r="M845" s="802"/>
      <c r="N845" s="802"/>
      <c r="O845" s="802"/>
      <c r="P845" s="807" t="s">
        <v>15065</v>
      </c>
    </row>
    <row r="846" spans="1:16" s="341" customFormat="1" ht="25.5">
      <c r="A846" s="806" t="s">
        <v>109</v>
      </c>
      <c r="B846" s="800" t="s">
        <v>130</v>
      </c>
      <c r="C846" s="800" t="s">
        <v>261</v>
      </c>
      <c r="D846" s="800" t="s">
        <v>15066</v>
      </c>
      <c r="E846" s="801">
        <v>43019</v>
      </c>
      <c r="F846" s="800" t="s">
        <v>14377</v>
      </c>
      <c r="G846" s="800" t="s">
        <v>15067</v>
      </c>
      <c r="H846" s="800" t="s">
        <v>10404</v>
      </c>
      <c r="I846" s="800" t="s">
        <v>10404</v>
      </c>
      <c r="J846" s="800" t="s">
        <v>10405</v>
      </c>
      <c r="K846" s="800">
        <v>1</v>
      </c>
      <c r="L846" s="802" t="s">
        <v>10398</v>
      </c>
      <c r="M846" s="802" t="s">
        <v>15068</v>
      </c>
      <c r="N846" s="802" t="s">
        <v>15069</v>
      </c>
      <c r="O846" s="802" t="s">
        <v>15070</v>
      </c>
      <c r="P846" s="807" t="s">
        <v>15071</v>
      </c>
    </row>
    <row r="847" spans="1:16" s="341" customFormat="1" ht="25.5" customHeight="1">
      <c r="A847" s="806" t="s">
        <v>109</v>
      </c>
      <c r="B847" s="800" t="s">
        <v>130</v>
      </c>
      <c r="C847" s="800" t="s">
        <v>261</v>
      </c>
      <c r="D847" s="800" t="s">
        <v>15072</v>
      </c>
      <c r="E847" s="801">
        <v>43019</v>
      </c>
      <c r="F847" s="800" t="s">
        <v>32</v>
      </c>
      <c r="G847" s="800" t="s">
        <v>15073</v>
      </c>
      <c r="H847" s="800" t="s">
        <v>10404</v>
      </c>
      <c r="I847" s="800" t="s">
        <v>10404</v>
      </c>
      <c r="J847" s="800" t="s">
        <v>10405</v>
      </c>
      <c r="K847" s="800">
        <v>1</v>
      </c>
      <c r="L847" s="802" t="s">
        <v>10398</v>
      </c>
      <c r="M847" s="802" t="s">
        <v>15074</v>
      </c>
      <c r="N847" s="802" t="s">
        <v>15075</v>
      </c>
      <c r="O847" s="802" t="s">
        <v>14406</v>
      </c>
      <c r="P847" s="807" t="s">
        <v>32</v>
      </c>
    </row>
    <row r="848" spans="1:16" s="341" customFormat="1" ht="25.5" customHeight="1">
      <c r="A848" s="806" t="s">
        <v>109</v>
      </c>
      <c r="B848" s="800" t="s">
        <v>130</v>
      </c>
      <c r="C848" s="800" t="s">
        <v>261</v>
      </c>
      <c r="D848" s="800" t="s">
        <v>15076</v>
      </c>
      <c r="E848" s="801">
        <v>43019</v>
      </c>
      <c r="F848" s="800" t="s">
        <v>15077</v>
      </c>
      <c r="G848" s="800" t="s">
        <v>15078</v>
      </c>
      <c r="H848" s="800" t="s">
        <v>10404</v>
      </c>
      <c r="I848" s="800" t="s">
        <v>10404</v>
      </c>
      <c r="J848" s="800" t="s">
        <v>10405</v>
      </c>
      <c r="K848" s="800">
        <v>1</v>
      </c>
      <c r="L848" s="802" t="s">
        <v>10398</v>
      </c>
      <c r="M848" s="802" t="s">
        <v>15079</v>
      </c>
      <c r="N848" s="802" t="s">
        <v>15080</v>
      </c>
      <c r="O848" s="802" t="s">
        <v>15081</v>
      </c>
      <c r="P848" s="807" t="s">
        <v>15082</v>
      </c>
    </row>
    <row r="849" spans="1:16" s="341" customFormat="1" ht="15" customHeight="1">
      <c r="A849" s="806" t="s">
        <v>109</v>
      </c>
      <c r="B849" s="800" t="s">
        <v>130</v>
      </c>
      <c r="C849" s="800" t="s">
        <v>261</v>
      </c>
      <c r="D849" s="800" t="s">
        <v>15083</v>
      </c>
      <c r="E849" s="801">
        <v>43019</v>
      </c>
      <c r="F849" s="800" t="s">
        <v>14377</v>
      </c>
      <c r="G849" s="800" t="s">
        <v>15084</v>
      </c>
      <c r="H849" s="800" t="s">
        <v>10404</v>
      </c>
      <c r="I849" s="800" t="s">
        <v>10404</v>
      </c>
      <c r="J849" s="800" t="s">
        <v>10405</v>
      </c>
      <c r="K849" s="800">
        <v>1</v>
      </c>
      <c r="L849" s="802" t="s">
        <v>10398</v>
      </c>
      <c r="M849" s="802" t="s">
        <v>15085</v>
      </c>
      <c r="N849" s="802" t="s">
        <v>15086</v>
      </c>
      <c r="O849" s="802" t="s">
        <v>15087</v>
      </c>
      <c r="P849" s="807" t="s">
        <v>15088</v>
      </c>
    </row>
    <row r="850" spans="1:16" s="341" customFormat="1" ht="25.5" customHeight="1">
      <c r="A850" s="806" t="s">
        <v>109</v>
      </c>
      <c r="B850" s="800" t="s">
        <v>130</v>
      </c>
      <c r="C850" s="800" t="s">
        <v>261</v>
      </c>
      <c r="D850" s="800" t="s">
        <v>15089</v>
      </c>
      <c r="E850" s="801">
        <v>43019</v>
      </c>
      <c r="F850" s="800" t="s">
        <v>14377</v>
      </c>
      <c r="G850" s="800" t="s">
        <v>15090</v>
      </c>
      <c r="H850" s="800" t="s">
        <v>10404</v>
      </c>
      <c r="I850" s="800" t="s">
        <v>10404</v>
      </c>
      <c r="J850" s="800" t="s">
        <v>10405</v>
      </c>
      <c r="K850" s="800">
        <v>1</v>
      </c>
      <c r="L850" s="802" t="s">
        <v>10398</v>
      </c>
      <c r="M850" s="802" t="s">
        <v>15091</v>
      </c>
      <c r="N850" s="802" t="s">
        <v>15092</v>
      </c>
      <c r="O850" s="802" t="s">
        <v>15093</v>
      </c>
      <c r="P850" s="807" t="s">
        <v>32</v>
      </c>
    </row>
    <row r="851" spans="1:16" s="341" customFormat="1" ht="15" customHeight="1">
      <c r="A851" s="806" t="s">
        <v>109</v>
      </c>
      <c r="B851" s="800" t="s">
        <v>130</v>
      </c>
      <c r="C851" s="800" t="s">
        <v>261</v>
      </c>
      <c r="D851" s="800" t="s">
        <v>15094</v>
      </c>
      <c r="E851" s="801">
        <v>43019</v>
      </c>
      <c r="F851" s="800" t="s">
        <v>14377</v>
      </c>
      <c r="G851" s="800" t="s">
        <v>15095</v>
      </c>
      <c r="H851" s="800" t="s">
        <v>10404</v>
      </c>
      <c r="I851" s="800" t="s">
        <v>10404</v>
      </c>
      <c r="J851" s="800" t="s">
        <v>10405</v>
      </c>
      <c r="K851" s="800">
        <v>1</v>
      </c>
      <c r="L851" s="802" t="s">
        <v>10398</v>
      </c>
      <c r="M851" s="802" t="s">
        <v>15096</v>
      </c>
      <c r="N851" s="802" t="s">
        <v>14202</v>
      </c>
      <c r="O851" s="802" t="s">
        <v>15097</v>
      </c>
      <c r="P851" s="807" t="s">
        <v>15012</v>
      </c>
    </row>
    <row r="852" spans="1:16" s="341" customFormat="1" ht="25.5" customHeight="1">
      <c r="A852" s="806" t="s">
        <v>109</v>
      </c>
      <c r="B852" s="800" t="s">
        <v>130</v>
      </c>
      <c r="C852" s="800" t="s">
        <v>261</v>
      </c>
      <c r="D852" s="800" t="s">
        <v>15098</v>
      </c>
      <c r="E852" s="801">
        <v>43019</v>
      </c>
      <c r="F852" s="800" t="s">
        <v>14934</v>
      </c>
      <c r="G852" s="800" t="s">
        <v>15099</v>
      </c>
      <c r="H852" s="800" t="s">
        <v>10396</v>
      </c>
      <c r="I852" s="800" t="s">
        <v>10396</v>
      </c>
      <c r="J852" s="800" t="s">
        <v>10405</v>
      </c>
      <c r="K852" s="800">
        <v>1</v>
      </c>
      <c r="L852" s="802" t="s">
        <v>10398</v>
      </c>
      <c r="M852" s="802" t="s">
        <v>15100</v>
      </c>
      <c r="N852" s="802" t="s">
        <v>15101</v>
      </c>
      <c r="O852" s="802" t="s">
        <v>15102</v>
      </c>
      <c r="P852" s="807" t="s">
        <v>15103</v>
      </c>
    </row>
    <row r="853" spans="1:16" s="341" customFormat="1" ht="15" customHeight="1">
      <c r="A853" s="806" t="s">
        <v>109</v>
      </c>
      <c r="B853" s="800" t="s">
        <v>130</v>
      </c>
      <c r="C853" s="800" t="s">
        <v>261</v>
      </c>
      <c r="D853" s="800" t="s">
        <v>15104</v>
      </c>
      <c r="E853" s="801">
        <v>43019</v>
      </c>
      <c r="F853" s="800" t="s">
        <v>32</v>
      </c>
      <c r="G853" s="800" t="s">
        <v>15105</v>
      </c>
      <c r="H853" s="800" t="s">
        <v>10404</v>
      </c>
      <c r="I853" s="800" t="s">
        <v>10404</v>
      </c>
      <c r="J853" s="800" t="s">
        <v>10405</v>
      </c>
      <c r="K853" s="800">
        <v>1</v>
      </c>
      <c r="L853" s="802" t="s">
        <v>10398</v>
      </c>
      <c r="M853" s="802" t="s">
        <v>15106</v>
      </c>
      <c r="N853" s="802" t="s">
        <v>15107</v>
      </c>
      <c r="O853" s="802" t="s">
        <v>15108</v>
      </c>
      <c r="P853" s="807" t="s">
        <v>32</v>
      </c>
    </row>
    <row r="854" spans="1:16" s="341" customFormat="1" ht="15" customHeight="1">
      <c r="A854" s="806" t="s">
        <v>109</v>
      </c>
      <c r="B854" s="800" t="s">
        <v>130</v>
      </c>
      <c r="C854" s="800" t="s">
        <v>261</v>
      </c>
      <c r="D854" s="800" t="s">
        <v>15109</v>
      </c>
      <c r="E854" s="801">
        <v>43050</v>
      </c>
      <c r="F854" s="800" t="s">
        <v>14377</v>
      </c>
      <c r="G854" s="800" t="s">
        <v>15057</v>
      </c>
      <c r="H854" s="800" t="s">
        <v>10404</v>
      </c>
      <c r="I854" s="800" t="s">
        <v>10404</v>
      </c>
      <c r="J854" s="800" t="s">
        <v>10405</v>
      </c>
      <c r="K854" s="800">
        <v>1</v>
      </c>
      <c r="L854" s="802" t="s">
        <v>10398</v>
      </c>
      <c r="M854" s="802" t="s">
        <v>15110</v>
      </c>
      <c r="N854" s="802" t="s">
        <v>15111</v>
      </c>
      <c r="O854" s="802" t="s">
        <v>14406</v>
      </c>
      <c r="P854" s="807" t="s">
        <v>14687</v>
      </c>
    </row>
    <row r="855" spans="1:16" s="341" customFormat="1" ht="15" customHeight="1">
      <c r="A855" s="806" t="s">
        <v>109</v>
      </c>
      <c r="B855" s="800" t="s">
        <v>130</v>
      </c>
      <c r="C855" s="800" t="s">
        <v>261</v>
      </c>
      <c r="D855" s="800" t="s">
        <v>15112</v>
      </c>
      <c r="E855" s="801">
        <v>43019</v>
      </c>
      <c r="F855" s="800" t="s">
        <v>14377</v>
      </c>
      <c r="G855" s="800" t="s">
        <v>15113</v>
      </c>
      <c r="H855" s="800" t="s">
        <v>10404</v>
      </c>
      <c r="I855" s="800" t="s">
        <v>10404</v>
      </c>
      <c r="J855" s="800" t="s">
        <v>10405</v>
      </c>
      <c r="K855" s="800">
        <v>1</v>
      </c>
      <c r="L855" s="802" t="s">
        <v>10398</v>
      </c>
      <c r="M855" s="802" t="s">
        <v>15114</v>
      </c>
      <c r="N855" s="802" t="s">
        <v>15115</v>
      </c>
      <c r="O855" s="802" t="s">
        <v>15116</v>
      </c>
      <c r="P855" s="807" t="s">
        <v>15117</v>
      </c>
    </row>
    <row r="856" spans="1:16" s="341" customFormat="1" ht="25.5">
      <c r="A856" s="806" t="s">
        <v>109</v>
      </c>
      <c r="B856" s="800" t="s">
        <v>130</v>
      </c>
      <c r="C856" s="800" t="s">
        <v>261</v>
      </c>
      <c r="D856" s="800" t="s">
        <v>15118</v>
      </c>
      <c r="E856" s="801">
        <v>43019</v>
      </c>
      <c r="F856" s="800" t="s">
        <v>2053</v>
      </c>
      <c r="G856" s="800" t="s">
        <v>15119</v>
      </c>
      <c r="H856" s="800" t="s">
        <v>10404</v>
      </c>
      <c r="I856" s="800" t="s">
        <v>10404</v>
      </c>
      <c r="J856" s="800" t="s">
        <v>10405</v>
      </c>
      <c r="K856" s="800">
        <v>1</v>
      </c>
      <c r="L856" s="802" t="s">
        <v>10398</v>
      </c>
      <c r="M856" s="802" t="s">
        <v>15120</v>
      </c>
      <c r="N856" s="802" t="s">
        <v>15121</v>
      </c>
      <c r="O856" s="802" t="s">
        <v>15122</v>
      </c>
      <c r="P856" s="807" t="s">
        <v>32</v>
      </c>
    </row>
    <row r="857" spans="1:16" s="341" customFormat="1" ht="15" customHeight="1">
      <c r="A857" s="806" t="s">
        <v>109</v>
      </c>
      <c r="B857" s="800" t="s">
        <v>130</v>
      </c>
      <c r="C857" s="800" t="s">
        <v>261</v>
      </c>
      <c r="D857" s="800" t="s">
        <v>15123</v>
      </c>
      <c r="E857" s="801">
        <v>43019</v>
      </c>
      <c r="F857" s="800" t="s">
        <v>2053</v>
      </c>
      <c r="G857" s="800" t="s">
        <v>15124</v>
      </c>
      <c r="H857" s="800" t="s">
        <v>10404</v>
      </c>
      <c r="I857" s="800" t="s">
        <v>10404</v>
      </c>
      <c r="J857" s="800" t="s">
        <v>10405</v>
      </c>
      <c r="K857" s="800">
        <v>1</v>
      </c>
      <c r="L857" s="802" t="s">
        <v>10398</v>
      </c>
      <c r="M857" s="802" t="s">
        <v>15125</v>
      </c>
      <c r="N857" s="802" t="s">
        <v>12900</v>
      </c>
      <c r="O857" s="802" t="s">
        <v>15126</v>
      </c>
      <c r="P857" s="807" t="s">
        <v>15127</v>
      </c>
    </row>
    <row r="858" spans="1:16" s="341" customFormat="1" ht="25.5">
      <c r="A858" s="806" t="s">
        <v>109</v>
      </c>
      <c r="B858" s="800" t="s">
        <v>130</v>
      </c>
      <c r="C858" s="800" t="s">
        <v>261</v>
      </c>
      <c r="D858" s="800" t="s">
        <v>15128</v>
      </c>
      <c r="E858" s="801">
        <v>43019</v>
      </c>
      <c r="F858" s="800" t="s">
        <v>2053</v>
      </c>
      <c r="G858" s="800" t="s">
        <v>15129</v>
      </c>
      <c r="H858" s="800" t="s">
        <v>10404</v>
      </c>
      <c r="I858" s="800" t="s">
        <v>10404</v>
      </c>
      <c r="J858" s="800" t="s">
        <v>10405</v>
      </c>
      <c r="K858" s="800">
        <v>1</v>
      </c>
      <c r="L858" s="802" t="s">
        <v>10398</v>
      </c>
      <c r="M858" s="802" t="s">
        <v>15130</v>
      </c>
      <c r="N858" s="802" t="s">
        <v>11326</v>
      </c>
      <c r="O858" s="802" t="s">
        <v>15131</v>
      </c>
      <c r="P858" s="807" t="s">
        <v>32</v>
      </c>
    </row>
    <row r="859" spans="1:16" s="341" customFormat="1" ht="25.5">
      <c r="A859" s="806" t="s">
        <v>109</v>
      </c>
      <c r="B859" s="800" t="s">
        <v>130</v>
      </c>
      <c r="C859" s="800" t="s">
        <v>261</v>
      </c>
      <c r="D859" s="800" t="s">
        <v>15132</v>
      </c>
      <c r="E859" s="801">
        <v>43019</v>
      </c>
      <c r="F859" s="800" t="s">
        <v>14377</v>
      </c>
      <c r="G859" s="800" t="s">
        <v>15133</v>
      </c>
      <c r="H859" s="800" t="s">
        <v>10404</v>
      </c>
      <c r="I859" s="800" t="s">
        <v>10404</v>
      </c>
      <c r="J859" s="800" t="s">
        <v>10405</v>
      </c>
      <c r="K859" s="800">
        <v>1</v>
      </c>
      <c r="L859" s="802" t="s">
        <v>10398</v>
      </c>
      <c r="M859" s="802" t="s">
        <v>15134</v>
      </c>
      <c r="N859" s="802" t="s">
        <v>11945</v>
      </c>
      <c r="O859" s="802" t="s">
        <v>15135</v>
      </c>
      <c r="P859" s="807" t="s">
        <v>15136</v>
      </c>
    </row>
    <row r="860" spans="1:16" s="341" customFormat="1" ht="25.5">
      <c r="A860" s="806" t="s">
        <v>109</v>
      </c>
      <c r="B860" s="800" t="s">
        <v>130</v>
      </c>
      <c r="C860" s="800" t="s">
        <v>261</v>
      </c>
      <c r="D860" s="800" t="s">
        <v>15137</v>
      </c>
      <c r="E860" s="801">
        <v>43019</v>
      </c>
      <c r="F860" s="800" t="s">
        <v>1</v>
      </c>
      <c r="G860" s="800" t="s">
        <v>15138</v>
      </c>
      <c r="H860" s="800" t="s">
        <v>10404</v>
      </c>
      <c r="I860" s="800" t="s">
        <v>10404</v>
      </c>
      <c r="J860" s="800" t="s">
        <v>10405</v>
      </c>
      <c r="K860" s="800">
        <v>1</v>
      </c>
      <c r="L860" s="802" t="s">
        <v>11045</v>
      </c>
      <c r="M860" s="802" t="s">
        <v>15139</v>
      </c>
      <c r="N860" s="802" t="s">
        <v>15140</v>
      </c>
      <c r="O860" s="802" t="s">
        <v>15141</v>
      </c>
      <c r="P860" s="807" t="s">
        <v>32</v>
      </c>
    </row>
    <row r="861" spans="1:16" s="341" customFormat="1" ht="25.5">
      <c r="A861" s="806" t="s">
        <v>109</v>
      </c>
      <c r="B861" s="800" t="s">
        <v>130</v>
      </c>
      <c r="C861" s="800" t="s">
        <v>261</v>
      </c>
      <c r="D861" s="800" t="s">
        <v>15142</v>
      </c>
      <c r="E861" s="801">
        <v>43019</v>
      </c>
      <c r="F861" s="800" t="s">
        <v>2053</v>
      </c>
      <c r="G861" s="800" t="s">
        <v>15143</v>
      </c>
      <c r="H861" s="800" t="s">
        <v>10404</v>
      </c>
      <c r="I861" s="800" t="s">
        <v>10404</v>
      </c>
      <c r="J861" s="800" t="s">
        <v>10405</v>
      </c>
      <c r="K861" s="800">
        <v>1</v>
      </c>
      <c r="L861" s="802" t="s">
        <v>10398</v>
      </c>
      <c r="M861" s="802" t="s">
        <v>15144</v>
      </c>
      <c r="N861" s="802" t="s">
        <v>15016</v>
      </c>
      <c r="O861" s="802" t="s">
        <v>15145</v>
      </c>
      <c r="P861" s="807" t="s">
        <v>15146</v>
      </c>
    </row>
    <row r="862" spans="1:16" s="341" customFormat="1" ht="25.5">
      <c r="A862" s="806" t="s">
        <v>109</v>
      </c>
      <c r="B862" s="800" t="s">
        <v>130</v>
      </c>
      <c r="C862" s="800" t="s">
        <v>261</v>
      </c>
      <c r="D862" s="800" t="s">
        <v>15147</v>
      </c>
      <c r="E862" s="801">
        <v>43019</v>
      </c>
      <c r="F862" s="800" t="s">
        <v>2053</v>
      </c>
      <c r="G862" s="800" t="s">
        <v>15148</v>
      </c>
      <c r="H862" s="800" t="s">
        <v>10396</v>
      </c>
      <c r="I862" s="800" t="s">
        <v>10396</v>
      </c>
      <c r="J862" s="800" t="s">
        <v>4342</v>
      </c>
      <c r="K862" s="800">
        <v>1</v>
      </c>
      <c r="L862" s="802" t="s">
        <v>10398</v>
      </c>
      <c r="M862" s="802" t="s">
        <v>15149</v>
      </c>
      <c r="N862" s="802" t="s">
        <v>15150</v>
      </c>
      <c r="O862" s="802" t="s">
        <v>15151</v>
      </c>
      <c r="P862" s="807" t="s">
        <v>15152</v>
      </c>
    </row>
    <row r="863" spans="1:16" s="341" customFormat="1" ht="25.5">
      <c r="A863" s="806" t="s">
        <v>109</v>
      </c>
      <c r="B863" s="800" t="s">
        <v>130</v>
      </c>
      <c r="C863" s="800" t="s">
        <v>261</v>
      </c>
      <c r="D863" s="800" t="s">
        <v>15153</v>
      </c>
      <c r="E863" s="801">
        <v>43019</v>
      </c>
      <c r="F863" s="800" t="s">
        <v>2053</v>
      </c>
      <c r="G863" s="800" t="s">
        <v>15154</v>
      </c>
      <c r="H863" s="800" t="s">
        <v>10404</v>
      </c>
      <c r="I863" s="800" t="s">
        <v>10404</v>
      </c>
      <c r="J863" s="800" t="s">
        <v>10405</v>
      </c>
      <c r="K863" s="800">
        <v>1</v>
      </c>
      <c r="L863" s="802" t="s">
        <v>10398</v>
      </c>
      <c r="M863" s="802" t="s">
        <v>15155</v>
      </c>
      <c r="N863" s="802" t="s">
        <v>13138</v>
      </c>
      <c r="O863" s="802" t="s">
        <v>15156</v>
      </c>
      <c r="P863" s="807" t="s">
        <v>15157</v>
      </c>
    </row>
    <row r="864" spans="1:16" s="341" customFormat="1" ht="25.5">
      <c r="A864" s="806" t="s">
        <v>109</v>
      </c>
      <c r="B864" s="800" t="s">
        <v>130</v>
      </c>
      <c r="C864" s="800" t="s">
        <v>261</v>
      </c>
      <c r="D864" s="800" t="s">
        <v>15158</v>
      </c>
      <c r="E864" s="801">
        <v>43019</v>
      </c>
      <c r="F864" s="800" t="s">
        <v>2053</v>
      </c>
      <c r="G864" s="800" t="s">
        <v>15159</v>
      </c>
      <c r="H864" s="800" t="s">
        <v>10404</v>
      </c>
      <c r="I864" s="800" t="s">
        <v>10404</v>
      </c>
      <c r="J864" s="800" t="s">
        <v>10405</v>
      </c>
      <c r="K864" s="800">
        <v>1</v>
      </c>
      <c r="L864" s="802" t="s">
        <v>10398</v>
      </c>
      <c r="M864" s="802" t="s">
        <v>32</v>
      </c>
      <c r="N864" s="802" t="s">
        <v>15160</v>
      </c>
      <c r="O864" s="802" t="s">
        <v>15161</v>
      </c>
      <c r="P864" s="807" t="s">
        <v>15162</v>
      </c>
    </row>
    <row r="865" spans="1:16" s="341" customFormat="1" ht="25.5">
      <c r="A865" s="806" t="s">
        <v>109</v>
      </c>
      <c r="B865" s="800" t="s">
        <v>130</v>
      </c>
      <c r="C865" s="800" t="s">
        <v>261</v>
      </c>
      <c r="D865" s="800" t="s">
        <v>15163</v>
      </c>
      <c r="E865" s="801">
        <v>43018</v>
      </c>
      <c r="F865" s="800" t="s">
        <v>2053</v>
      </c>
      <c r="G865" s="800" t="s">
        <v>15164</v>
      </c>
      <c r="H865" s="800" t="s">
        <v>10404</v>
      </c>
      <c r="I865" s="800" t="s">
        <v>10404</v>
      </c>
      <c r="J865" s="800" t="s">
        <v>10405</v>
      </c>
      <c r="K865" s="800">
        <v>1</v>
      </c>
      <c r="L865" s="802" t="s">
        <v>10398</v>
      </c>
      <c r="M865" s="802" t="s">
        <v>32</v>
      </c>
      <c r="N865" s="802" t="s">
        <v>11654</v>
      </c>
      <c r="O865" s="802" t="s">
        <v>15165</v>
      </c>
      <c r="P865" s="807" t="s">
        <v>32</v>
      </c>
    </row>
    <row r="866" spans="1:16" s="341" customFormat="1" ht="25.5">
      <c r="A866" s="806" t="s">
        <v>109</v>
      </c>
      <c r="B866" s="800" t="s">
        <v>130</v>
      </c>
      <c r="C866" s="800" t="s">
        <v>261</v>
      </c>
      <c r="D866" s="800" t="s">
        <v>15166</v>
      </c>
      <c r="E866" s="801">
        <v>43018</v>
      </c>
      <c r="F866" s="800" t="s">
        <v>2053</v>
      </c>
      <c r="G866" s="800" t="s">
        <v>15167</v>
      </c>
      <c r="H866" s="800" t="s">
        <v>10404</v>
      </c>
      <c r="I866" s="800" t="s">
        <v>10404</v>
      </c>
      <c r="J866" s="800" t="s">
        <v>10405</v>
      </c>
      <c r="K866" s="800">
        <v>1</v>
      </c>
      <c r="L866" s="802" t="s">
        <v>10605</v>
      </c>
      <c r="M866" s="802" t="s">
        <v>15168</v>
      </c>
      <c r="N866" s="802" t="s">
        <v>15169</v>
      </c>
      <c r="O866" s="802" t="s">
        <v>15170</v>
      </c>
      <c r="P866" s="807" t="s">
        <v>32</v>
      </c>
    </row>
    <row r="867" spans="1:16" s="341" customFormat="1" ht="25.5" customHeight="1">
      <c r="A867" s="806" t="s">
        <v>109</v>
      </c>
      <c r="B867" s="800" t="s">
        <v>130</v>
      </c>
      <c r="C867" s="800" t="s">
        <v>261</v>
      </c>
      <c r="D867" s="800" t="s">
        <v>15171</v>
      </c>
      <c r="E867" s="801">
        <v>43018</v>
      </c>
      <c r="F867" s="800" t="s">
        <v>2053</v>
      </c>
      <c r="G867" s="800" t="s">
        <v>15172</v>
      </c>
      <c r="H867" s="800" t="s">
        <v>10404</v>
      </c>
      <c r="I867" s="800" t="s">
        <v>10404</v>
      </c>
      <c r="J867" s="800" t="s">
        <v>10405</v>
      </c>
      <c r="K867" s="800">
        <v>1</v>
      </c>
      <c r="L867" s="802" t="s">
        <v>10398</v>
      </c>
      <c r="M867" s="802" t="s">
        <v>15173</v>
      </c>
      <c r="N867" s="802" t="s">
        <v>15174</v>
      </c>
      <c r="O867" s="802" t="s">
        <v>15175</v>
      </c>
      <c r="P867" s="807" t="s">
        <v>14779</v>
      </c>
    </row>
    <row r="868" spans="1:16" s="341" customFormat="1" ht="25.5" customHeight="1">
      <c r="A868" s="806" t="s">
        <v>109</v>
      </c>
      <c r="B868" s="800" t="s">
        <v>130</v>
      </c>
      <c r="C868" s="800" t="s">
        <v>261</v>
      </c>
      <c r="D868" s="800" t="s">
        <v>15176</v>
      </c>
      <c r="E868" s="801">
        <v>43018</v>
      </c>
      <c r="F868" s="800" t="s">
        <v>32</v>
      </c>
      <c r="G868" s="800" t="s">
        <v>15177</v>
      </c>
      <c r="H868" s="800" t="s">
        <v>10433</v>
      </c>
      <c r="I868" s="800" t="s">
        <v>10433</v>
      </c>
      <c r="J868" s="800" t="s">
        <v>10447</v>
      </c>
      <c r="K868" s="800">
        <v>1</v>
      </c>
      <c r="L868" s="802" t="s">
        <v>10398</v>
      </c>
      <c r="M868" s="802" t="s">
        <v>32</v>
      </c>
      <c r="N868" s="802" t="s">
        <v>14282</v>
      </c>
      <c r="O868" s="802" t="s">
        <v>15178</v>
      </c>
      <c r="P868" s="807" t="s">
        <v>15179</v>
      </c>
    </row>
    <row r="869" spans="1:16" s="341" customFormat="1" ht="25.5" customHeight="1">
      <c r="A869" s="806" t="s">
        <v>109</v>
      </c>
      <c r="B869" s="800" t="s">
        <v>130</v>
      </c>
      <c r="C869" s="800" t="s">
        <v>261</v>
      </c>
      <c r="D869" s="800" t="s">
        <v>15180</v>
      </c>
      <c r="E869" s="801">
        <v>43018</v>
      </c>
      <c r="F869" s="800" t="s">
        <v>32</v>
      </c>
      <c r="G869" s="800" t="s">
        <v>15181</v>
      </c>
      <c r="H869" s="800" t="s">
        <v>10433</v>
      </c>
      <c r="I869" s="800" t="s">
        <v>10433</v>
      </c>
      <c r="J869" s="800" t="s">
        <v>10447</v>
      </c>
      <c r="K869" s="800">
        <v>1</v>
      </c>
      <c r="L869" s="802" t="s">
        <v>10398</v>
      </c>
      <c r="M869" s="802" t="s">
        <v>32</v>
      </c>
      <c r="N869" s="802" t="s">
        <v>14436</v>
      </c>
      <c r="O869" s="802" t="s">
        <v>15182</v>
      </c>
      <c r="P869" s="807" t="s">
        <v>15183</v>
      </c>
    </row>
    <row r="870" spans="1:16" s="341" customFormat="1" ht="25.5" customHeight="1">
      <c r="A870" s="806" t="s">
        <v>109</v>
      </c>
      <c r="B870" s="800" t="s">
        <v>130</v>
      </c>
      <c r="C870" s="800" t="s">
        <v>261</v>
      </c>
      <c r="D870" s="800" t="s">
        <v>15184</v>
      </c>
      <c r="E870" s="801">
        <v>43018</v>
      </c>
      <c r="F870" s="800" t="s">
        <v>32</v>
      </c>
      <c r="G870" s="800" t="s">
        <v>15185</v>
      </c>
      <c r="H870" s="800" t="s">
        <v>10433</v>
      </c>
      <c r="I870" s="800" t="s">
        <v>10433</v>
      </c>
      <c r="J870" s="800" t="s">
        <v>10447</v>
      </c>
      <c r="K870" s="800">
        <v>1</v>
      </c>
      <c r="L870" s="802" t="s">
        <v>10398</v>
      </c>
      <c r="M870" s="802" t="s">
        <v>15186</v>
      </c>
      <c r="N870" s="802" t="s">
        <v>12877</v>
      </c>
      <c r="O870" s="802" t="s">
        <v>15187</v>
      </c>
      <c r="P870" s="807" t="s">
        <v>32</v>
      </c>
    </row>
    <row r="871" spans="1:16" s="341" customFormat="1" ht="25.5" customHeight="1">
      <c r="A871" s="806" t="s">
        <v>109</v>
      </c>
      <c r="B871" s="800" t="s">
        <v>130</v>
      </c>
      <c r="C871" s="800" t="s">
        <v>261</v>
      </c>
      <c r="D871" s="800" t="s">
        <v>15188</v>
      </c>
      <c r="E871" s="801">
        <v>43018</v>
      </c>
      <c r="F871" s="800" t="s">
        <v>13997</v>
      </c>
      <c r="G871" s="800" t="s">
        <v>15189</v>
      </c>
      <c r="H871" s="800" t="s">
        <v>10433</v>
      </c>
      <c r="I871" s="800" t="s">
        <v>10433</v>
      </c>
      <c r="J871" s="800" t="s">
        <v>10447</v>
      </c>
      <c r="K871" s="800">
        <v>1</v>
      </c>
      <c r="L871" s="802" t="s">
        <v>10398</v>
      </c>
      <c r="M871" s="802" t="s">
        <v>15190</v>
      </c>
      <c r="N871" s="802" t="s">
        <v>15191</v>
      </c>
      <c r="O871" s="802" t="s">
        <v>15192</v>
      </c>
      <c r="P871" s="807" t="s">
        <v>15193</v>
      </c>
    </row>
    <row r="872" spans="1:16" s="341" customFormat="1" ht="25.5" customHeight="1">
      <c r="A872" s="806" t="s">
        <v>109</v>
      </c>
      <c r="B872" s="800" t="s">
        <v>130</v>
      </c>
      <c r="C872" s="800" t="s">
        <v>261</v>
      </c>
      <c r="D872" s="800" t="s">
        <v>15194</v>
      </c>
      <c r="E872" s="801">
        <v>43018</v>
      </c>
      <c r="F872" s="800" t="s">
        <v>13997</v>
      </c>
      <c r="G872" s="800" t="s">
        <v>15195</v>
      </c>
      <c r="H872" s="800" t="s">
        <v>10531</v>
      </c>
      <c r="I872" s="800" t="s">
        <v>10531</v>
      </c>
      <c r="J872" s="800" t="s">
        <v>10447</v>
      </c>
      <c r="K872" s="800">
        <v>1</v>
      </c>
      <c r="L872" s="802" t="s">
        <v>11026</v>
      </c>
      <c r="M872" s="802" t="s">
        <v>15196</v>
      </c>
      <c r="N872" s="802" t="s">
        <v>15197</v>
      </c>
      <c r="O872" s="802" t="s">
        <v>15198</v>
      </c>
      <c r="P872" s="807" t="s">
        <v>15199</v>
      </c>
    </row>
    <row r="873" spans="1:16" s="341" customFormat="1" ht="15">
      <c r="A873" s="806" t="s">
        <v>109</v>
      </c>
      <c r="B873" s="800" t="s">
        <v>130</v>
      </c>
      <c r="C873" s="800" t="s">
        <v>261</v>
      </c>
      <c r="D873" s="800" t="s">
        <v>15200</v>
      </c>
      <c r="E873" s="801">
        <v>43018</v>
      </c>
      <c r="F873" s="800" t="s">
        <v>13997</v>
      </c>
      <c r="G873" s="800" t="s">
        <v>15195</v>
      </c>
      <c r="H873" s="800" t="s">
        <v>10433</v>
      </c>
      <c r="I873" s="800" t="s">
        <v>10433</v>
      </c>
      <c r="J873" s="800" t="s">
        <v>10447</v>
      </c>
      <c r="K873" s="800">
        <v>1</v>
      </c>
      <c r="L873" s="802" t="s">
        <v>10398</v>
      </c>
      <c r="M873" s="802" t="s">
        <v>32</v>
      </c>
      <c r="N873" s="802" t="s">
        <v>10842</v>
      </c>
      <c r="O873" s="802" t="s">
        <v>15201</v>
      </c>
      <c r="P873" s="807" t="s">
        <v>15179</v>
      </c>
    </row>
    <row r="874" spans="1:16" s="341" customFormat="1" ht="15" customHeight="1">
      <c r="A874" s="806" t="s">
        <v>109</v>
      </c>
      <c r="B874" s="800" t="s">
        <v>130</v>
      </c>
      <c r="C874" s="800" t="s">
        <v>261</v>
      </c>
      <c r="D874" s="800" t="s">
        <v>15202</v>
      </c>
      <c r="E874" s="801">
        <v>43018</v>
      </c>
      <c r="F874" s="800" t="s">
        <v>13997</v>
      </c>
      <c r="G874" s="800" t="s">
        <v>15195</v>
      </c>
      <c r="H874" s="800" t="s">
        <v>10433</v>
      </c>
      <c r="I874" s="800" t="s">
        <v>10433</v>
      </c>
      <c r="J874" s="800" t="s">
        <v>10447</v>
      </c>
      <c r="K874" s="800">
        <v>1</v>
      </c>
      <c r="L874" s="802" t="s">
        <v>10398</v>
      </c>
      <c r="M874" s="802" t="s">
        <v>15203</v>
      </c>
      <c r="N874" s="802" t="s">
        <v>15204</v>
      </c>
      <c r="O874" s="802" t="s">
        <v>15205</v>
      </c>
      <c r="P874" s="807" t="s">
        <v>15206</v>
      </c>
    </row>
    <row r="875" spans="1:16" s="341" customFormat="1" ht="15" customHeight="1">
      <c r="A875" s="806" t="s">
        <v>109</v>
      </c>
      <c r="B875" s="800" t="s">
        <v>130</v>
      </c>
      <c r="C875" s="800" t="s">
        <v>261</v>
      </c>
      <c r="D875" s="800" t="s">
        <v>15207</v>
      </c>
      <c r="E875" s="801">
        <v>43018</v>
      </c>
      <c r="F875" s="800" t="s">
        <v>32</v>
      </c>
      <c r="G875" s="800" t="s">
        <v>15208</v>
      </c>
      <c r="H875" s="800" t="s">
        <v>10433</v>
      </c>
      <c r="I875" s="800" t="s">
        <v>10433</v>
      </c>
      <c r="J875" s="800" t="s">
        <v>10447</v>
      </c>
      <c r="K875" s="800">
        <v>1</v>
      </c>
      <c r="L875" s="802" t="s">
        <v>10398</v>
      </c>
      <c r="M875" s="802" t="s">
        <v>15209</v>
      </c>
      <c r="N875" s="802" t="s">
        <v>15210</v>
      </c>
      <c r="O875" s="802" t="s">
        <v>15211</v>
      </c>
      <c r="P875" s="807" t="s">
        <v>15206</v>
      </c>
    </row>
    <row r="876" spans="1:16" s="341" customFormat="1" ht="25.5" customHeight="1">
      <c r="A876" s="806" t="s">
        <v>109</v>
      </c>
      <c r="B876" s="800" t="s">
        <v>130</v>
      </c>
      <c r="C876" s="800" t="s">
        <v>261</v>
      </c>
      <c r="D876" s="800" t="s">
        <v>15212</v>
      </c>
      <c r="E876" s="801">
        <v>43018</v>
      </c>
      <c r="F876" s="800" t="s">
        <v>32</v>
      </c>
      <c r="G876" s="800" t="s">
        <v>15213</v>
      </c>
      <c r="H876" s="800" t="s">
        <v>10433</v>
      </c>
      <c r="I876" s="800" t="s">
        <v>10433</v>
      </c>
      <c r="J876" s="800" t="s">
        <v>10447</v>
      </c>
      <c r="K876" s="800">
        <v>1</v>
      </c>
      <c r="L876" s="802" t="s">
        <v>10398</v>
      </c>
      <c r="M876" s="802" t="s">
        <v>15214</v>
      </c>
      <c r="N876" s="802" t="s">
        <v>12889</v>
      </c>
      <c r="O876" s="802" t="s">
        <v>15215</v>
      </c>
      <c r="P876" s="807" t="s">
        <v>32</v>
      </c>
    </row>
    <row r="877" spans="1:16" s="341" customFormat="1" ht="15" customHeight="1">
      <c r="A877" s="806" t="s">
        <v>109</v>
      </c>
      <c r="B877" s="800" t="s">
        <v>130</v>
      </c>
      <c r="C877" s="800" t="s">
        <v>261</v>
      </c>
      <c r="D877" s="800" t="s">
        <v>15216</v>
      </c>
      <c r="E877" s="801">
        <v>43018</v>
      </c>
      <c r="F877" s="800" t="s">
        <v>32</v>
      </c>
      <c r="G877" s="800" t="s">
        <v>15217</v>
      </c>
      <c r="H877" s="800" t="s">
        <v>10433</v>
      </c>
      <c r="I877" s="800" t="s">
        <v>10433</v>
      </c>
      <c r="J877" s="800" t="s">
        <v>10447</v>
      </c>
      <c r="K877" s="800">
        <v>1</v>
      </c>
      <c r="L877" s="802" t="s">
        <v>10398</v>
      </c>
      <c r="M877" s="802" t="s">
        <v>15218</v>
      </c>
      <c r="N877" s="802" t="s">
        <v>15219</v>
      </c>
      <c r="O877" s="802" t="s">
        <v>15220</v>
      </c>
      <c r="P877" s="807" t="s">
        <v>15221</v>
      </c>
    </row>
    <row r="878" spans="1:16" s="341" customFormat="1" ht="25.5" customHeight="1">
      <c r="A878" s="806" t="s">
        <v>109</v>
      </c>
      <c r="B878" s="800" t="s">
        <v>130</v>
      </c>
      <c r="C878" s="800" t="s">
        <v>261</v>
      </c>
      <c r="D878" s="800" t="s">
        <v>15222</v>
      </c>
      <c r="E878" s="801">
        <v>43018</v>
      </c>
      <c r="F878" s="800" t="s">
        <v>32</v>
      </c>
      <c r="G878" s="800" t="s">
        <v>15223</v>
      </c>
      <c r="H878" s="800" t="s">
        <v>10404</v>
      </c>
      <c r="I878" s="800" t="s">
        <v>10404</v>
      </c>
      <c r="J878" s="800" t="s">
        <v>10447</v>
      </c>
      <c r="K878" s="800">
        <v>1</v>
      </c>
      <c r="L878" s="802" t="s">
        <v>10398</v>
      </c>
      <c r="M878" s="802" t="s">
        <v>15224</v>
      </c>
      <c r="N878" s="802" t="s">
        <v>15225</v>
      </c>
      <c r="O878" s="802" t="s">
        <v>15226</v>
      </c>
      <c r="P878" s="807" t="s">
        <v>15227</v>
      </c>
    </row>
    <row r="879" spans="1:16" s="341" customFormat="1" ht="25.5" customHeight="1">
      <c r="A879" s="806" t="s">
        <v>109</v>
      </c>
      <c r="B879" s="800" t="s">
        <v>130</v>
      </c>
      <c r="C879" s="800" t="s">
        <v>261</v>
      </c>
      <c r="D879" s="800" t="s">
        <v>15228</v>
      </c>
      <c r="E879" s="801">
        <v>43018</v>
      </c>
      <c r="F879" s="800" t="s">
        <v>32</v>
      </c>
      <c r="G879" s="800" t="s">
        <v>15223</v>
      </c>
      <c r="H879" s="800" t="s">
        <v>10433</v>
      </c>
      <c r="I879" s="800" t="s">
        <v>10433</v>
      </c>
      <c r="J879" s="800" t="s">
        <v>10447</v>
      </c>
      <c r="K879" s="800">
        <v>1</v>
      </c>
      <c r="L879" s="802" t="s">
        <v>10398</v>
      </c>
      <c r="M879" s="802" t="s">
        <v>15229</v>
      </c>
      <c r="N879" s="802" t="s">
        <v>11269</v>
      </c>
      <c r="O879" s="802" t="s">
        <v>15230</v>
      </c>
      <c r="P879" s="807" t="s">
        <v>15231</v>
      </c>
    </row>
    <row r="880" spans="1:16" s="341" customFormat="1" ht="15" customHeight="1">
      <c r="A880" s="806" t="s">
        <v>109</v>
      </c>
      <c r="B880" s="800" t="s">
        <v>130</v>
      </c>
      <c r="C880" s="800" t="s">
        <v>261</v>
      </c>
      <c r="D880" s="800" t="s">
        <v>15232</v>
      </c>
      <c r="E880" s="801">
        <v>43018</v>
      </c>
      <c r="F880" s="800" t="s">
        <v>32</v>
      </c>
      <c r="G880" s="800" t="s">
        <v>15233</v>
      </c>
      <c r="H880" s="800" t="s">
        <v>10433</v>
      </c>
      <c r="I880" s="800" t="s">
        <v>10433</v>
      </c>
      <c r="J880" s="800" t="s">
        <v>10447</v>
      </c>
      <c r="K880" s="800">
        <v>1</v>
      </c>
      <c r="L880" s="802" t="s">
        <v>10398</v>
      </c>
      <c r="M880" s="802" t="s">
        <v>15234</v>
      </c>
      <c r="N880" s="802" t="s">
        <v>15235</v>
      </c>
      <c r="O880" s="802" t="s">
        <v>15230</v>
      </c>
      <c r="P880" s="807" t="s">
        <v>15236</v>
      </c>
    </row>
    <row r="881" spans="1:16" s="341" customFormat="1" ht="25.5" customHeight="1">
      <c r="A881" s="806" t="s">
        <v>109</v>
      </c>
      <c r="B881" s="800" t="s">
        <v>130</v>
      </c>
      <c r="C881" s="800" t="s">
        <v>261</v>
      </c>
      <c r="D881" s="800" t="s">
        <v>15237</v>
      </c>
      <c r="E881" s="801">
        <v>43018</v>
      </c>
      <c r="F881" s="800" t="s">
        <v>32</v>
      </c>
      <c r="G881" s="800" t="s">
        <v>32</v>
      </c>
      <c r="H881" s="800" t="s">
        <v>10404</v>
      </c>
      <c r="I881" s="800" t="s">
        <v>10404</v>
      </c>
      <c r="J881" s="800" t="s">
        <v>10405</v>
      </c>
      <c r="K881" s="800">
        <v>1</v>
      </c>
      <c r="L881" s="802" t="s">
        <v>12826</v>
      </c>
      <c r="M881" s="802" t="s">
        <v>32</v>
      </c>
      <c r="N881" s="802" t="s">
        <v>15238</v>
      </c>
      <c r="O881" s="802" t="s">
        <v>15239</v>
      </c>
      <c r="P881" s="807" t="s">
        <v>32</v>
      </c>
    </row>
    <row r="882" spans="1:16" s="341" customFormat="1" ht="25.5" customHeight="1">
      <c r="A882" s="806" t="s">
        <v>109</v>
      </c>
      <c r="B882" s="800" t="s">
        <v>130</v>
      </c>
      <c r="C882" s="800" t="s">
        <v>261</v>
      </c>
      <c r="D882" s="800" t="s">
        <v>15240</v>
      </c>
      <c r="E882" s="801">
        <v>43018</v>
      </c>
      <c r="F882" s="800" t="s">
        <v>32</v>
      </c>
      <c r="G882" s="800" t="s">
        <v>15213</v>
      </c>
      <c r="H882" s="800" t="s">
        <v>10531</v>
      </c>
      <c r="I882" s="800" t="s">
        <v>10531</v>
      </c>
      <c r="J882" s="800" t="s">
        <v>10447</v>
      </c>
      <c r="K882" s="800">
        <v>1</v>
      </c>
      <c r="L882" s="802" t="s">
        <v>10398</v>
      </c>
      <c r="M882" s="802" t="s">
        <v>15241</v>
      </c>
      <c r="N882" s="802" t="s">
        <v>15140</v>
      </c>
      <c r="O882" s="802" t="s">
        <v>15230</v>
      </c>
      <c r="P882" s="807" t="s">
        <v>15242</v>
      </c>
    </row>
    <row r="883" spans="1:16" s="341" customFormat="1" ht="25.5" customHeight="1">
      <c r="A883" s="806" t="s">
        <v>109</v>
      </c>
      <c r="B883" s="800" t="s">
        <v>130</v>
      </c>
      <c r="C883" s="800" t="s">
        <v>261</v>
      </c>
      <c r="D883" s="800" t="s">
        <v>15243</v>
      </c>
      <c r="E883" s="801">
        <v>43018</v>
      </c>
      <c r="F883" s="800" t="s">
        <v>32</v>
      </c>
      <c r="G883" s="800" t="s">
        <v>15244</v>
      </c>
      <c r="H883" s="800" t="s">
        <v>10404</v>
      </c>
      <c r="I883" s="800" t="s">
        <v>10404</v>
      </c>
      <c r="J883" s="800" t="s">
        <v>10447</v>
      </c>
      <c r="K883" s="800">
        <v>1</v>
      </c>
      <c r="L883" s="802" t="s">
        <v>10398</v>
      </c>
      <c r="M883" s="802" t="s">
        <v>15245</v>
      </c>
      <c r="N883" s="802" t="s">
        <v>15246</v>
      </c>
      <c r="O883" s="802" t="s">
        <v>15247</v>
      </c>
      <c r="P883" s="807" t="s">
        <v>32</v>
      </c>
    </row>
    <row r="884" spans="1:16" s="341" customFormat="1" ht="25.5" customHeight="1">
      <c r="A884" s="806" t="s">
        <v>109</v>
      </c>
      <c r="B884" s="800" t="s">
        <v>130</v>
      </c>
      <c r="C884" s="800" t="s">
        <v>261</v>
      </c>
      <c r="D884" s="800" t="s">
        <v>15248</v>
      </c>
      <c r="E884" s="801">
        <v>43018</v>
      </c>
      <c r="F884" s="800" t="s">
        <v>261</v>
      </c>
      <c r="G884" s="800" t="s">
        <v>15249</v>
      </c>
      <c r="H884" s="800" t="s">
        <v>10396</v>
      </c>
      <c r="I884" s="800" t="s">
        <v>10396</v>
      </c>
      <c r="J884" s="800" t="s">
        <v>10447</v>
      </c>
      <c r="K884" s="800">
        <v>1</v>
      </c>
      <c r="L884" s="802" t="s">
        <v>10398</v>
      </c>
      <c r="M884" s="802" t="s">
        <v>15250</v>
      </c>
      <c r="N884" s="802" t="s">
        <v>14990</v>
      </c>
      <c r="O884" s="802" t="s">
        <v>15081</v>
      </c>
      <c r="P884" s="807" t="s">
        <v>15251</v>
      </c>
    </row>
    <row r="885" spans="1:16" s="341" customFormat="1" ht="25.5" customHeight="1">
      <c r="A885" s="806" t="s">
        <v>109</v>
      </c>
      <c r="B885" s="800" t="s">
        <v>130</v>
      </c>
      <c r="C885" s="800" t="s">
        <v>261</v>
      </c>
      <c r="D885" s="800" t="s">
        <v>15252</v>
      </c>
      <c r="E885" s="801">
        <v>43018</v>
      </c>
      <c r="F885" s="800" t="s">
        <v>14433</v>
      </c>
      <c r="G885" s="800" t="s">
        <v>15253</v>
      </c>
      <c r="H885" s="800" t="s">
        <v>10404</v>
      </c>
      <c r="I885" s="800" t="s">
        <v>10404</v>
      </c>
      <c r="J885" s="800" t="s">
        <v>10447</v>
      </c>
      <c r="K885" s="800">
        <v>1</v>
      </c>
      <c r="L885" s="802" t="s">
        <v>10398</v>
      </c>
      <c r="M885" s="802" t="s">
        <v>15254</v>
      </c>
      <c r="N885" s="802" t="s">
        <v>15255</v>
      </c>
      <c r="O885" s="802" t="s">
        <v>15247</v>
      </c>
      <c r="P885" s="807" t="s">
        <v>15256</v>
      </c>
    </row>
    <row r="886" spans="1:16" s="341" customFormat="1" ht="15" customHeight="1">
      <c r="A886" s="806" t="s">
        <v>109</v>
      </c>
      <c r="B886" s="800" t="s">
        <v>130</v>
      </c>
      <c r="C886" s="800" t="s">
        <v>261</v>
      </c>
      <c r="D886" s="800" t="s">
        <v>15257</v>
      </c>
      <c r="E886" s="801">
        <v>43018</v>
      </c>
      <c r="F886" s="800" t="s">
        <v>14433</v>
      </c>
      <c r="G886" s="800" t="s">
        <v>15258</v>
      </c>
      <c r="H886" s="800" t="s">
        <v>10531</v>
      </c>
      <c r="I886" s="800" t="s">
        <v>10531</v>
      </c>
      <c r="J886" s="800" t="s">
        <v>10447</v>
      </c>
      <c r="K886" s="800">
        <v>1</v>
      </c>
      <c r="L886" s="802" t="s">
        <v>11026</v>
      </c>
      <c r="M886" s="802" t="s">
        <v>15259</v>
      </c>
      <c r="N886" s="802" t="s">
        <v>15260</v>
      </c>
      <c r="O886" s="802" t="s">
        <v>14745</v>
      </c>
      <c r="P886" s="807" t="s">
        <v>32</v>
      </c>
    </row>
    <row r="887" spans="1:16" s="341" customFormat="1" ht="25.5" customHeight="1">
      <c r="A887" s="806" t="s">
        <v>109</v>
      </c>
      <c r="B887" s="800" t="s">
        <v>130</v>
      </c>
      <c r="C887" s="800" t="s">
        <v>261</v>
      </c>
      <c r="D887" s="800" t="s">
        <v>15261</v>
      </c>
      <c r="E887" s="801">
        <v>43018</v>
      </c>
      <c r="F887" s="800" t="s">
        <v>14433</v>
      </c>
      <c r="G887" s="800" t="s">
        <v>15262</v>
      </c>
      <c r="H887" s="800" t="s">
        <v>10396</v>
      </c>
      <c r="I887" s="800" t="s">
        <v>10396</v>
      </c>
      <c r="J887" s="800" t="s">
        <v>10447</v>
      </c>
      <c r="K887" s="800">
        <v>1</v>
      </c>
      <c r="L887" s="802" t="s">
        <v>10398</v>
      </c>
      <c r="M887" s="802" t="s">
        <v>15263</v>
      </c>
      <c r="N887" s="802" t="s">
        <v>15264</v>
      </c>
      <c r="O887" s="802" t="s">
        <v>15265</v>
      </c>
      <c r="P887" s="807" t="s">
        <v>15266</v>
      </c>
    </row>
    <row r="888" spans="1:16" s="341" customFormat="1" ht="25.5" customHeight="1">
      <c r="A888" s="806" t="s">
        <v>109</v>
      </c>
      <c r="B888" s="800" t="s">
        <v>130</v>
      </c>
      <c r="C888" s="800" t="s">
        <v>261</v>
      </c>
      <c r="D888" s="800" t="s">
        <v>15267</v>
      </c>
      <c r="E888" s="801">
        <v>43018</v>
      </c>
      <c r="F888" s="800" t="s">
        <v>14433</v>
      </c>
      <c r="G888" s="800" t="s">
        <v>15268</v>
      </c>
      <c r="H888" s="800" t="s">
        <v>10531</v>
      </c>
      <c r="I888" s="800" t="s">
        <v>10531</v>
      </c>
      <c r="J888" s="800" t="s">
        <v>10447</v>
      </c>
      <c r="K888" s="800">
        <v>1</v>
      </c>
      <c r="L888" s="802" t="s">
        <v>10398</v>
      </c>
      <c r="M888" s="802" t="s">
        <v>15269</v>
      </c>
      <c r="N888" s="802" t="s">
        <v>15270</v>
      </c>
      <c r="O888" s="802" t="s">
        <v>15271</v>
      </c>
      <c r="P888" s="807" t="s">
        <v>15272</v>
      </c>
    </row>
    <row r="889" spans="1:16" s="341" customFormat="1" ht="25.5" customHeight="1">
      <c r="A889" s="806" t="s">
        <v>109</v>
      </c>
      <c r="B889" s="800" t="s">
        <v>130</v>
      </c>
      <c r="C889" s="800" t="s">
        <v>261</v>
      </c>
      <c r="D889" s="800" t="s">
        <v>15273</v>
      </c>
      <c r="E889" s="801">
        <v>43018</v>
      </c>
      <c r="F889" s="800" t="s">
        <v>14433</v>
      </c>
      <c r="G889" s="800" t="s">
        <v>15274</v>
      </c>
      <c r="H889" s="800" t="s">
        <v>10433</v>
      </c>
      <c r="I889" s="800" t="s">
        <v>10433</v>
      </c>
      <c r="J889" s="800" t="s">
        <v>10447</v>
      </c>
      <c r="K889" s="800">
        <v>1</v>
      </c>
      <c r="L889" s="802" t="s">
        <v>10398</v>
      </c>
      <c r="M889" s="802" t="s">
        <v>15275</v>
      </c>
      <c r="N889" s="802" t="s">
        <v>12606</v>
      </c>
      <c r="O889" s="802" t="s">
        <v>14315</v>
      </c>
      <c r="P889" s="807" t="s">
        <v>15276</v>
      </c>
    </row>
    <row r="890" spans="1:16" s="341" customFormat="1" ht="25.5" customHeight="1">
      <c r="A890" s="806" t="s">
        <v>109</v>
      </c>
      <c r="B890" s="800" t="s">
        <v>130</v>
      </c>
      <c r="C890" s="800" t="s">
        <v>261</v>
      </c>
      <c r="D890" s="800" t="s">
        <v>15277</v>
      </c>
      <c r="E890" s="801">
        <v>43018</v>
      </c>
      <c r="F890" s="800" t="s">
        <v>14433</v>
      </c>
      <c r="G890" s="800" t="s">
        <v>15278</v>
      </c>
      <c r="H890" s="800" t="s">
        <v>10433</v>
      </c>
      <c r="I890" s="800" t="s">
        <v>10433</v>
      </c>
      <c r="J890" s="800" t="s">
        <v>10447</v>
      </c>
      <c r="K890" s="800">
        <v>1</v>
      </c>
      <c r="L890" s="802" t="s">
        <v>10398</v>
      </c>
      <c r="M890" s="802" t="s">
        <v>15279</v>
      </c>
      <c r="N890" s="802" t="s">
        <v>15280</v>
      </c>
      <c r="O890" s="802" t="s">
        <v>15281</v>
      </c>
      <c r="P890" s="807" t="s">
        <v>15282</v>
      </c>
    </row>
    <row r="891" spans="1:16" s="341" customFormat="1" ht="25.5" customHeight="1">
      <c r="A891" s="806" t="s">
        <v>109</v>
      </c>
      <c r="B891" s="800" t="s">
        <v>130</v>
      </c>
      <c r="C891" s="800" t="s">
        <v>261</v>
      </c>
      <c r="D891" s="800" t="s">
        <v>15283</v>
      </c>
      <c r="E891" s="801">
        <v>43018</v>
      </c>
      <c r="F891" s="800" t="s">
        <v>14433</v>
      </c>
      <c r="G891" s="800" t="s">
        <v>15284</v>
      </c>
      <c r="H891" s="800" t="s">
        <v>10433</v>
      </c>
      <c r="I891" s="800" t="s">
        <v>10433</v>
      </c>
      <c r="J891" s="800" t="s">
        <v>10447</v>
      </c>
      <c r="K891" s="800">
        <v>1</v>
      </c>
      <c r="L891" s="802" t="s">
        <v>10398</v>
      </c>
      <c r="M891" s="802" t="s">
        <v>15285</v>
      </c>
      <c r="N891" s="802" t="s">
        <v>15286</v>
      </c>
      <c r="O891" s="802" t="s">
        <v>15287</v>
      </c>
      <c r="P891" s="807" t="s">
        <v>15288</v>
      </c>
    </row>
    <row r="892" spans="1:16" s="341" customFormat="1" ht="25.5" customHeight="1">
      <c r="A892" s="806" t="s">
        <v>109</v>
      </c>
      <c r="B892" s="800" t="s">
        <v>130</v>
      </c>
      <c r="C892" s="800" t="s">
        <v>261</v>
      </c>
      <c r="D892" s="800" t="s">
        <v>15289</v>
      </c>
      <c r="E892" s="801">
        <v>43018</v>
      </c>
      <c r="F892" s="800" t="s">
        <v>14433</v>
      </c>
      <c r="G892" s="800" t="s">
        <v>15290</v>
      </c>
      <c r="H892" s="800" t="s">
        <v>10433</v>
      </c>
      <c r="I892" s="800" t="s">
        <v>10433</v>
      </c>
      <c r="J892" s="800" t="s">
        <v>10447</v>
      </c>
      <c r="K892" s="800">
        <v>1</v>
      </c>
      <c r="L892" s="802" t="s">
        <v>10398</v>
      </c>
      <c r="M892" s="802" t="s">
        <v>15291</v>
      </c>
      <c r="N892" s="802" t="s">
        <v>15292</v>
      </c>
      <c r="O892" s="802" t="s">
        <v>15293</v>
      </c>
      <c r="P892" s="807" t="s">
        <v>15294</v>
      </c>
    </row>
    <row r="893" spans="1:16" s="341" customFormat="1" ht="25.5" customHeight="1">
      <c r="A893" s="806" t="s">
        <v>109</v>
      </c>
      <c r="B893" s="800" t="s">
        <v>130</v>
      </c>
      <c r="C893" s="800" t="s">
        <v>261</v>
      </c>
      <c r="D893" s="800" t="s">
        <v>15295</v>
      </c>
      <c r="E893" s="801">
        <v>43018</v>
      </c>
      <c r="F893" s="800" t="s">
        <v>14433</v>
      </c>
      <c r="G893" s="800" t="s">
        <v>15296</v>
      </c>
      <c r="H893" s="800" t="s">
        <v>10404</v>
      </c>
      <c r="I893" s="800" t="s">
        <v>10404</v>
      </c>
      <c r="J893" s="800" t="s">
        <v>10405</v>
      </c>
      <c r="K893" s="800">
        <v>1</v>
      </c>
      <c r="L893" s="802" t="s">
        <v>10398</v>
      </c>
      <c r="M893" s="802" t="s">
        <v>15297</v>
      </c>
      <c r="N893" s="802" t="s">
        <v>15298</v>
      </c>
      <c r="O893" s="802" t="s">
        <v>15299</v>
      </c>
      <c r="P893" s="807" t="s">
        <v>15300</v>
      </c>
    </row>
    <row r="894" spans="1:16" s="341" customFormat="1" ht="25.5">
      <c r="A894" s="806" t="s">
        <v>109</v>
      </c>
      <c r="B894" s="800" t="s">
        <v>130</v>
      </c>
      <c r="C894" s="800" t="s">
        <v>261</v>
      </c>
      <c r="D894" s="800" t="s">
        <v>15301</v>
      </c>
      <c r="E894" s="801">
        <v>43018</v>
      </c>
      <c r="F894" s="800" t="s">
        <v>14433</v>
      </c>
      <c r="G894" s="800" t="s">
        <v>15302</v>
      </c>
      <c r="H894" s="800" t="s">
        <v>10404</v>
      </c>
      <c r="I894" s="800" t="s">
        <v>10404</v>
      </c>
      <c r="J894" s="800" t="s">
        <v>10405</v>
      </c>
      <c r="K894" s="800">
        <v>1</v>
      </c>
      <c r="L894" s="802" t="s">
        <v>10398</v>
      </c>
      <c r="M894" s="802" t="s">
        <v>15303</v>
      </c>
      <c r="N894" s="802" t="s">
        <v>15304</v>
      </c>
      <c r="O894" s="802" t="s">
        <v>15305</v>
      </c>
      <c r="P894" s="807" t="s">
        <v>15306</v>
      </c>
    </row>
    <row r="895" spans="1:16" s="341" customFormat="1" ht="25.5" customHeight="1">
      <c r="A895" s="806" t="s">
        <v>109</v>
      </c>
      <c r="B895" s="800" t="s">
        <v>130</v>
      </c>
      <c r="C895" s="800" t="s">
        <v>261</v>
      </c>
      <c r="D895" s="800" t="s">
        <v>15307</v>
      </c>
      <c r="E895" s="801">
        <v>43018</v>
      </c>
      <c r="F895" s="800" t="s">
        <v>32</v>
      </c>
      <c r="G895" s="800" t="s">
        <v>15302</v>
      </c>
      <c r="H895" s="800" t="s">
        <v>10404</v>
      </c>
      <c r="I895" s="800" t="s">
        <v>10404</v>
      </c>
      <c r="J895" s="800" t="s">
        <v>10405</v>
      </c>
      <c r="K895" s="800">
        <v>1</v>
      </c>
      <c r="L895" s="802" t="s">
        <v>10398</v>
      </c>
      <c r="M895" s="802" t="s">
        <v>15308</v>
      </c>
      <c r="N895" s="802" t="s">
        <v>15309</v>
      </c>
      <c r="O895" s="802" t="s">
        <v>15310</v>
      </c>
      <c r="P895" s="807" t="s">
        <v>15311</v>
      </c>
    </row>
    <row r="896" spans="1:16" s="341" customFormat="1" ht="25.5" customHeight="1">
      <c r="A896" s="806" t="s">
        <v>109</v>
      </c>
      <c r="B896" s="800" t="s">
        <v>130</v>
      </c>
      <c r="C896" s="800" t="s">
        <v>261</v>
      </c>
      <c r="D896" s="800" t="s">
        <v>15312</v>
      </c>
      <c r="E896" s="801">
        <v>43017</v>
      </c>
      <c r="F896" s="800" t="s">
        <v>15313</v>
      </c>
      <c r="G896" s="800" t="s">
        <v>15314</v>
      </c>
      <c r="H896" s="800" t="s">
        <v>10396</v>
      </c>
      <c r="I896" s="800" t="s">
        <v>10396</v>
      </c>
      <c r="J896" s="800" t="s">
        <v>10397</v>
      </c>
      <c r="K896" s="800">
        <v>1</v>
      </c>
      <c r="L896" s="802" t="s">
        <v>10398</v>
      </c>
      <c r="M896" s="802" t="s">
        <v>15315</v>
      </c>
      <c r="N896" s="802" t="s">
        <v>15316</v>
      </c>
      <c r="O896" s="802" t="s">
        <v>15317</v>
      </c>
      <c r="P896" s="807" t="s">
        <v>15318</v>
      </c>
    </row>
    <row r="897" spans="1:16" s="341" customFormat="1" ht="25.5" customHeight="1">
      <c r="A897" s="806" t="s">
        <v>109</v>
      </c>
      <c r="B897" s="800" t="s">
        <v>130</v>
      </c>
      <c r="C897" s="800" t="s">
        <v>261</v>
      </c>
      <c r="D897" s="800" t="s">
        <v>15319</v>
      </c>
      <c r="E897" s="801">
        <v>43017</v>
      </c>
      <c r="F897" s="800" t="s">
        <v>15320</v>
      </c>
      <c r="G897" s="800" t="s">
        <v>15321</v>
      </c>
      <c r="H897" s="800" t="s">
        <v>10396</v>
      </c>
      <c r="I897" s="800" t="s">
        <v>10396</v>
      </c>
      <c r="J897" s="800" t="s">
        <v>10405</v>
      </c>
      <c r="K897" s="800">
        <v>1</v>
      </c>
      <c r="L897" s="802" t="s">
        <v>10398</v>
      </c>
      <c r="M897" s="802" t="s">
        <v>15322</v>
      </c>
      <c r="N897" s="802" t="s">
        <v>15323</v>
      </c>
      <c r="O897" s="802" t="s">
        <v>15324</v>
      </c>
      <c r="P897" s="807" t="s">
        <v>32</v>
      </c>
    </row>
    <row r="898" spans="1:16" s="341" customFormat="1" ht="25.5" customHeight="1">
      <c r="A898" s="806" t="s">
        <v>109</v>
      </c>
      <c r="B898" s="800" t="s">
        <v>130</v>
      </c>
      <c r="C898" s="800" t="s">
        <v>261</v>
      </c>
      <c r="D898" s="800" t="s">
        <v>15325</v>
      </c>
      <c r="E898" s="801">
        <v>43017</v>
      </c>
      <c r="F898" s="800" t="s">
        <v>15326</v>
      </c>
      <c r="G898" s="800" t="s">
        <v>15327</v>
      </c>
      <c r="H898" s="800" t="s">
        <v>10396</v>
      </c>
      <c r="I898" s="800" t="s">
        <v>10396</v>
      </c>
      <c r="J898" s="800" t="s">
        <v>10397</v>
      </c>
      <c r="K898" s="800">
        <v>1</v>
      </c>
      <c r="L898" s="802" t="s">
        <v>10398</v>
      </c>
      <c r="M898" s="802" t="s">
        <v>32</v>
      </c>
      <c r="N898" s="802" t="s">
        <v>15328</v>
      </c>
      <c r="O898" s="802" t="s">
        <v>15329</v>
      </c>
      <c r="P898" s="807" t="s">
        <v>32</v>
      </c>
    </row>
    <row r="899" spans="1:16" s="341" customFormat="1" ht="25.5">
      <c r="A899" s="806" t="s">
        <v>109</v>
      </c>
      <c r="B899" s="800" t="s">
        <v>130</v>
      </c>
      <c r="C899" s="800" t="s">
        <v>261</v>
      </c>
      <c r="D899" s="800" t="s">
        <v>15330</v>
      </c>
      <c r="E899" s="801">
        <v>43019</v>
      </c>
      <c r="F899" s="800" t="s">
        <v>15331</v>
      </c>
      <c r="G899" s="800" t="s">
        <v>15332</v>
      </c>
      <c r="H899" s="800" t="s">
        <v>10396</v>
      </c>
      <c r="I899" s="800" t="s">
        <v>10396</v>
      </c>
      <c r="J899" s="800" t="s">
        <v>10405</v>
      </c>
      <c r="K899" s="800">
        <v>1</v>
      </c>
      <c r="L899" s="802" t="s">
        <v>10398</v>
      </c>
      <c r="M899" s="802" t="s">
        <v>32</v>
      </c>
      <c r="N899" s="802" t="s">
        <v>15333</v>
      </c>
      <c r="O899" s="802" t="s">
        <v>15334</v>
      </c>
      <c r="P899" s="807" t="s">
        <v>15335</v>
      </c>
    </row>
    <row r="900" spans="1:16" s="341" customFormat="1" ht="25.5">
      <c r="A900" s="806" t="s">
        <v>109</v>
      </c>
      <c r="B900" s="800" t="s">
        <v>130</v>
      </c>
      <c r="C900" s="800" t="s">
        <v>261</v>
      </c>
      <c r="D900" s="800" t="s">
        <v>15336</v>
      </c>
      <c r="E900" s="801">
        <v>43019</v>
      </c>
      <c r="F900" s="800" t="s">
        <v>13997</v>
      </c>
      <c r="G900" s="800" t="s">
        <v>15337</v>
      </c>
      <c r="H900" s="800" t="s">
        <v>10404</v>
      </c>
      <c r="I900" s="800" t="s">
        <v>10404</v>
      </c>
      <c r="J900" s="800" t="s">
        <v>10405</v>
      </c>
      <c r="K900" s="800">
        <v>1</v>
      </c>
      <c r="L900" s="802" t="s">
        <v>10398</v>
      </c>
      <c r="M900" s="802" t="s">
        <v>15338</v>
      </c>
      <c r="N900" s="802" t="s">
        <v>15339</v>
      </c>
      <c r="O900" s="802" t="s">
        <v>15340</v>
      </c>
      <c r="P900" s="807" t="s">
        <v>15341</v>
      </c>
    </row>
    <row r="901" spans="1:16" s="341" customFormat="1" ht="25.5">
      <c r="A901" s="806" t="s">
        <v>109</v>
      </c>
      <c r="B901" s="800" t="s">
        <v>130</v>
      </c>
      <c r="C901" s="800" t="s">
        <v>261</v>
      </c>
      <c r="D901" s="800" t="s">
        <v>15342</v>
      </c>
      <c r="E901" s="801">
        <v>43019</v>
      </c>
      <c r="F901" s="800" t="s">
        <v>15343</v>
      </c>
      <c r="G901" s="800" t="s">
        <v>15344</v>
      </c>
      <c r="H901" s="800" t="s">
        <v>10396</v>
      </c>
      <c r="I901" s="800" t="s">
        <v>10396</v>
      </c>
      <c r="J901" s="800" t="s">
        <v>10397</v>
      </c>
      <c r="K901" s="800">
        <v>1</v>
      </c>
      <c r="L901" s="802" t="s">
        <v>10398</v>
      </c>
      <c r="M901" s="802" t="s">
        <v>15345</v>
      </c>
      <c r="N901" s="802" t="s">
        <v>10698</v>
      </c>
      <c r="O901" s="802" t="s">
        <v>15346</v>
      </c>
      <c r="P901" s="807" t="s">
        <v>15347</v>
      </c>
    </row>
    <row r="902" spans="1:16" s="341" customFormat="1" ht="15">
      <c r="A902" s="806" t="s">
        <v>109</v>
      </c>
      <c r="B902" s="800" t="s">
        <v>130</v>
      </c>
      <c r="C902" s="800" t="s">
        <v>261</v>
      </c>
      <c r="D902" s="800" t="s">
        <v>15348</v>
      </c>
      <c r="E902" s="801">
        <v>43019</v>
      </c>
      <c r="F902" s="800" t="s">
        <v>15331</v>
      </c>
      <c r="G902" s="800" t="s">
        <v>15349</v>
      </c>
      <c r="H902" s="800" t="s">
        <v>10396</v>
      </c>
      <c r="I902" s="800" t="s">
        <v>10396</v>
      </c>
      <c r="J902" s="800" t="s">
        <v>10397</v>
      </c>
      <c r="K902" s="800">
        <v>1</v>
      </c>
      <c r="L902" s="802" t="s">
        <v>10398</v>
      </c>
      <c r="M902" s="802" t="s">
        <v>15350</v>
      </c>
      <c r="N902" s="802" t="s">
        <v>15351</v>
      </c>
      <c r="O902" s="802" t="s">
        <v>15352</v>
      </c>
      <c r="P902" s="807" t="s">
        <v>15353</v>
      </c>
    </row>
    <row r="903" spans="1:16" s="341" customFormat="1" ht="25.5" customHeight="1">
      <c r="A903" s="806" t="s">
        <v>109</v>
      </c>
      <c r="B903" s="800" t="s">
        <v>130</v>
      </c>
      <c r="C903" s="800" t="s">
        <v>261</v>
      </c>
      <c r="D903" s="800" t="s">
        <v>15354</v>
      </c>
      <c r="E903" s="801">
        <v>43019</v>
      </c>
      <c r="F903" s="800" t="s">
        <v>15355</v>
      </c>
      <c r="G903" s="800" t="s">
        <v>15356</v>
      </c>
      <c r="H903" s="800" t="s">
        <v>10404</v>
      </c>
      <c r="I903" s="800" t="s">
        <v>10404</v>
      </c>
      <c r="J903" s="800" t="s">
        <v>10405</v>
      </c>
      <c r="K903" s="800">
        <v>1</v>
      </c>
      <c r="L903" s="802" t="s">
        <v>10398</v>
      </c>
      <c r="M903" s="802" t="s">
        <v>15357</v>
      </c>
      <c r="N903" s="802" t="s">
        <v>12350</v>
      </c>
      <c r="O903" s="802" t="s">
        <v>15358</v>
      </c>
      <c r="P903" s="807" t="s">
        <v>15359</v>
      </c>
    </row>
    <row r="904" spans="1:16" s="341" customFormat="1" ht="25.5">
      <c r="A904" s="806" t="s">
        <v>109</v>
      </c>
      <c r="B904" s="800" t="s">
        <v>130</v>
      </c>
      <c r="C904" s="800" t="s">
        <v>261</v>
      </c>
      <c r="D904" s="800" t="s">
        <v>15360</v>
      </c>
      <c r="E904" s="801">
        <v>43017</v>
      </c>
      <c r="F904" s="800" t="s">
        <v>13997</v>
      </c>
      <c r="G904" s="800" t="s">
        <v>32</v>
      </c>
      <c r="H904" s="800" t="s">
        <v>10396</v>
      </c>
      <c r="I904" s="800" t="s">
        <v>10396</v>
      </c>
      <c r="J904" s="800" t="s">
        <v>10405</v>
      </c>
      <c r="K904" s="800">
        <v>1</v>
      </c>
      <c r="L904" s="802" t="s">
        <v>10398</v>
      </c>
      <c r="M904" s="802" t="s">
        <v>15361</v>
      </c>
      <c r="N904" s="802" t="s">
        <v>14580</v>
      </c>
      <c r="O904" s="802" t="s">
        <v>15362</v>
      </c>
      <c r="P904" s="807" t="s">
        <v>32</v>
      </c>
    </row>
    <row r="905" spans="1:16" s="341" customFormat="1" ht="25.5">
      <c r="A905" s="806" t="s">
        <v>109</v>
      </c>
      <c r="B905" s="800" t="s">
        <v>130</v>
      </c>
      <c r="C905" s="800" t="s">
        <v>261</v>
      </c>
      <c r="D905" s="800" t="s">
        <v>15363</v>
      </c>
      <c r="E905" s="801">
        <v>43017</v>
      </c>
      <c r="F905" s="800" t="s">
        <v>15364</v>
      </c>
      <c r="G905" s="800" t="s">
        <v>15365</v>
      </c>
      <c r="H905" s="800" t="s">
        <v>10531</v>
      </c>
      <c r="I905" s="800" t="s">
        <v>10531</v>
      </c>
      <c r="J905" s="800" t="s">
        <v>10397</v>
      </c>
      <c r="K905" s="800">
        <v>1</v>
      </c>
      <c r="L905" s="802" t="s">
        <v>10398</v>
      </c>
      <c r="M905" s="802" t="s">
        <v>15366</v>
      </c>
      <c r="N905" s="802" t="s">
        <v>15367</v>
      </c>
      <c r="O905" s="802" t="s">
        <v>15368</v>
      </c>
      <c r="P905" s="807" t="s">
        <v>15369</v>
      </c>
    </row>
    <row r="906" spans="1:16" s="341" customFormat="1" ht="25.5">
      <c r="A906" s="806" t="s">
        <v>109</v>
      </c>
      <c r="B906" s="800" t="s">
        <v>130</v>
      </c>
      <c r="C906" s="800" t="s">
        <v>261</v>
      </c>
      <c r="D906" s="800" t="s">
        <v>15370</v>
      </c>
      <c r="E906" s="801">
        <v>43017</v>
      </c>
      <c r="F906" s="800" t="s">
        <v>15364</v>
      </c>
      <c r="G906" s="800" t="s">
        <v>15365</v>
      </c>
      <c r="H906" s="800" t="s">
        <v>10531</v>
      </c>
      <c r="I906" s="800" t="s">
        <v>10531</v>
      </c>
      <c r="J906" s="800" t="s">
        <v>10397</v>
      </c>
      <c r="K906" s="800">
        <v>1</v>
      </c>
      <c r="L906" s="802" t="s">
        <v>11026</v>
      </c>
      <c r="M906" s="802" t="s">
        <v>15371</v>
      </c>
      <c r="N906" s="802" t="s">
        <v>15372</v>
      </c>
      <c r="O906" s="802" t="s">
        <v>15373</v>
      </c>
      <c r="P906" s="807" t="s">
        <v>15374</v>
      </c>
    </row>
    <row r="907" spans="1:16" s="341" customFormat="1" ht="25.5">
      <c r="A907" s="806" t="s">
        <v>109</v>
      </c>
      <c r="B907" s="800" t="s">
        <v>130</v>
      </c>
      <c r="C907" s="800" t="s">
        <v>261</v>
      </c>
      <c r="D907" s="800" t="s">
        <v>15375</v>
      </c>
      <c r="E907" s="801">
        <v>43017</v>
      </c>
      <c r="F907" s="800" t="s">
        <v>13997</v>
      </c>
      <c r="G907" s="800" t="s">
        <v>15364</v>
      </c>
      <c r="H907" s="800" t="s">
        <v>10396</v>
      </c>
      <c r="I907" s="800" t="s">
        <v>10396</v>
      </c>
      <c r="J907" s="800" t="s">
        <v>10397</v>
      </c>
      <c r="K907" s="800">
        <v>1</v>
      </c>
      <c r="L907" s="802" t="s">
        <v>10605</v>
      </c>
      <c r="M907" s="802" t="s">
        <v>32</v>
      </c>
      <c r="N907" s="802" t="s">
        <v>15376</v>
      </c>
      <c r="O907" s="802" t="s">
        <v>15377</v>
      </c>
      <c r="P907" s="807" t="s">
        <v>32</v>
      </c>
    </row>
    <row r="908" spans="1:16" s="341" customFormat="1" ht="15" customHeight="1">
      <c r="A908" s="806" t="s">
        <v>109</v>
      </c>
      <c r="B908" s="800" t="s">
        <v>130</v>
      </c>
      <c r="C908" s="800" t="s">
        <v>261</v>
      </c>
      <c r="D908" s="800" t="s">
        <v>15378</v>
      </c>
      <c r="E908" s="801">
        <v>43018</v>
      </c>
      <c r="F908" s="800" t="s">
        <v>13997</v>
      </c>
      <c r="G908" s="800" t="s">
        <v>15379</v>
      </c>
      <c r="H908" s="800" t="s">
        <v>10433</v>
      </c>
      <c r="I908" s="800" t="s">
        <v>10433</v>
      </c>
      <c r="J908" s="800" t="s">
        <v>10447</v>
      </c>
      <c r="K908" s="800">
        <v>1</v>
      </c>
      <c r="L908" s="802" t="s">
        <v>10605</v>
      </c>
      <c r="M908" s="802" t="s">
        <v>32</v>
      </c>
      <c r="N908" s="802" t="s">
        <v>15380</v>
      </c>
      <c r="O908" s="802" t="s">
        <v>15381</v>
      </c>
      <c r="P908" s="807" t="s">
        <v>32</v>
      </c>
    </row>
    <row r="909" spans="1:16" s="341" customFormat="1" ht="25.5">
      <c r="A909" s="806" t="s">
        <v>109</v>
      </c>
      <c r="B909" s="800" t="s">
        <v>130</v>
      </c>
      <c r="C909" s="800" t="s">
        <v>261</v>
      </c>
      <c r="D909" s="800" t="s">
        <v>15382</v>
      </c>
      <c r="E909" s="801">
        <v>43018</v>
      </c>
      <c r="F909" s="800" t="s">
        <v>13997</v>
      </c>
      <c r="G909" s="800" t="s">
        <v>15383</v>
      </c>
      <c r="H909" s="800" t="s">
        <v>10531</v>
      </c>
      <c r="I909" s="800" t="s">
        <v>10531</v>
      </c>
      <c r="J909" s="800" t="s">
        <v>10397</v>
      </c>
      <c r="K909" s="800">
        <v>1</v>
      </c>
      <c r="L909" s="802" t="s">
        <v>10605</v>
      </c>
      <c r="M909" s="802" t="s">
        <v>32</v>
      </c>
      <c r="N909" s="802" t="s">
        <v>12328</v>
      </c>
      <c r="O909" s="802" t="s">
        <v>15384</v>
      </c>
      <c r="P909" s="807" t="s">
        <v>32</v>
      </c>
    </row>
    <row r="910" spans="1:16" s="341" customFormat="1" ht="15" customHeight="1">
      <c r="A910" s="806" t="s">
        <v>109</v>
      </c>
      <c r="B910" s="800" t="s">
        <v>130</v>
      </c>
      <c r="C910" s="800" t="s">
        <v>261</v>
      </c>
      <c r="D910" s="800" t="s">
        <v>15385</v>
      </c>
      <c r="E910" s="801">
        <v>43018</v>
      </c>
      <c r="F910" s="800" t="s">
        <v>15364</v>
      </c>
      <c r="G910" s="800" t="s">
        <v>15386</v>
      </c>
      <c r="H910" s="800" t="s">
        <v>10433</v>
      </c>
      <c r="I910" s="800" t="s">
        <v>10433</v>
      </c>
      <c r="J910" s="800" t="s">
        <v>10447</v>
      </c>
      <c r="K910" s="800">
        <v>1</v>
      </c>
      <c r="L910" s="802" t="s">
        <v>10605</v>
      </c>
      <c r="M910" s="802" t="s">
        <v>32</v>
      </c>
      <c r="N910" s="802" t="s">
        <v>15387</v>
      </c>
      <c r="O910" s="802" t="s">
        <v>15388</v>
      </c>
      <c r="P910" s="807" t="s">
        <v>32</v>
      </c>
    </row>
    <row r="911" spans="1:16" s="341" customFormat="1" ht="25.5" customHeight="1">
      <c r="A911" s="806" t="s">
        <v>109</v>
      </c>
      <c r="B911" s="800" t="s">
        <v>130</v>
      </c>
      <c r="C911" s="800" t="s">
        <v>261</v>
      </c>
      <c r="D911" s="800" t="s">
        <v>15389</v>
      </c>
      <c r="E911" s="801">
        <v>43018</v>
      </c>
      <c r="F911" s="800" t="s">
        <v>15390</v>
      </c>
      <c r="G911" s="800" t="s">
        <v>15391</v>
      </c>
      <c r="H911" s="800" t="s">
        <v>10433</v>
      </c>
      <c r="I911" s="800" t="s">
        <v>10433</v>
      </c>
      <c r="J911" s="800" t="s">
        <v>10447</v>
      </c>
      <c r="K911" s="800">
        <v>1</v>
      </c>
      <c r="L911" s="802" t="s">
        <v>10398</v>
      </c>
      <c r="M911" s="802" t="s">
        <v>15392</v>
      </c>
      <c r="N911" s="802" t="s">
        <v>15393</v>
      </c>
      <c r="O911" s="802" t="s">
        <v>15394</v>
      </c>
      <c r="P911" s="807" t="s">
        <v>32</v>
      </c>
    </row>
    <row r="912" spans="1:16" s="341" customFormat="1" ht="25.5">
      <c r="A912" s="806" t="s">
        <v>109</v>
      </c>
      <c r="B912" s="800" t="s">
        <v>130</v>
      </c>
      <c r="C912" s="800" t="s">
        <v>261</v>
      </c>
      <c r="D912" s="800" t="s">
        <v>15395</v>
      </c>
      <c r="E912" s="801">
        <v>43018</v>
      </c>
      <c r="F912" s="800" t="s">
        <v>15390</v>
      </c>
      <c r="G912" s="800" t="s">
        <v>15396</v>
      </c>
      <c r="H912" s="800" t="s">
        <v>10433</v>
      </c>
      <c r="I912" s="800" t="s">
        <v>10433</v>
      </c>
      <c r="J912" s="800" t="s">
        <v>10447</v>
      </c>
      <c r="K912" s="800">
        <v>1</v>
      </c>
      <c r="L912" s="802" t="s">
        <v>10398</v>
      </c>
      <c r="M912" s="802" t="s">
        <v>15397</v>
      </c>
      <c r="N912" s="802" t="s">
        <v>15398</v>
      </c>
      <c r="O912" s="802" t="s">
        <v>15399</v>
      </c>
      <c r="P912" s="807" t="s">
        <v>32</v>
      </c>
    </row>
    <row r="913" spans="1:16" s="341" customFormat="1" ht="25.5">
      <c r="A913" s="806" t="s">
        <v>109</v>
      </c>
      <c r="B913" s="800" t="s">
        <v>130</v>
      </c>
      <c r="C913" s="800" t="s">
        <v>261</v>
      </c>
      <c r="D913" s="800" t="s">
        <v>15400</v>
      </c>
      <c r="E913" s="801">
        <v>43018</v>
      </c>
      <c r="F913" s="800" t="s">
        <v>15390</v>
      </c>
      <c r="G913" s="800" t="s">
        <v>15401</v>
      </c>
      <c r="H913" s="800" t="s">
        <v>10433</v>
      </c>
      <c r="I913" s="800" t="s">
        <v>10433</v>
      </c>
      <c r="J913" s="800" t="s">
        <v>10447</v>
      </c>
      <c r="K913" s="800">
        <v>1</v>
      </c>
      <c r="L913" s="802" t="s">
        <v>10605</v>
      </c>
      <c r="M913" s="802" t="s">
        <v>32</v>
      </c>
      <c r="N913" s="802" t="s">
        <v>15402</v>
      </c>
      <c r="O913" s="802" t="s">
        <v>15403</v>
      </c>
      <c r="P913" s="807" t="s">
        <v>32</v>
      </c>
    </row>
    <row r="914" spans="1:16" s="341" customFormat="1" ht="25.5">
      <c r="A914" s="806" t="s">
        <v>109</v>
      </c>
      <c r="B914" s="800" t="s">
        <v>130</v>
      </c>
      <c r="C914" s="800" t="s">
        <v>261</v>
      </c>
      <c r="D914" s="800" t="s">
        <v>15404</v>
      </c>
      <c r="E914" s="801">
        <v>43019</v>
      </c>
      <c r="F914" s="800" t="s">
        <v>15405</v>
      </c>
      <c r="G914" s="800" t="s">
        <v>15406</v>
      </c>
      <c r="H914" s="800" t="s">
        <v>10531</v>
      </c>
      <c r="I914" s="800" t="s">
        <v>10531</v>
      </c>
      <c r="J914" s="800" t="s">
        <v>4342</v>
      </c>
      <c r="K914" s="800">
        <v>1</v>
      </c>
      <c r="L914" s="802" t="s">
        <v>10398</v>
      </c>
      <c r="M914" s="802" t="s">
        <v>15407</v>
      </c>
      <c r="N914" s="802" t="s">
        <v>13617</v>
      </c>
      <c r="O914" s="802" t="s">
        <v>13961</v>
      </c>
      <c r="P914" s="807" t="s">
        <v>15353</v>
      </c>
    </row>
    <row r="915" spans="1:16" s="341" customFormat="1" ht="25.5">
      <c r="A915" s="806" t="s">
        <v>109</v>
      </c>
      <c r="B915" s="800" t="s">
        <v>130</v>
      </c>
      <c r="C915" s="800" t="s">
        <v>261</v>
      </c>
      <c r="D915" s="800" t="s">
        <v>15408</v>
      </c>
      <c r="E915" s="801">
        <v>43019</v>
      </c>
      <c r="F915" s="800" t="s">
        <v>13997</v>
      </c>
      <c r="G915" s="800" t="s">
        <v>15409</v>
      </c>
      <c r="H915" s="800" t="s">
        <v>10396</v>
      </c>
      <c r="I915" s="800" t="s">
        <v>10396</v>
      </c>
      <c r="J915" s="800" t="s">
        <v>4342</v>
      </c>
      <c r="K915" s="800">
        <v>1</v>
      </c>
      <c r="L915" s="802" t="s">
        <v>10398</v>
      </c>
      <c r="M915" s="802" t="s">
        <v>15410</v>
      </c>
      <c r="N915" s="802" t="s">
        <v>15411</v>
      </c>
      <c r="O915" s="802" t="s">
        <v>15412</v>
      </c>
      <c r="P915" s="807" t="s">
        <v>15341</v>
      </c>
    </row>
    <row r="916" spans="1:16" s="341" customFormat="1" ht="25.5" customHeight="1">
      <c r="A916" s="806" t="s">
        <v>109</v>
      </c>
      <c r="B916" s="800" t="s">
        <v>130</v>
      </c>
      <c r="C916" s="800" t="s">
        <v>261</v>
      </c>
      <c r="D916" s="800" t="s">
        <v>15413</v>
      </c>
      <c r="E916" s="801">
        <v>43019</v>
      </c>
      <c r="F916" s="800" t="s">
        <v>13997</v>
      </c>
      <c r="G916" s="800" t="s">
        <v>32</v>
      </c>
      <c r="H916" s="800" t="s">
        <v>10433</v>
      </c>
      <c r="I916" s="800" t="s">
        <v>10433</v>
      </c>
      <c r="J916" s="800" t="s">
        <v>10447</v>
      </c>
      <c r="K916" s="800">
        <v>1</v>
      </c>
      <c r="L916" s="802" t="s">
        <v>10398</v>
      </c>
      <c r="M916" s="802" t="s">
        <v>15414</v>
      </c>
      <c r="N916" s="802" t="s">
        <v>15415</v>
      </c>
      <c r="O916" s="802" t="s">
        <v>15416</v>
      </c>
      <c r="P916" s="807" t="s">
        <v>32</v>
      </c>
    </row>
    <row r="917" spans="1:16" s="341" customFormat="1" ht="15" customHeight="1">
      <c r="A917" s="806" t="s">
        <v>109</v>
      </c>
      <c r="B917" s="800" t="s">
        <v>130</v>
      </c>
      <c r="C917" s="800" t="s">
        <v>261</v>
      </c>
      <c r="D917" s="800" t="s">
        <v>15417</v>
      </c>
      <c r="E917" s="801">
        <v>43019</v>
      </c>
      <c r="F917" s="800" t="s">
        <v>15405</v>
      </c>
      <c r="G917" s="800" t="s">
        <v>15418</v>
      </c>
      <c r="H917" s="800" t="s">
        <v>10396</v>
      </c>
      <c r="I917" s="800" t="s">
        <v>10396</v>
      </c>
      <c r="J917" s="800" t="s">
        <v>4342</v>
      </c>
      <c r="K917" s="800">
        <v>1</v>
      </c>
      <c r="L917" s="802" t="s">
        <v>10398</v>
      </c>
      <c r="M917" s="802" t="s">
        <v>15419</v>
      </c>
      <c r="N917" s="802" t="s">
        <v>15420</v>
      </c>
      <c r="O917" s="802" t="s">
        <v>15340</v>
      </c>
      <c r="P917" s="807" t="s">
        <v>15341</v>
      </c>
    </row>
    <row r="918" spans="1:16" s="341" customFormat="1" ht="25.5" customHeight="1">
      <c r="A918" s="806" t="s">
        <v>109</v>
      </c>
      <c r="B918" s="800" t="s">
        <v>130</v>
      </c>
      <c r="C918" s="800" t="s">
        <v>261</v>
      </c>
      <c r="D918" s="800" t="s">
        <v>15421</v>
      </c>
      <c r="E918" s="801">
        <v>43019</v>
      </c>
      <c r="F918" s="800" t="s">
        <v>15405</v>
      </c>
      <c r="G918" s="800" t="s">
        <v>15422</v>
      </c>
      <c r="H918" s="800" t="s">
        <v>10433</v>
      </c>
      <c r="I918" s="800" t="s">
        <v>10433</v>
      </c>
      <c r="J918" s="800" t="s">
        <v>10447</v>
      </c>
      <c r="K918" s="800">
        <v>1</v>
      </c>
      <c r="L918" s="802" t="s">
        <v>10398</v>
      </c>
      <c r="M918" s="802" t="s">
        <v>15423</v>
      </c>
      <c r="N918" s="802" t="s">
        <v>15424</v>
      </c>
      <c r="O918" s="802" t="s">
        <v>15425</v>
      </c>
      <c r="P918" s="807" t="s">
        <v>15353</v>
      </c>
    </row>
    <row r="919" spans="1:16" s="341" customFormat="1" ht="25.5" customHeight="1">
      <c r="A919" s="806" t="s">
        <v>109</v>
      </c>
      <c r="B919" s="800" t="s">
        <v>130</v>
      </c>
      <c r="C919" s="800" t="s">
        <v>261</v>
      </c>
      <c r="D919" s="800" t="s">
        <v>15426</v>
      </c>
      <c r="E919" s="801">
        <v>43020</v>
      </c>
      <c r="F919" s="800" t="s">
        <v>13997</v>
      </c>
      <c r="G919" s="800" t="s">
        <v>15427</v>
      </c>
      <c r="H919" s="800" t="s">
        <v>10433</v>
      </c>
      <c r="I919" s="800" t="s">
        <v>10433</v>
      </c>
      <c r="J919" s="800" t="s">
        <v>10447</v>
      </c>
      <c r="K919" s="800">
        <v>1</v>
      </c>
      <c r="L919" s="802" t="s">
        <v>10398</v>
      </c>
      <c r="M919" s="802" t="s">
        <v>15428</v>
      </c>
      <c r="N919" s="802" t="s">
        <v>11848</v>
      </c>
      <c r="O919" s="802" t="s">
        <v>15429</v>
      </c>
      <c r="P919" s="807" t="s">
        <v>15430</v>
      </c>
    </row>
    <row r="920" spans="1:16" s="341" customFormat="1" ht="25.5" customHeight="1">
      <c r="A920" s="806" t="s">
        <v>109</v>
      </c>
      <c r="B920" s="800" t="s">
        <v>130</v>
      </c>
      <c r="C920" s="800" t="s">
        <v>261</v>
      </c>
      <c r="D920" s="800" t="s">
        <v>15431</v>
      </c>
      <c r="E920" s="801">
        <v>43020</v>
      </c>
      <c r="F920" s="800" t="s">
        <v>13997</v>
      </c>
      <c r="G920" s="800" t="s">
        <v>15432</v>
      </c>
      <c r="H920" s="800" t="s">
        <v>10433</v>
      </c>
      <c r="I920" s="800" t="s">
        <v>10433</v>
      </c>
      <c r="J920" s="800" t="s">
        <v>10447</v>
      </c>
      <c r="K920" s="800">
        <v>1</v>
      </c>
      <c r="L920" s="802" t="s">
        <v>11026</v>
      </c>
      <c r="M920" s="802" t="s">
        <v>15433</v>
      </c>
      <c r="N920" s="802" t="s">
        <v>15434</v>
      </c>
      <c r="O920" s="802" t="s">
        <v>15435</v>
      </c>
      <c r="P920" s="807" t="s">
        <v>15436</v>
      </c>
    </row>
    <row r="921" spans="1:16" s="341" customFormat="1" ht="25.5" customHeight="1">
      <c r="A921" s="806" t="s">
        <v>109</v>
      </c>
      <c r="B921" s="800" t="s">
        <v>130</v>
      </c>
      <c r="C921" s="800" t="s">
        <v>261</v>
      </c>
      <c r="D921" s="800" t="s">
        <v>15437</v>
      </c>
      <c r="E921" s="801">
        <v>43020</v>
      </c>
      <c r="F921" s="800" t="s">
        <v>13997</v>
      </c>
      <c r="G921" s="800" t="s">
        <v>15438</v>
      </c>
      <c r="H921" s="800" t="s">
        <v>10433</v>
      </c>
      <c r="I921" s="800" t="s">
        <v>10433</v>
      </c>
      <c r="J921" s="800" t="s">
        <v>10447</v>
      </c>
      <c r="K921" s="800">
        <v>1</v>
      </c>
      <c r="L921" s="802" t="s">
        <v>10398</v>
      </c>
      <c r="M921" s="802" t="s">
        <v>15439</v>
      </c>
      <c r="N921" s="802" t="s">
        <v>12254</v>
      </c>
      <c r="O921" s="802" t="s">
        <v>15440</v>
      </c>
      <c r="P921" s="807" t="s">
        <v>15441</v>
      </c>
    </row>
    <row r="922" spans="1:16" s="341" customFormat="1" ht="25.5" customHeight="1">
      <c r="A922" s="806" t="s">
        <v>109</v>
      </c>
      <c r="B922" s="800" t="s">
        <v>130</v>
      </c>
      <c r="C922" s="800" t="s">
        <v>261</v>
      </c>
      <c r="D922" s="800" t="s">
        <v>15442</v>
      </c>
      <c r="E922" s="801">
        <v>43020</v>
      </c>
      <c r="F922" s="800" t="s">
        <v>13997</v>
      </c>
      <c r="G922" s="800" t="s">
        <v>15443</v>
      </c>
      <c r="H922" s="800" t="s">
        <v>10531</v>
      </c>
      <c r="I922" s="800" t="s">
        <v>10531</v>
      </c>
      <c r="J922" s="800" t="s">
        <v>4342</v>
      </c>
      <c r="K922" s="800">
        <v>1</v>
      </c>
      <c r="L922" s="802" t="s">
        <v>10398</v>
      </c>
      <c r="M922" s="802" t="s">
        <v>15444</v>
      </c>
      <c r="N922" s="802" t="s">
        <v>15445</v>
      </c>
      <c r="O922" s="802" t="s">
        <v>15446</v>
      </c>
      <c r="P922" s="807" t="s">
        <v>32</v>
      </c>
    </row>
    <row r="923" spans="1:16" s="341" customFormat="1" ht="15" customHeight="1">
      <c r="A923" s="806" t="s">
        <v>109</v>
      </c>
      <c r="B923" s="800" t="s">
        <v>130</v>
      </c>
      <c r="C923" s="800" t="s">
        <v>261</v>
      </c>
      <c r="D923" s="800" t="s">
        <v>15447</v>
      </c>
      <c r="E923" s="801">
        <v>43020</v>
      </c>
      <c r="F923" s="800" t="s">
        <v>13997</v>
      </c>
      <c r="G923" s="800" t="s">
        <v>15448</v>
      </c>
      <c r="H923" s="800" t="s">
        <v>10531</v>
      </c>
      <c r="I923" s="800" t="s">
        <v>10531</v>
      </c>
      <c r="J923" s="800" t="s">
        <v>4342</v>
      </c>
      <c r="K923" s="800">
        <v>1</v>
      </c>
      <c r="L923" s="802" t="s">
        <v>10398</v>
      </c>
      <c r="M923" s="802" t="s">
        <v>15449</v>
      </c>
      <c r="N923" s="802" t="s">
        <v>15450</v>
      </c>
      <c r="O923" s="802" t="s">
        <v>14669</v>
      </c>
      <c r="P923" s="807" t="s">
        <v>15451</v>
      </c>
    </row>
    <row r="924" spans="1:16" s="341" customFormat="1" ht="25.5" customHeight="1">
      <c r="A924" s="806" t="s">
        <v>109</v>
      </c>
      <c r="B924" s="800" t="s">
        <v>130</v>
      </c>
      <c r="C924" s="800" t="s">
        <v>261</v>
      </c>
      <c r="D924" s="800" t="s">
        <v>15452</v>
      </c>
      <c r="E924" s="801">
        <v>43020</v>
      </c>
      <c r="F924" s="800" t="s">
        <v>13997</v>
      </c>
      <c r="G924" s="800" t="s">
        <v>15453</v>
      </c>
      <c r="H924" s="800" t="s">
        <v>10433</v>
      </c>
      <c r="I924" s="800" t="s">
        <v>10433</v>
      </c>
      <c r="J924" s="800" t="s">
        <v>10447</v>
      </c>
      <c r="K924" s="800">
        <v>1</v>
      </c>
      <c r="L924" s="802" t="s">
        <v>10398</v>
      </c>
      <c r="M924" s="802" t="s">
        <v>15454</v>
      </c>
      <c r="N924" s="802" t="s">
        <v>15455</v>
      </c>
      <c r="O924" s="802" t="s">
        <v>15456</v>
      </c>
      <c r="P924" s="807" t="s">
        <v>15457</v>
      </c>
    </row>
    <row r="925" spans="1:16" s="341" customFormat="1" ht="25.5" customHeight="1">
      <c r="A925" s="806" t="s">
        <v>109</v>
      </c>
      <c r="B925" s="800" t="s">
        <v>130</v>
      </c>
      <c r="C925" s="800" t="s">
        <v>261</v>
      </c>
      <c r="D925" s="800" t="s">
        <v>15458</v>
      </c>
      <c r="E925" s="801">
        <v>43020</v>
      </c>
      <c r="F925" s="800" t="s">
        <v>13997</v>
      </c>
      <c r="G925" s="800" t="s">
        <v>15459</v>
      </c>
      <c r="H925" s="800" t="s">
        <v>10433</v>
      </c>
      <c r="I925" s="800" t="s">
        <v>10433</v>
      </c>
      <c r="J925" s="800" t="s">
        <v>10447</v>
      </c>
      <c r="K925" s="800">
        <v>1</v>
      </c>
      <c r="L925" s="802" t="s">
        <v>10398</v>
      </c>
      <c r="M925" s="802" t="s">
        <v>15460</v>
      </c>
      <c r="N925" s="802" t="s">
        <v>14542</v>
      </c>
      <c r="O925" s="802" t="s">
        <v>14080</v>
      </c>
      <c r="P925" s="807" t="s">
        <v>32</v>
      </c>
    </row>
    <row r="926" spans="1:16" s="341" customFormat="1" ht="25.5" customHeight="1">
      <c r="A926" s="806" t="s">
        <v>109</v>
      </c>
      <c r="B926" s="800" t="s">
        <v>130</v>
      </c>
      <c r="C926" s="800" t="s">
        <v>261</v>
      </c>
      <c r="D926" s="800" t="s">
        <v>15461</v>
      </c>
      <c r="E926" s="801">
        <v>43020</v>
      </c>
      <c r="F926" s="800" t="s">
        <v>13997</v>
      </c>
      <c r="G926" s="800" t="s">
        <v>15462</v>
      </c>
      <c r="H926" s="800" t="s">
        <v>10433</v>
      </c>
      <c r="I926" s="800" t="s">
        <v>10433</v>
      </c>
      <c r="J926" s="800" t="s">
        <v>10447</v>
      </c>
      <c r="K926" s="800">
        <v>1</v>
      </c>
      <c r="L926" s="802" t="s">
        <v>10398</v>
      </c>
      <c r="M926" s="802" t="s">
        <v>15463</v>
      </c>
      <c r="N926" s="802" t="s">
        <v>15464</v>
      </c>
      <c r="O926" s="802" t="s">
        <v>15465</v>
      </c>
      <c r="P926" s="807" t="s">
        <v>15466</v>
      </c>
    </row>
    <row r="927" spans="1:16" s="341" customFormat="1" ht="25.5" customHeight="1">
      <c r="A927" s="806" t="s">
        <v>109</v>
      </c>
      <c r="B927" s="800" t="s">
        <v>130</v>
      </c>
      <c r="C927" s="800" t="s">
        <v>261</v>
      </c>
      <c r="D927" s="800" t="s">
        <v>15467</v>
      </c>
      <c r="E927" s="801">
        <v>43020</v>
      </c>
      <c r="F927" s="800" t="s">
        <v>13997</v>
      </c>
      <c r="G927" s="800" t="s">
        <v>15468</v>
      </c>
      <c r="H927" s="800" t="s">
        <v>10433</v>
      </c>
      <c r="I927" s="800" t="s">
        <v>10433</v>
      </c>
      <c r="J927" s="800" t="s">
        <v>10447</v>
      </c>
      <c r="K927" s="800">
        <v>1</v>
      </c>
      <c r="L927" s="802" t="s">
        <v>10398</v>
      </c>
      <c r="M927" s="802" t="s">
        <v>15469</v>
      </c>
      <c r="N927" s="802" t="s">
        <v>15470</v>
      </c>
      <c r="O927" s="802" t="s">
        <v>15471</v>
      </c>
      <c r="P927" s="807" t="s">
        <v>32</v>
      </c>
    </row>
    <row r="928" spans="1:16" s="341" customFormat="1" ht="25.5" customHeight="1">
      <c r="A928" s="806" t="s">
        <v>109</v>
      </c>
      <c r="B928" s="800" t="s">
        <v>130</v>
      </c>
      <c r="C928" s="800" t="s">
        <v>261</v>
      </c>
      <c r="D928" s="800" t="s">
        <v>15472</v>
      </c>
      <c r="E928" s="801">
        <v>43017</v>
      </c>
      <c r="F928" s="800" t="s">
        <v>15364</v>
      </c>
      <c r="G928" s="800" t="s">
        <v>15364</v>
      </c>
      <c r="H928" s="800" t="s">
        <v>10433</v>
      </c>
      <c r="I928" s="800" t="s">
        <v>10433</v>
      </c>
      <c r="J928" s="800" t="s">
        <v>10447</v>
      </c>
      <c r="K928" s="800">
        <v>1</v>
      </c>
      <c r="L928" s="802" t="s">
        <v>10398</v>
      </c>
      <c r="M928" s="802" t="s">
        <v>32</v>
      </c>
      <c r="N928" s="802" t="s">
        <v>15473</v>
      </c>
      <c r="O928" s="802" t="s">
        <v>15474</v>
      </c>
      <c r="P928" s="807" t="s">
        <v>32</v>
      </c>
    </row>
    <row r="929" spans="1:16" s="341" customFormat="1" ht="25.5">
      <c r="A929" s="806" t="s">
        <v>109</v>
      </c>
      <c r="B929" s="800" t="s">
        <v>130</v>
      </c>
      <c r="C929" s="800" t="s">
        <v>261</v>
      </c>
      <c r="D929" s="800" t="s">
        <v>15475</v>
      </c>
      <c r="E929" s="801">
        <v>43017</v>
      </c>
      <c r="F929" s="800" t="s">
        <v>15364</v>
      </c>
      <c r="G929" s="800" t="s">
        <v>15364</v>
      </c>
      <c r="H929" s="800" t="s">
        <v>10433</v>
      </c>
      <c r="I929" s="800" t="s">
        <v>10433</v>
      </c>
      <c r="J929" s="800" t="s">
        <v>10447</v>
      </c>
      <c r="K929" s="800">
        <v>1</v>
      </c>
      <c r="L929" s="802" t="s">
        <v>10398</v>
      </c>
      <c r="M929" s="802" t="s">
        <v>32</v>
      </c>
      <c r="N929" s="802" t="s">
        <v>15476</v>
      </c>
      <c r="O929" s="802" t="s">
        <v>15474</v>
      </c>
      <c r="P929" s="807" t="s">
        <v>32</v>
      </c>
    </row>
    <row r="930" spans="1:16" s="341" customFormat="1" ht="25.5">
      <c r="A930" s="806" t="s">
        <v>109</v>
      </c>
      <c r="B930" s="800" t="s">
        <v>130</v>
      </c>
      <c r="C930" s="800" t="s">
        <v>261</v>
      </c>
      <c r="D930" s="800" t="s">
        <v>15477</v>
      </c>
      <c r="E930" s="801">
        <v>43017</v>
      </c>
      <c r="F930" s="800" t="s">
        <v>13997</v>
      </c>
      <c r="G930" s="800" t="s">
        <v>15478</v>
      </c>
      <c r="H930" s="800" t="s">
        <v>10433</v>
      </c>
      <c r="I930" s="800" t="s">
        <v>10433</v>
      </c>
      <c r="J930" s="800" t="s">
        <v>10447</v>
      </c>
      <c r="K930" s="800">
        <v>1</v>
      </c>
      <c r="L930" s="802" t="s">
        <v>10398</v>
      </c>
      <c r="M930" s="802" t="s">
        <v>15479</v>
      </c>
      <c r="N930" s="802" t="s">
        <v>15480</v>
      </c>
      <c r="O930" s="802" t="s">
        <v>15481</v>
      </c>
      <c r="P930" s="807" t="s">
        <v>32</v>
      </c>
    </row>
    <row r="931" spans="1:16" s="341" customFormat="1" ht="25.5" customHeight="1">
      <c r="A931" s="806" t="s">
        <v>109</v>
      </c>
      <c r="B931" s="800" t="s">
        <v>130</v>
      </c>
      <c r="C931" s="800" t="s">
        <v>261</v>
      </c>
      <c r="D931" s="800" t="s">
        <v>15482</v>
      </c>
      <c r="E931" s="801">
        <v>43017</v>
      </c>
      <c r="F931" s="800" t="s">
        <v>15364</v>
      </c>
      <c r="G931" s="800" t="s">
        <v>15364</v>
      </c>
      <c r="H931" s="800" t="s">
        <v>10433</v>
      </c>
      <c r="I931" s="800" t="s">
        <v>10433</v>
      </c>
      <c r="J931" s="800" t="s">
        <v>10447</v>
      </c>
      <c r="K931" s="800">
        <v>1</v>
      </c>
      <c r="L931" s="802" t="s">
        <v>10398</v>
      </c>
      <c r="M931" s="802" t="s">
        <v>15483</v>
      </c>
      <c r="N931" s="802" t="s">
        <v>10596</v>
      </c>
      <c r="O931" s="802" t="s">
        <v>15484</v>
      </c>
      <c r="P931" s="807" t="s">
        <v>32</v>
      </c>
    </row>
    <row r="932" spans="1:16" s="341" customFormat="1" ht="25.5" customHeight="1">
      <c r="A932" s="806" t="s">
        <v>109</v>
      </c>
      <c r="B932" s="800" t="s">
        <v>130</v>
      </c>
      <c r="C932" s="800" t="s">
        <v>261</v>
      </c>
      <c r="D932" s="800" t="s">
        <v>15485</v>
      </c>
      <c r="E932" s="801">
        <v>43017</v>
      </c>
      <c r="F932" s="800" t="s">
        <v>15364</v>
      </c>
      <c r="G932" s="800" t="s">
        <v>15364</v>
      </c>
      <c r="H932" s="800" t="s">
        <v>10433</v>
      </c>
      <c r="I932" s="800" t="s">
        <v>10433</v>
      </c>
      <c r="J932" s="800" t="s">
        <v>10447</v>
      </c>
      <c r="K932" s="800">
        <v>1</v>
      </c>
      <c r="L932" s="802" t="s">
        <v>10605</v>
      </c>
      <c r="M932" s="802" t="s">
        <v>32</v>
      </c>
      <c r="N932" s="802" t="s">
        <v>15486</v>
      </c>
      <c r="O932" s="802" t="s">
        <v>15487</v>
      </c>
      <c r="P932" s="807" t="s">
        <v>32</v>
      </c>
    </row>
    <row r="933" spans="1:16" s="341" customFormat="1" ht="25.5" customHeight="1">
      <c r="A933" s="806" t="s">
        <v>109</v>
      </c>
      <c r="B933" s="800" t="s">
        <v>130</v>
      </c>
      <c r="C933" s="800" t="s">
        <v>261</v>
      </c>
      <c r="D933" s="800" t="s">
        <v>15488</v>
      </c>
      <c r="E933" s="801">
        <v>43017</v>
      </c>
      <c r="F933" s="800" t="s">
        <v>15364</v>
      </c>
      <c r="G933" s="800" t="s">
        <v>15478</v>
      </c>
      <c r="H933" s="800" t="s">
        <v>10531</v>
      </c>
      <c r="I933" s="800" t="s">
        <v>10531</v>
      </c>
      <c r="J933" s="800" t="s">
        <v>10447</v>
      </c>
      <c r="K933" s="800">
        <v>1</v>
      </c>
      <c r="L933" s="802" t="s">
        <v>11026</v>
      </c>
      <c r="M933" s="802" t="s">
        <v>32</v>
      </c>
      <c r="N933" s="802" t="s">
        <v>15489</v>
      </c>
      <c r="O933" s="802" t="s">
        <v>15490</v>
      </c>
      <c r="P933" s="807" t="s">
        <v>15491</v>
      </c>
    </row>
    <row r="934" spans="1:16" s="341" customFormat="1" ht="25.5" customHeight="1">
      <c r="A934" s="806" t="s">
        <v>109</v>
      </c>
      <c r="B934" s="800" t="s">
        <v>130</v>
      </c>
      <c r="C934" s="800" t="s">
        <v>261</v>
      </c>
      <c r="D934" s="800" t="s">
        <v>15492</v>
      </c>
      <c r="E934" s="801">
        <v>43017</v>
      </c>
      <c r="F934" s="800" t="s">
        <v>15364</v>
      </c>
      <c r="G934" s="800" t="s">
        <v>15364</v>
      </c>
      <c r="H934" s="800" t="s">
        <v>10433</v>
      </c>
      <c r="I934" s="800" t="s">
        <v>10433</v>
      </c>
      <c r="J934" s="800" t="s">
        <v>10447</v>
      </c>
      <c r="K934" s="800">
        <v>1</v>
      </c>
      <c r="L934" s="802" t="s">
        <v>10398</v>
      </c>
      <c r="M934" s="802" t="s">
        <v>15493</v>
      </c>
      <c r="N934" s="802" t="s">
        <v>15494</v>
      </c>
      <c r="O934" s="802" t="s">
        <v>15495</v>
      </c>
      <c r="P934" s="807" t="s">
        <v>32</v>
      </c>
    </row>
    <row r="935" spans="1:16" s="341" customFormat="1" ht="25.5" customHeight="1">
      <c r="A935" s="806" t="s">
        <v>109</v>
      </c>
      <c r="B935" s="800" t="s">
        <v>130</v>
      </c>
      <c r="C935" s="800" t="s">
        <v>261</v>
      </c>
      <c r="D935" s="800" t="s">
        <v>15496</v>
      </c>
      <c r="E935" s="801">
        <v>43020</v>
      </c>
      <c r="F935" s="800" t="s">
        <v>13997</v>
      </c>
      <c r="G935" s="800" t="s">
        <v>15497</v>
      </c>
      <c r="H935" s="800" t="s">
        <v>10433</v>
      </c>
      <c r="I935" s="800" t="s">
        <v>10433</v>
      </c>
      <c r="J935" s="800" t="s">
        <v>10447</v>
      </c>
      <c r="K935" s="800">
        <v>1</v>
      </c>
      <c r="L935" s="802" t="s">
        <v>10605</v>
      </c>
      <c r="M935" s="802"/>
      <c r="N935" s="802" t="s">
        <v>15498</v>
      </c>
      <c r="O935" s="802" t="s">
        <v>15499</v>
      </c>
      <c r="P935" s="807" t="s">
        <v>32</v>
      </c>
    </row>
    <row r="936" spans="1:16" s="341" customFormat="1" ht="25.5" customHeight="1">
      <c r="A936" s="806" t="s">
        <v>109</v>
      </c>
      <c r="B936" s="800" t="s">
        <v>130</v>
      </c>
      <c r="C936" s="800" t="s">
        <v>261</v>
      </c>
      <c r="D936" s="800" t="s">
        <v>15500</v>
      </c>
      <c r="E936" s="801">
        <v>43020</v>
      </c>
      <c r="F936" s="800" t="s">
        <v>261</v>
      </c>
      <c r="G936" s="800" t="s">
        <v>15501</v>
      </c>
      <c r="H936" s="800" t="s">
        <v>10404</v>
      </c>
      <c r="I936" s="800" t="s">
        <v>10404</v>
      </c>
      <c r="J936" s="800" t="s">
        <v>10405</v>
      </c>
      <c r="K936" s="800">
        <v>1</v>
      </c>
      <c r="L936" s="802" t="s">
        <v>10398</v>
      </c>
      <c r="M936" s="802" t="s">
        <v>15502</v>
      </c>
      <c r="N936" s="802" t="s">
        <v>15503</v>
      </c>
      <c r="O936" s="802" t="s">
        <v>15504</v>
      </c>
      <c r="P936" s="807" t="s">
        <v>14840</v>
      </c>
    </row>
    <row r="937" spans="1:16" s="341" customFormat="1" ht="25.5">
      <c r="A937" s="806" t="s">
        <v>109</v>
      </c>
      <c r="B937" s="800" t="s">
        <v>130</v>
      </c>
      <c r="C937" s="800" t="s">
        <v>261</v>
      </c>
      <c r="D937" s="800" t="s">
        <v>15505</v>
      </c>
      <c r="E937" s="801">
        <v>43020</v>
      </c>
      <c r="F937" s="800" t="s">
        <v>32</v>
      </c>
      <c r="G937" s="800" t="s">
        <v>15506</v>
      </c>
      <c r="H937" s="800" t="s">
        <v>10531</v>
      </c>
      <c r="I937" s="800" t="s">
        <v>10531</v>
      </c>
      <c r="J937" s="800" t="s">
        <v>10397</v>
      </c>
      <c r="K937" s="800">
        <v>1</v>
      </c>
      <c r="L937" s="802" t="s">
        <v>10398</v>
      </c>
      <c r="M937" s="802" t="s">
        <v>15507</v>
      </c>
      <c r="N937" s="802" t="s">
        <v>15016</v>
      </c>
      <c r="O937" s="802" t="s">
        <v>15508</v>
      </c>
      <c r="P937" s="807" t="s">
        <v>15088</v>
      </c>
    </row>
    <row r="938" spans="1:16" s="341" customFormat="1" ht="25.5" customHeight="1">
      <c r="A938" s="806" t="s">
        <v>109</v>
      </c>
      <c r="B938" s="800" t="s">
        <v>130</v>
      </c>
      <c r="C938" s="800" t="s">
        <v>261</v>
      </c>
      <c r="D938" s="800" t="s">
        <v>15509</v>
      </c>
      <c r="E938" s="801">
        <v>43020</v>
      </c>
      <c r="F938" s="800" t="s">
        <v>13997</v>
      </c>
      <c r="G938" s="800" t="s">
        <v>15510</v>
      </c>
      <c r="H938" s="800" t="s">
        <v>10404</v>
      </c>
      <c r="I938" s="800" t="s">
        <v>10404</v>
      </c>
      <c r="J938" s="800" t="s">
        <v>10405</v>
      </c>
      <c r="K938" s="800">
        <v>1</v>
      </c>
      <c r="L938" s="802" t="s">
        <v>10398</v>
      </c>
      <c r="M938" s="802" t="s">
        <v>15511</v>
      </c>
      <c r="N938" s="802" t="s">
        <v>15512</v>
      </c>
      <c r="O938" s="802" t="s">
        <v>15513</v>
      </c>
      <c r="P938" s="807" t="s">
        <v>15441</v>
      </c>
    </row>
    <row r="939" spans="1:16" s="341" customFormat="1" ht="25.5" customHeight="1">
      <c r="A939" s="806" t="s">
        <v>109</v>
      </c>
      <c r="B939" s="800" t="s">
        <v>130</v>
      </c>
      <c r="C939" s="800" t="s">
        <v>261</v>
      </c>
      <c r="D939" s="800" t="s">
        <v>15514</v>
      </c>
      <c r="E939" s="801">
        <v>43020</v>
      </c>
      <c r="F939" s="800" t="s">
        <v>13997</v>
      </c>
      <c r="G939" s="800" t="s">
        <v>15427</v>
      </c>
      <c r="H939" s="800" t="s">
        <v>10396</v>
      </c>
      <c r="I939" s="800" t="s">
        <v>10396</v>
      </c>
      <c r="J939" s="800" t="s">
        <v>10397</v>
      </c>
      <c r="K939" s="800">
        <v>1</v>
      </c>
      <c r="L939" s="802" t="s">
        <v>10398</v>
      </c>
      <c r="M939" s="802" t="s">
        <v>15515</v>
      </c>
      <c r="N939" s="802" t="s">
        <v>10539</v>
      </c>
      <c r="O939" s="802" t="s">
        <v>15516</v>
      </c>
      <c r="P939" s="807" t="s">
        <v>15517</v>
      </c>
    </row>
    <row r="940" spans="1:16" s="341" customFormat="1" ht="25.5" customHeight="1">
      <c r="A940" s="806" t="s">
        <v>109</v>
      </c>
      <c r="B940" s="800" t="s">
        <v>130</v>
      </c>
      <c r="C940" s="800" t="s">
        <v>261</v>
      </c>
      <c r="D940" s="800" t="s">
        <v>15518</v>
      </c>
      <c r="E940" s="801">
        <v>43020</v>
      </c>
      <c r="F940" s="800" t="s">
        <v>13997</v>
      </c>
      <c r="G940" s="800" t="s">
        <v>15519</v>
      </c>
      <c r="H940" s="800" t="s">
        <v>10396</v>
      </c>
      <c r="I940" s="800" t="s">
        <v>10396</v>
      </c>
      <c r="J940" s="800" t="s">
        <v>10397</v>
      </c>
      <c r="K940" s="800">
        <v>1</v>
      </c>
      <c r="L940" s="802" t="s">
        <v>10605</v>
      </c>
      <c r="M940" s="802" t="s">
        <v>32</v>
      </c>
      <c r="N940" s="802" t="s">
        <v>15520</v>
      </c>
      <c r="O940" s="802" t="s">
        <v>15521</v>
      </c>
      <c r="P940" s="807" t="s">
        <v>32</v>
      </c>
    </row>
    <row r="941" spans="1:16" s="341" customFormat="1" ht="25.5" customHeight="1">
      <c r="A941" s="806" t="s">
        <v>109</v>
      </c>
      <c r="B941" s="800" t="s">
        <v>130</v>
      </c>
      <c r="C941" s="800" t="s">
        <v>261</v>
      </c>
      <c r="D941" s="800" t="s">
        <v>15522</v>
      </c>
      <c r="E941" s="801">
        <v>43020</v>
      </c>
      <c r="F941" s="800" t="s">
        <v>13997</v>
      </c>
      <c r="G941" s="800" t="s">
        <v>15523</v>
      </c>
      <c r="H941" s="800" t="s">
        <v>10404</v>
      </c>
      <c r="I941" s="800" t="s">
        <v>10404</v>
      </c>
      <c r="J941" s="800" t="s">
        <v>10405</v>
      </c>
      <c r="K941" s="800">
        <v>1</v>
      </c>
      <c r="L941" s="802" t="s">
        <v>10398</v>
      </c>
      <c r="M941" s="802" t="s">
        <v>15524</v>
      </c>
      <c r="N941" s="802" t="s">
        <v>10808</v>
      </c>
      <c r="O941" s="802" t="s">
        <v>15516</v>
      </c>
      <c r="P941" s="807" t="s">
        <v>15525</v>
      </c>
    </row>
    <row r="942" spans="1:16" s="341" customFormat="1" ht="25.5" customHeight="1">
      <c r="A942" s="806" t="s">
        <v>109</v>
      </c>
      <c r="B942" s="800" t="s">
        <v>130</v>
      </c>
      <c r="C942" s="800" t="s">
        <v>261</v>
      </c>
      <c r="D942" s="800" t="s">
        <v>15526</v>
      </c>
      <c r="E942" s="801">
        <v>43018</v>
      </c>
      <c r="F942" s="800" t="s">
        <v>13997</v>
      </c>
      <c r="G942" s="800" t="s">
        <v>15527</v>
      </c>
      <c r="H942" s="800" t="s">
        <v>10396</v>
      </c>
      <c r="I942" s="800" t="s">
        <v>10396</v>
      </c>
      <c r="J942" s="800" t="s">
        <v>10397</v>
      </c>
      <c r="K942" s="800">
        <v>1</v>
      </c>
      <c r="L942" s="802" t="s">
        <v>10398</v>
      </c>
      <c r="M942" s="802" t="s">
        <v>15528</v>
      </c>
      <c r="N942" s="802" t="s">
        <v>14140</v>
      </c>
      <c r="O942" s="802" t="s">
        <v>15529</v>
      </c>
      <c r="P942" s="807" t="s">
        <v>15061</v>
      </c>
    </row>
    <row r="943" spans="1:16" s="341" customFormat="1" ht="25.5" customHeight="1">
      <c r="A943" s="806" t="s">
        <v>109</v>
      </c>
      <c r="B943" s="800" t="s">
        <v>130</v>
      </c>
      <c r="C943" s="800" t="s">
        <v>261</v>
      </c>
      <c r="D943" s="800" t="s">
        <v>15530</v>
      </c>
      <c r="E943" s="801">
        <v>43020</v>
      </c>
      <c r="F943" s="800" t="s">
        <v>13997</v>
      </c>
      <c r="G943" s="800" t="s">
        <v>32</v>
      </c>
      <c r="H943" s="800" t="s">
        <v>10396</v>
      </c>
      <c r="I943" s="800" t="s">
        <v>10396</v>
      </c>
      <c r="J943" s="800" t="s">
        <v>10397</v>
      </c>
      <c r="K943" s="800">
        <v>1</v>
      </c>
      <c r="L943" s="802" t="s">
        <v>10398</v>
      </c>
      <c r="M943" s="802" t="s">
        <v>32</v>
      </c>
      <c r="N943" s="802" t="s">
        <v>10945</v>
      </c>
      <c r="O943" s="802" t="s">
        <v>15531</v>
      </c>
      <c r="P943" s="807" t="s">
        <v>32</v>
      </c>
    </row>
    <row r="944" spans="1:16" s="341" customFormat="1" ht="25.5" customHeight="1">
      <c r="A944" s="806" t="s">
        <v>109</v>
      </c>
      <c r="B944" s="800" t="s">
        <v>130</v>
      </c>
      <c r="C944" s="800" t="s">
        <v>261</v>
      </c>
      <c r="D944" s="800" t="s">
        <v>15532</v>
      </c>
      <c r="E944" s="801">
        <v>43020</v>
      </c>
      <c r="F944" s="800" t="s">
        <v>13997</v>
      </c>
      <c r="G944" s="800" t="s">
        <v>15533</v>
      </c>
      <c r="H944" s="800" t="s">
        <v>10396</v>
      </c>
      <c r="I944" s="800" t="s">
        <v>10396</v>
      </c>
      <c r="J944" s="800" t="s">
        <v>10405</v>
      </c>
      <c r="K944" s="800">
        <v>1</v>
      </c>
      <c r="L944" s="802" t="s">
        <v>10398</v>
      </c>
      <c r="M944" s="802" t="s">
        <v>15534</v>
      </c>
      <c r="N944" s="802" t="s">
        <v>15535</v>
      </c>
      <c r="O944" s="802" t="s">
        <v>15536</v>
      </c>
      <c r="P944" s="807" t="s">
        <v>32</v>
      </c>
    </row>
    <row r="945" spans="1:16" s="341" customFormat="1" ht="25.5" customHeight="1">
      <c r="A945" s="806" t="s">
        <v>109</v>
      </c>
      <c r="B945" s="800" t="s">
        <v>130</v>
      </c>
      <c r="C945" s="800" t="s">
        <v>261</v>
      </c>
      <c r="D945" s="800" t="s">
        <v>15537</v>
      </c>
      <c r="E945" s="801">
        <v>43020</v>
      </c>
      <c r="F945" s="800" t="s">
        <v>13997</v>
      </c>
      <c r="G945" s="800" t="s">
        <v>15497</v>
      </c>
      <c r="H945" s="800" t="s">
        <v>10396</v>
      </c>
      <c r="I945" s="800" t="s">
        <v>10396</v>
      </c>
      <c r="J945" s="800" t="s">
        <v>10405</v>
      </c>
      <c r="K945" s="800">
        <v>1</v>
      </c>
      <c r="L945" s="802" t="s">
        <v>10398</v>
      </c>
      <c r="M945" s="802" t="s">
        <v>15538</v>
      </c>
      <c r="N945" s="802" t="s">
        <v>15539</v>
      </c>
      <c r="O945" s="802" t="s">
        <v>15540</v>
      </c>
      <c r="P945" s="807" t="s">
        <v>32</v>
      </c>
    </row>
    <row r="946" spans="1:16" s="341" customFormat="1" ht="25.5" customHeight="1">
      <c r="A946" s="806" t="s">
        <v>109</v>
      </c>
      <c r="B946" s="800" t="s">
        <v>130</v>
      </c>
      <c r="C946" s="800" t="s">
        <v>261</v>
      </c>
      <c r="D946" s="800" t="s">
        <v>15541</v>
      </c>
      <c r="E946" s="801">
        <v>43020</v>
      </c>
      <c r="F946" s="800" t="s">
        <v>13997</v>
      </c>
      <c r="G946" s="800" t="s">
        <v>15542</v>
      </c>
      <c r="H946" s="800" t="s">
        <v>10396</v>
      </c>
      <c r="I946" s="800" t="s">
        <v>10396</v>
      </c>
      <c r="J946" s="800" t="s">
        <v>10397</v>
      </c>
      <c r="K946" s="800">
        <v>1</v>
      </c>
      <c r="L946" s="802" t="s">
        <v>10398</v>
      </c>
      <c r="M946" s="802" t="s">
        <v>15543</v>
      </c>
      <c r="N946" s="802" t="s">
        <v>15544</v>
      </c>
      <c r="O946" s="802" t="s">
        <v>15545</v>
      </c>
      <c r="P946" s="807" t="s">
        <v>15546</v>
      </c>
    </row>
    <row r="947" spans="1:16" s="341" customFormat="1" ht="25.5" customHeight="1">
      <c r="A947" s="806" t="s">
        <v>109</v>
      </c>
      <c r="B947" s="800" t="s">
        <v>130</v>
      </c>
      <c r="C947" s="800" t="s">
        <v>261</v>
      </c>
      <c r="D947" s="800" t="s">
        <v>15547</v>
      </c>
      <c r="E947" s="801">
        <v>43020</v>
      </c>
      <c r="F947" s="800" t="s">
        <v>13997</v>
      </c>
      <c r="G947" s="800" t="s">
        <v>15548</v>
      </c>
      <c r="H947" s="800" t="s">
        <v>10396</v>
      </c>
      <c r="I947" s="800" t="s">
        <v>10396</v>
      </c>
      <c r="J947" s="800" t="s">
        <v>10397</v>
      </c>
      <c r="K947" s="800">
        <v>1</v>
      </c>
      <c r="L947" s="802" t="s">
        <v>10398</v>
      </c>
      <c r="M947" s="802" t="s">
        <v>15549</v>
      </c>
      <c r="N947" s="802" t="s">
        <v>15550</v>
      </c>
      <c r="O947" s="802" t="s">
        <v>15551</v>
      </c>
      <c r="P947" s="807" t="s">
        <v>15552</v>
      </c>
    </row>
    <row r="948" spans="1:16" s="341" customFormat="1" ht="25.5" customHeight="1">
      <c r="A948" s="806" t="s">
        <v>109</v>
      </c>
      <c r="B948" s="800" t="s">
        <v>130</v>
      </c>
      <c r="C948" s="800" t="s">
        <v>261</v>
      </c>
      <c r="D948" s="800" t="s">
        <v>15553</v>
      </c>
      <c r="E948" s="801">
        <v>43020</v>
      </c>
      <c r="F948" s="800" t="s">
        <v>13997</v>
      </c>
      <c r="G948" s="800" t="s">
        <v>15554</v>
      </c>
      <c r="H948" s="800" t="s">
        <v>10396</v>
      </c>
      <c r="I948" s="800" t="s">
        <v>10396</v>
      </c>
      <c r="J948" s="800" t="s">
        <v>10397</v>
      </c>
      <c r="K948" s="800">
        <v>1</v>
      </c>
      <c r="L948" s="802" t="s">
        <v>10398</v>
      </c>
      <c r="M948" s="802" t="s">
        <v>15555</v>
      </c>
      <c r="N948" s="802" t="s">
        <v>15556</v>
      </c>
      <c r="O948" s="802" t="s">
        <v>10408</v>
      </c>
      <c r="P948" s="807" t="s">
        <v>15557</v>
      </c>
    </row>
    <row r="949" spans="1:16" s="341" customFormat="1" ht="38.25" customHeight="1">
      <c r="A949" s="806" t="s">
        <v>109</v>
      </c>
      <c r="B949" s="800" t="s">
        <v>130</v>
      </c>
      <c r="C949" s="800" t="s">
        <v>261</v>
      </c>
      <c r="D949" s="800" t="s">
        <v>15558</v>
      </c>
      <c r="E949" s="801">
        <v>43020</v>
      </c>
      <c r="F949" s="800" t="s">
        <v>13997</v>
      </c>
      <c r="G949" s="800" t="s">
        <v>15559</v>
      </c>
      <c r="H949" s="800" t="s">
        <v>10396</v>
      </c>
      <c r="I949" s="800" t="s">
        <v>10396</v>
      </c>
      <c r="J949" s="800" t="s">
        <v>10405</v>
      </c>
      <c r="K949" s="800">
        <v>1</v>
      </c>
      <c r="L949" s="802" t="s">
        <v>10398</v>
      </c>
      <c r="M949" s="802" t="s">
        <v>15560</v>
      </c>
      <c r="N949" s="802" t="s">
        <v>15561</v>
      </c>
      <c r="O949" s="802" t="s">
        <v>15562</v>
      </c>
      <c r="P949" s="807" t="s">
        <v>32</v>
      </c>
    </row>
    <row r="950" spans="1:16" s="341" customFormat="1" ht="25.5" customHeight="1">
      <c r="A950" s="806" t="s">
        <v>109</v>
      </c>
      <c r="B950" s="800" t="s">
        <v>130</v>
      </c>
      <c r="C950" s="800" t="s">
        <v>261</v>
      </c>
      <c r="D950" s="800" t="s">
        <v>15563</v>
      </c>
      <c r="E950" s="801">
        <v>43020</v>
      </c>
      <c r="F950" s="800" t="s">
        <v>13997</v>
      </c>
      <c r="G950" s="800" t="s">
        <v>15564</v>
      </c>
      <c r="H950" s="800" t="s">
        <v>10396</v>
      </c>
      <c r="I950" s="800" t="s">
        <v>10396</v>
      </c>
      <c r="J950" s="800" t="s">
        <v>10397</v>
      </c>
      <c r="K950" s="800">
        <v>1</v>
      </c>
      <c r="L950" s="802" t="s">
        <v>10605</v>
      </c>
      <c r="M950" s="802"/>
      <c r="N950" s="802" t="s">
        <v>15565</v>
      </c>
      <c r="O950" s="802" t="s">
        <v>15566</v>
      </c>
      <c r="P950" s="807" t="s">
        <v>32</v>
      </c>
    </row>
    <row r="951" spans="1:16" s="341" customFormat="1" ht="25.5" customHeight="1">
      <c r="A951" s="806" t="s">
        <v>109</v>
      </c>
      <c r="B951" s="800" t="s">
        <v>130</v>
      </c>
      <c r="C951" s="800" t="s">
        <v>261</v>
      </c>
      <c r="D951" s="800" t="s">
        <v>15567</v>
      </c>
      <c r="E951" s="801">
        <v>43020</v>
      </c>
      <c r="F951" s="800" t="s">
        <v>13997</v>
      </c>
      <c r="G951" s="800" t="s">
        <v>15568</v>
      </c>
      <c r="H951" s="800" t="s">
        <v>10396</v>
      </c>
      <c r="I951" s="800" t="s">
        <v>10396</v>
      </c>
      <c r="J951" s="800" t="s">
        <v>10397</v>
      </c>
      <c r="K951" s="800">
        <v>1</v>
      </c>
      <c r="L951" s="802" t="s">
        <v>11026</v>
      </c>
      <c r="M951" s="802" t="s">
        <v>15569</v>
      </c>
      <c r="N951" s="802" t="s">
        <v>15570</v>
      </c>
      <c r="O951" s="802" t="s">
        <v>15571</v>
      </c>
      <c r="P951" s="807" t="s">
        <v>15572</v>
      </c>
    </row>
    <row r="952" spans="1:16" s="341" customFormat="1" ht="15" customHeight="1">
      <c r="A952" s="806" t="s">
        <v>109</v>
      </c>
      <c r="B952" s="800" t="s">
        <v>130</v>
      </c>
      <c r="C952" s="800" t="s">
        <v>261</v>
      </c>
      <c r="D952" s="800" t="s">
        <v>15573</v>
      </c>
      <c r="E952" s="801">
        <v>43020</v>
      </c>
      <c r="F952" s="800" t="s">
        <v>13997</v>
      </c>
      <c r="G952" s="800" t="s">
        <v>15574</v>
      </c>
      <c r="H952" s="800" t="s">
        <v>10404</v>
      </c>
      <c r="I952" s="800" t="s">
        <v>10404</v>
      </c>
      <c r="J952" s="800" t="s">
        <v>10405</v>
      </c>
      <c r="K952" s="800">
        <v>1</v>
      </c>
      <c r="L952" s="802" t="s">
        <v>11026</v>
      </c>
      <c r="M952" s="802" t="s">
        <v>15575</v>
      </c>
      <c r="N952" s="802" t="s">
        <v>15576</v>
      </c>
      <c r="O952" s="802" t="s">
        <v>14525</v>
      </c>
      <c r="P952" s="807" t="s">
        <v>15577</v>
      </c>
    </row>
    <row r="953" spans="1:16" s="341" customFormat="1" ht="25.5" customHeight="1">
      <c r="A953" s="806" t="s">
        <v>109</v>
      </c>
      <c r="B953" s="800" t="s">
        <v>130</v>
      </c>
      <c r="C953" s="800" t="s">
        <v>261</v>
      </c>
      <c r="D953" s="800" t="s">
        <v>15578</v>
      </c>
      <c r="E953" s="801">
        <v>43020</v>
      </c>
      <c r="F953" s="800" t="s">
        <v>13997</v>
      </c>
      <c r="G953" s="800" t="s">
        <v>15579</v>
      </c>
      <c r="H953" s="800" t="s">
        <v>10396</v>
      </c>
      <c r="I953" s="800" t="s">
        <v>10396</v>
      </c>
      <c r="J953" s="800" t="s">
        <v>10405</v>
      </c>
      <c r="K953" s="800">
        <v>1</v>
      </c>
      <c r="L953" s="802" t="s">
        <v>10398</v>
      </c>
      <c r="M953" s="802" t="s">
        <v>15580</v>
      </c>
      <c r="N953" s="802" t="s">
        <v>15581</v>
      </c>
      <c r="O953" s="802" t="s">
        <v>15582</v>
      </c>
      <c r="P953" s="807" t="s">
        <v>32</v>
      </c>
    </row>
    <row r="954" spans="1:16" s="341" customFormat="1" ht="25.5" customHeight="1">
      <c r="A954" s="806" t="s">
        <v>109</v>
      </c>
      <c r="B954" s="800" t="s">
        <v>130</v>
      </c>
      <c r="C954" s="800" t="s">
        <v>261</v>
      </c>
      <c r="D954" s="800" t="s">
        <v>15583</v>
      </c>
      <c r="E954" s="801">
        <v>43018</v>
      </c>
      <c r="F954" s="800" t="s">
        <v>13997</v>
      </c>
      <c r="G954" s="800" t="s">
        <v>15383</v>
      </c>
      <c r="H954" s="800" t="s">
        <v>10531</v>
      </c>
      <c r="I954" s="800" t="s">
        <v>10531</v>
      </c>
      <c r="J954" s="800" t="s">
        <v>10397</v>
      </c>
      <c r="K954" s="800">
        <v>1</v>
      </c>
      <c r="L954" s="802" t="s">
        <v>10605</v>
      </c>
      <c r="M954" s="802" t="s">
        <v>32</v>
      </c>
      <c r="N954" s="802" t="s">
        <v>15584</v>
      </c>
      <c r="O954" s="802" t="s">
        <v>15585</v>
      </c>
      <c r="P954" s="807" t="s">
        <v>32</v>
      </c>
    </row>
    <row r="955" spans="1:16" s="341" customFormat="1" ht="25.5" customHeight="1">
      <c r="A955" s="806" t="s">
        <v>109</v>
      </c>
      <c r="B955" s="800" t="s">
        <v>130</v>
      </c>
      <c r="C955" s="800" t="s">
        <v>261</v>
      </c>
      <c r="D955" s="800" t="s">
        <v>15586</v>
      </c>
      <c r="E955" s="801">
        <v>43018</v>
      </c>
      <c r="F955" s="800" t="s">
        <v>15587</v>
      </c>
      <c r="G955" s="800" t="s">
        <v>15587</v>
      </c>
      <c r="H955" s="800" t="s">
        <v>10396</v>
      </c>
      <c r="I955" s="800" t="s">
        <v>10396</v>
      </c>
      <c r="J955" s="800" t="s">
        <v>10405</v>
      </c>
      <c r="K955" s="800">
        <v>1</v>
      </c>
      <c r="L955" s="802" t="s">
        <v>11026</v>
      </c>
      <c r="M955" s="802" t="s">
        <v>15588</v>
      </c>
      <c r="N955" s="802" t="s">
        <v>15589</v>
      </c>
      <c r="O955" s="802" t="s">
        <v>15590</v>
      </c>
      <c r="P955" s="807" t="s">
        <v>32</v>
      </c>
    </row>
    <row r="956" spans="1:16" s="341" customFormat="1" ht="25.5" customHeight="1">
      <c r="A956" s="806" t="s">
        <v>109</v>
      </c>
      <c r="B956" s="800" t="s">
        <v>130</v>
      </c>
      <c r="C956" s="800" t="s">
        <v>261</v>
      </c>
      <c r="D956" s="800" t="s">
        <v>15591</v>
      </c>
      <c r="E956" s="801">
        <v>43018</v>
      </c>
      <c r="F956" s="800" t="s">
        <v>15587</v>
      </c>
      <c r="G956" s="800" t="s">
        <v>15587</v>
      </c>
      <c r="H956" s="800" t="s">
        <v>10396</v>
      </c>
      <c r="I956" s="800" t="s">
        <v>10396</v>
      </c>
      <c r="J956" s="800" t="s">
        <v>10405</v>
      </c>
      <c r="K956" s="800">
        <v>1</v>
      </c>
      <c r="L956" s="802" t="s">
        <v>10605</v>
      </c>
      <c r="M956" s="802" t="s">
        <v>32</v>
      </c>
      <c r="N956" s="802" t="s">
        <v>15592</v>
      </c>
      <c r="O956" s="802" t="s">
        <v>15593</v>
      </c>
      <c r="P956" s="807" t="s">
        <v>32</v>
      </c>
    </row>
    <row r="957" spans="1:16" s="341" customFormat="1" ht="25.5" customHeight="1">
      <c r="A957" s="806" t="s">
        <v>109</v>
      </c>
      <c r="B957" s="800" t="s">
        <v>130</v>
      </c>
      <c r="C957" s="800" t="s">
        <v>261</v>
      </c>
      <c r="D957" s="800" t="s">
        <v>15594</v>
      </c>
      <c r="E957" s="801">
        <v>43018</v>
      </c>
      <c r="F957" s="800" t="s">
        <v>13997</v>
      </c>
      <c r="G957" s="800" t="s">
        <v>15383</v>
      </c>
      <c r="H957" s="800" t="s">
        <v>10531</v>
      </c>
      <c r="I957" s="800" t="s">
        <v>10531</v>
      </c>
      <c r="J957" s="800" t="s">
        <v>10397</v>
      </c>
      <c r="K957" s="800">
        <v>1</v>
      </c>
      <c r="L957" s="802" t="s">
        <v>10605</v>
      </c>
      <c r="M957" s="802" t="s">
        <v>32</v>
      </c>
      <c r="N957" s="802" t="s">
        <v>15595</v>
      </c>
      <c r="O957" s="802" t="s">
        <v>15384</v>
      </c>
      <c r="P957" s="807" t="s">
        <v>32</v>
      </c>
    </row>
    <row r="958" spans="1:16" s="341" customFormat="1" ht="15" customHeight="1">
      <c r="A958" s="806" t="s">
        <v>109</v>
      </c>
      <c r="B958" s="800" t="s">
        <v>130</v>
      </c>
      <c r="C958" s="800" t="s">
        <v>261</v>
      </c>
      <c r="D958" s="800" t="s">
        <v>15596</v>
      </c>
      <c r="E958" s="801">
        <v>43018</v>
      </c>
      <c r="F958" s="800" t="s">
        <v>15597</v>
      </c>
      <c r="G958" s="800" t="s">
        <v>32</v>
      </c>
      <c r="H958" s="800" t="s">
        <v>10531</v>
      </c>
      <c r="I958" s="800" t="s">
        <v>10531</v>
      </c>
      <c r="J958" s="800" t="s">
        <v>10397</v>
      </c>
      <c r="K958" s="800">
        <v>1</v>
      </c>
      <c r="L958" s="802" t="s">
        <v>10398</v>
      </c>
      <c r="M958" s="802" t="s">
        <v>32</v>
      </c>
      <c r="N958" s="802" t="s">
        <v>13426</v>
      </c>
      <c r="O958" s="802" t="s">
        <v>15598</v>
      </c>
      <c r="P958" s="807" t="s">
        <v>32</v>
      </c>
    </row>
    <row r="959" spans="1:16" s="341" customFormat="1" ht="15" customHeight="1">
      <c r="A959" s="806" t="s">
        <v>109</v>
      </c>
      <c r="B959" s="800" t="s">
        <v>130</v>
      </c>
      <c r="C959" s="800" t="s">
        <v>261</v>
      </c>
      <c r="D959" s="800" t="s">
        <v>15599</v>
      </c>
      <c r="E959" s="801">
        <v>43018</v>
      </c>
      <c r="F959" s="800" t="s">
        <v>15587</v>
      </c>
      <c r="G959" s="800" t="s">
        <v>32</v>
      </c>
      <c r="H959" s="800" t="s">
        <v>10396</v>
      </c>
      <c r="I959" s="800" t="s">
        <v>10396</v>
      </c>
      <c r="J959" s="800" t="s">
        <v>10405</v>
      </c>
      <c r="K959" s="800">
        <v>1</v>
      </c>
      <c r="L959" s="802" t="s">
        <v>11026</v>
      </c>
      <c r="M959" s="802" t="s">
        <v>15600</v>
      </c>
      <c r="N959" s="802" t="s">
        <v>15601</v>
      </c>
      <c r="O959" s="802" t="s">
        <v>10414</v>
      </c>
      <c r="P959" s="807" t="s">
        <v>32</v>
      </c>
    </row>
    <row r="960" spans="1:16" s="341" customFormat="1" ht="15" customHeight="1">
      <c r="A960" s="806" t="s">
        <v>109</v>
      </c>
      <c r="B960" s="800" t="s">
        <v>130</v>
      </c>
      <c r="C960" s="800" t="s">
        <v>261</v>
      </c>
      <c r="D960" s="800" t="s">
        <v>15602</v>
      </c>
      <c r="E960" s="801">
        <v>43018</v>
      </c>
      <c r="F960" s="800" t="s">
        <v>15597</v>
      </c>
      <c r="G960" s="800" t="s">
        <v>32</v>
      </c>
      <c r="H960" s="800" t="s">
        <v>10531</v>
      </c>
      <c r="I960" s="800" t="s">
        <v>10531</v>
      </c>
      <c r="J960" s="800" t="s">
        <v>10405</v>
      </c>
      <c r="K960" s="800">
        <v>1</v>
      </c>
      <c r="L960" s="802" t="s">
        <v>10398</v>
      </c>
      <c r="M960" s="802" t="s">
        <v>15603</v>
      </c>
      <c r="N960" s="802" t="s">
        <v>15604</v>
      </c>
      <c r="O960" s="802" t="s">
        <v>15605</v>
      </c>
      <c r="P960" s="807" t="s">
        <v>32</v>
      </c>
    </row>
    <row r="961" spans="1:16" s="341" customFormat="1" ht="25.5" customHeight="1">
      <c r="A961" s="806" t="s">
        <v>109</v>
      </c>
      <c r="B961" s="800" t="s">
        <v>130</v>
      </c>
      <c r="C961" s="800" t="s">
        <v>261</v>
      </c>
      <c r="D961" s="800" t="s">
        <v>15606</v>
      </c>
      <c r="E961" s="801">
        <v>43020</v>
      </c>
      <c r="F961" s="800" t="s">
        <v>13997</v>
      </c>
      <c r="G961" s="800" t="s">
        <v>15607</v>
      </c>
      <c r="H961" s="800" t="s">
        <v>10404</v>
      </c>
      <c r="I961" s="800" t="s">
        <v>10404</v>
      </c>
      <c r="J961" s="800" t="s">
        <v>10405</v>
      </c>
      <c r="K961" s="800">
        <v>1</v>
      </c>
      <c r="L961" s="802" t="s">
        <v>10398</v>
      </c>
      <c r="M961" s="802" t="s">
        <v>15608</v>
      </c>
      <c r="N961" s="802" t="s">
        <v>15609</v>
      </c>
      <c r="O961" s="802" t="s">
        <v>15610</v>
      </c>
      <c r="P961" s="807" t="s">
        <v>15611</v>
      </c>
    </row>
    <row r="962" spans="1:16" s="341" customFormat="1" ht="15" customHeight="1">
      <c r="A962" s="806" t="s">
        <v>109</v>
      </c>
      <c r="B962" s="800" t="s">
        <v>130</v>
      </c>
      <c r="C962" s="800" t="s">
        <v>261</v>
      </c>
      <c r="D962" s="800" t="s">
        <v>15612</v>
      </c>
      <c r="E962" s="801">
        <v>43019</v>
      </c>
      <c r="F962" s="800" t="s">
        <v>13997</v>
      </c>
      <c r="G962" s="800" t="s">
        <v>15613</v>
      </c>
      <c r="H962" s="800" t="s">
        <v>10404</v>
      </c>
      <c r="I962" s="800" t="s">
        <v>10404</v>
      </c>
      <c r="J962" s="800" t="s">
        <v>10405</v>
      </c>
      <c r="K962" s="800">
        <v>1</v>
      </c>
      <c r="L962" s="802" t="s">
        <v>10398</v>
      </c>
      <c r="M962" s="802" t="s">
        <v>15614</v>
      </c>
      <c r="N962" s="802" t="s">
        <v>15615</v>
      </c>
      <c r="O962" s="802" t="s">
        <v>15616</v>
      </c>
      <c r="P962" s="807" t="s">
        <v>15617</v>
      </c>
    </row>
    <row r="963" spans="1:16" s="341" customFormat="1" ht="38.25" customHeight="1">
      <c r="A963" s="806" t="s">
        <v>109</v>
      </c>
      <c r="B963" s="800" t="s">
        <v>130</v>
      </c>
      <c r="C963" s="800" t="s">
        <v>261</v>
      </c>
      <c r="D963" s="800" t="s">
        <v>15618</v>
      </c>
      <c r="E963" s="801">
        <v>43017</v>
      </c>
      <c r="F963" s="800" t="s">
        <v>15619</v>
      </c>
      <c r="G963" s="800" t="s">
        <v>15620</v>
      </c>
      <c r="H963" s="800" t="s">
        <v>10433</v>
      </c>
      <c r="I963" s="800" t="s">
        <v>10433</v>
      </c>
      <c r="J963" s="800" t="s">
        <v>10447</v>
      </c>
      <c r="K963" s="800">
        <v>1</v>
      </c>
      <c r="L963" s="802" t="s">
        <v>10398</v>
      </c>
      <c r="M963" s="802" t="s">
        <v>15621</v>
      </c>
      <c r="N963" s="802" t="s">
        <v>15622</v>
      </c>
      <c r="O963" s="802" t="s">
        <v>15623</v>
      </c>
      <c r="P963" s="807" t="s">
        <v>15624</v>
      </c>
    </row>
    <row r="964" spans="1:16" s="341" customFormat="1" ht="25.5" customHeight="1">
      <c r="A964" s="806" t="s">
        <v>109</v>
      </c>
      <c r="B964" s="800" t="s">
        <v>130</v>
      </c>
      <c r="C964" s="800" t="s">
        <v>261</v>
      </c>
      <c r="D964" s="800" t="s">
        <v>15625</v>
      </c>
      <c r="E964" s="801">
        <v>43021</v>
      </c>
      <c r="F964" s="800" t="s">
        <v>13997</v>
      </c>
      <c r="G964" s="800" t="s">
        <v>15626</v>
      </c>
      <c r="H964" s="800" t="s">
        <v>10433</v>
      </c>
      <c r="I964" s="800" t="s">
        <v>10433</v>
      </c>
      <c r="J964" s="800" t="s">
        <v>10447</v>
      </c>
      <c r="K964" s="800">
        <v>1</v>
      </c>
      <c r="L964" s="802" t="s">
        <v>11026</v>
      </c>
      <c r="M964" s="802" t="s">
        <v>32</v>
      </c>
      <c r="N964" s="802" t="s">
        <v>15627</v>
      </c>
      <c r="O964" s="802" t="s">
        <v>32</v>
      </c>
      <c r="P964" s="807" t="s">
        <v>32</v>
      </c>
    </row>
    <row r="965" spans="1:16" s="341" customFormat="1" ht="25.5" customHeight="1">
      <c r="A965" s="806" t="s">
        <v>109</v>
      </c>
      <c r="B965" s="800" t="s">
        <v>130</v>
      </c>
      <c r="C965" s="800" t="s">
        <v>261</v>
      </c>
      <c r="D965" s="800" t="s">
        <v>15628</v>
      </c>
      <c r="E965" s="801">
        <v>43021</v>
      </c>
      <c r="F965" s="800" t="s">
        <v>13997</v>
      </c>
      <c r="G965" s="800" t="s">
        <v>15629</v>
      </c>
      <c r="H965" s="800" t="s">
        <v>10404</v>
      </c>
      <c r="I965" s="800" t="s">
        <v>10404</v>
      </c>
      <c r="J965" s="800" t="s">
        <v>10447</v>
      </c>
      <c r="K965" s="800">
        <v>1</v>
      </c>
      <c r="L965" s="802" t="s">
        <v>11026</v>
      </c>
      <c r="M965" s="802" t="s">
        <v>15630</v>
      </c>
      <c r="N965" s="802" t="s">
        <v>15631</v>
      </c>
      <c r="O965" s="802" t="s">
        <v>15632</v>
      </c>
      <c r="P965" s="807" t="s">
        <v>15633</v>
      </c>
    </row>
    <row r="966" spans="1:16" s="341" customFormat="1" ht="38.25" customHeight="1">
      <c r="A966" s="806" t="s">
        <v>109</v>
      </c>
      <c r="B966" s="800" t="s">
        <v>130</v>
      </c>
      <c r="C966" s="800" t="s">
        <v>261</v>
      </c>
      <c r="D966" s="800" t="s">
        <v>15634</v>
      </c>
      <c r="E966" s="801">
        <v>43018</v>
      </c>
      <c r="F966" s="800" t="s">
        <v>13997</v>
      </c>
      <c r="G966" s="800" t="s">
        <v>15635</v>
      </c>
      <c r="H966" s="800" t="s">
        <v>10531</v>
      </c>
      <c r="I966" s="800" t="s">
        <v>10531</v>
      </c>
      <c r="J966" s="800" t="s">
        <v>10447</v>
      </c>
      <c r="K966" s="800">
        <v>1</v>
      </c>
      <c r="L966" s="802" t="s">
        <v>10398</v>
      </c>
      <c r="M966" s="802" t="s">
        <v>15636</v>
      </c>
      <c r="N966" s="802" t="s">
        <v>15637</v>
      </c>
      <c r="O966" s="802" t="s">
        <v>14018</v>
      </c>
      <c r="P966" s="807" t="s">
        <v>15638</v>
      </c>
    </row>
    <row r="967" spans="1:16" s="341" customFormat="1" ht="25.5" customHeight="1">
      <c r="A967" s="806" t="s">
        <v>109</v>
      </c>
      <c r="B967" s="800" t="s">
        <v>130</v>
      </c>
      <c r="C967" s="800" t="s">
        <v>261</v>
      </c>
      <c r="D967" s="800" t="s">
        <v>15639</v>
      </c>
      <c r="E967" s="801">
        <v>43018</v>
      </c>
      <c r="F967" s="800" t="s">
        <v>13997</v>
      </c>
      <c r="G967" s="800" t="s">
        <v>15640</v>
      </c>
      <c r="H967" s="800" t="s">
        <v>10433</v>
      </c>
      <c r="I967" s="800" t="s">
        <v>10433</v>
      </c>
      <c r="J967" s="800" t="s">
        <v>10447</v>
      </c>
      <c r="K967" s="800">
        <v>1</v>
      </c>
      <c r="L967" s="802" t="s">
        <v>10398</v>
      </c>
      <c r="M967" s="802" t="s">
        <v>15641</v>
      </c>
      <c r="N967" s="802" t="s">
        <v>14662</v>
      </c>
      <c r="O967" s="802" t="s">
        <v>15642</v>
      </c>
      <c r="P967" s="807" t="s">
        <v>15643</v>
      </c>
    </row>
    <row r="968" spans="1:16" s="341" customFormat="1" ht="38.25" customHeight="1">
      <c r="A968" s="806" t="s">
        <v>109</v>
      </c>
      <c r="B968" s="800" t="s">
        <v>130</v>
      </c>
      <c r="C968" s="800" t="s">
        <v>261</v>
      </c>
      <c r="D968" s="800" t="s">
        <v>15644</v>
      </c>
      <c r="E968" s="801">
        <v>43018</v>
      </c>
      <c r="F968" s="800" t="s">
        <v>13997</v>
      </c>
      <c r="G968" s="800" t="s">
        <v>15645</v>
      </c>
      <c r="H968" s="800" t="s">
        <v>10531</v>
      </c>
      <c r="I968" s="800" t="s">
        <v>10531</v>
      </c>
      <c r="J968" s="800" t="s">
        <v>10447</v>
      </c>
      <c r="K968" s="800">
        <v>1</v>
      </c>
      <c r="L968" s="802" t="s">
        <v>10398</v>
      </c>
      <c r="M968" s="802" t="s">
        <v>32</v>
      </c>
      <c r="N968" s="802" t="s">
        <v>13861</v>
      </c>
      <c r="O968" s="802" t="s">
        <v>15646</v>
      </c>
      <c r="P968" s="807" t="s">
        <v>15647</v>
      </c>
    </row>
    <row r="969" spans="1:16" s="341" customFormat="1" ht="25.5" customHeight="1">
      <c r="A969" s="806" t="s">
        <v>109</v>
      </c>
      <c r="B969" s="800" t="s">
        <v>130</v>
      </c>
      <c r="C969" s="800" t="s">
        <v>261</v>
      </c>
      <c r="D969" s="800" t="s">
        <v>15648</v>
      </c>
      <c r="E969" s="801">
        <v>43018</v>
      </c>
      <c r="F969" s="800" t="s">
        <v>15649</v>
      </c>
      <c r="G969" s="800" t="s">
        <v>15650</v>
      </c>
      <c r="H969" s="800" t="s">
        <v>10396</v>
      </c>
      <c r="I969" s="800" t="s">
        <v>10396</v>
      </c>
      <c r="J969" s="800" t="s">
        <v>10397</v>
      </c>
      <c r="K969" s="800">
        <v>1</v>
      </c>
      <c r="L969" s="802" t="s">
        <v>10398</v>
      </c>
      <c r="M969" s="802" t="s">
        <v>15651</v>
      </c>
      <c r="N969" s="802" t="s">
        <v>15652</v>
      </c>
      <c r="O969" s="802" t="s">
        <v>15653</v>
      </c>
      <c r="P969" s="807" t="s">
        <v>15654</v>
      </c>
    </row>
    <row r="970" spans="1:16" s="341" customFormat="1" ht="25.5" customHeight="1">
      <c r="A970" s="806" t="s">
        <v>109</v>
      </c>
      <c r="B970" s="800" t="s">
        <v>130</v>
      </c>
      <c r="C970" s="800" t="s">
        <v>261</v>
      </c>
      <c r="D970" s="800" t="s">
        <v>15655</v>
      </c>
      <c r="E970" s="801">
        <v>43020</v>
      </c>
      <c r="F970" s="800" t="s">
        <v>13997</v>
      </c>
      <c r="G970" s="800" t="s">
        <v>15656</v>
      </c>
      <c r="H970" s="800" t="s">
        <v>10396</v>
      </c>
      <c r="I970" s="800" t="s">
        <v>10396</v>
      </c>
      <c r="J970" s="800" t="s">
        <v>10397</v>
      </c>
      <c r="K970" s="800">
        <v>1</v>
      </c>
      <c r="L970" s="802" t="s">
        <v>11026</v>
      </c>
      <c r="M970" s="802" t="s">
        <v>15657</v>
      </c>
      <c r="N970" s="802" t="s">
        <v>15658</v>
      </c>
      <c r="O970" s="802" t="s">
        <v>15659</v>
      </c>
      <c r="P970" s="807" t="s">
        <v>15660</v>
      </c>
    </row>
    <row r="971" spans="1:16" s="341" customFormat="1" ht="15" customHeight="1">
      <c r="A971" s="806" t="s">
        <v>109</v>
      </c>
      <c r="B971" s="800" t="s">
        <v>130</v>
      </c>
      <c r="C971" s="800" t="s">
        <v>261</v>
      </c>
      <c r="D971" s="800" t="s">
        <v>15661</v>
      </c>
      <c r="E971" s="801">
        <v>43018</v>
      </c>
      <c r="F971" s="800" t="s">
        <v>15662</v>
      </c>
      <c r="G971" s="800" t="s">
        <v>15497</v>
      </c>
      <c r="H971" s="800" t="s">
        <v>10433</v>
      </c>
      <c r="I971" s="800" t="s">
        <v>10433</v>
      </c>
      <c r="J971" s="800" t="s">
        <v>10447</v>
      </c>
      <c r="K971" s="800">
        <v>1</v>
      </c>
      <c r="L971" s="802" t="s">
        <v>10398</v>
      </c>
      <c r="M971" s="802" t="s">
        <v>15663</v>
      </c>
      <c r="N971" s="802" t="s">
        <v>15664</v>
      </c>
      <c r="O971" s="802" t="s">
        <v>15665</v>
      </c>
      <c r="P971" s="807" t="s">
        <v>15666</v>
      </c>
    </row>
    <row r="972" spans="1:16" s="341" customFormat="1" ht="38.25" customHeight="1">
      <c r="A972" s="806" t="s">
        <v>109</v>
      </c>
      <c r="B972" s="800" t="s">
        <v>130</v>
      </c>
      <c r="C972" s="800" t="s">
        <v>261</v>
      </c>
      <c r="D972" s="800" t="s">
        <v>15667</v>
      </c>
      <c r="E972" s="801">
        <v>43018</v>
      </c>
      <c r="F972" s="800" t="s">
        <v>13997</v>
      </c>
      <c r="G972" s="800" t="s">
        <v>15668</v>
      </c>
      <c r="H972" s="800" t="s">
        <v>10433</v>
      </c>
      <c r="I972" s="800" t="s">
        <v>10433</v>
      </c>
      <c r="J972" s="800" t="s">
        <v>10447</v>
      </c>
      <c r="K972" s="800">
        <v>1</v>
      </c>
      <c r="L972" s="802" t="s">
        <v>10398</v>
      </c>
      <c r="M972" s="802" t="s">
        <v>15669</v>
      </c>
      <c r="N972" s="802" t="s">
        <v>15670</v>
      </c>
      <c r="O972" s="802" t="s">
        <v>15671</v>
      </c>
      <c r="P972" s="807" t="s">
        <v>15672</v>
      </c>
    </row>
    <row r="973" spans="1:16" s="341" customFormat="1" ht="25.5" customHeight="1">
      <c r="A973" s="806" t="s">
        <v>109</v>
      </c>
      <c r="B973" s="800" t="s">
        <v>130</v>
      </c>
      <c r="C973" s="800" t="s">
        <v>261</v>
      </c>
      <c r="D973" s="800" t="s">
        <v>15673</v>
      </c>
      <c r="E973" s="801">
        <v>43018</v>
      </c>
      <c r="F973" s="800" t="s">
        <v>13997</v>
      </c>
      <c r="G973" s="800" t="s">
        <v>15668</v>
      </c>
      <c r="H973" s="800" t="s">
        <v>10404</v>
      </c>
      <c r="I973" s="800" t="s">
        <v>10404</v>
      </c>
      <c r="J973" s="800" t="s">
        <v>10405</v>
      </c>
      <c r="K973" s="800">
        <v>1</v>
      </c>
      <c r="L973" s="802" t="s">
        <v>10398</v>
      </c>
      <c r="M973" s="802" t="s">
        <v>15674</v>
      </c>
      <c r="N973" s="802" t="s">
        <v>15675</v>
      </c>
      <c r="O973" s="802" t="s">
        <v>15676</v>
      </c>
      <c r="P973" s="807" t="s">
        <v>15677</v>
      </c>
    </row>
    <row r="974" spans="1:16" s="341" customFormat="1" ht="25.5" customHeight="1">
      <c r="A974" s="806" t="s">
        <v>109</v>
      </c>
      <c r="B974" s="800" t="s">
        <v>130</v>
      </c>
      <c r="C974" s="800" t="s">
        <v>261</v>
      </c>
      <c r="D974" s="800" t="s">
        <v>15678</v>
      </c>
      <c r="E974" s="801">
        <v>43021</v>
      </c>
      <c r="F974" s="800" t="s">
        <v>13997</v>
      </c>
      <c r="G974" s="800" t="s">
        <v>15679</v>
      </c>
      <c r="H974" s="800" t="s">
        <v>10396</v>
      </c>
      <c r="I974" s="800" t="s">
        <v>10396</v>
      </c>
      <c r="J974" s="800" t="s">
        <v>10397</v>
      </c>
      <c r="K974" s="800">
        <v>1</v>
      </c>
      <c r="L974" s="802" t="s">
        <v>10398</v>
      </c>
      <c r="M974" s="802" t="s">
        <v>15680</v>
      </c>
      <c r="N974" s="802" t="s">
        <v>15681</v>
      </c>
      <c r="O974" s="802" t="s">
        <v>15682</v>
      </c>
      <c r="P974" s="807" t="s">
        <v>15683</v>
      </c>
    </row>
    <row r="975" spans="1:16" s="341" customFormat="1" ht="25.5" customHeight="1">
      <c r="A975" s="806" t="s">
        <v>109</v>
      </c>
      <c r="B975" s="800" t="s">
        <v>130</v>
      </c>
      <c r="C975" s="800" t="s">
        <v>261</v>
      </c>
      <c r="D975" s="800" t="s">
        <v>15684</v>
      </c>
      <c r="E975" s="801">
        <v>43021</v>
      </c>
      <c r="F975" s="800" t="s">
        <v>13997</v>
      </c>
      <c r="G975" s="800" t="s">
        <v>15685</v>
      </c>
      <c r="H975" s="800" t="s">
        <v>10396</v>
      </c>
      <c r="I975" s="800" t="s">
        <v>10396</v>
      </c>
      <c r="J975" s="800" t="s">
        <v>10397</v>
      </c>
      <c r="K975" s="800">
        <v>1</v>
      </c>
      <c r="L975" s="802" t="s">
        <v>10398</v>
      </c>
      <c r="M975" s="802" t="s">
        <v>15686</v>
      </c>
      <c r="N975" s="802" t="s">
        <v>13802</v>
      </c>
      <c r="O975" s="802" t="s">
        <v>15687</v>
      </c>
      <c r="P975" s="807" t="s">
        <v>15688</v>
      </c>
    </row>
    <row r="976" spans="1:16" s="341" customFormat="1" ht="25.5" customHeight="1">
      <c r="A976" s="806" t="s">
        <v>109</v>
      </c>
      <c r="B976" s="800" t="s">
        <v>130</v>
      </c>
      <c r="C976" s="800" t="s">
        <v>261</v>
      </c>
      <c r="D976" s="800" t="s">
        <v>15689</v>
      </c>
      <c r="E976" s="801">
        <v>43021</v>
      </c>
      <c r="F976" s="800" t="s">
        <v>13997</v>
      </c>
      <c r="G976" s="800" t="s">
        <v>15690</v>
      </c>
      <c r="H976" s="800" t="s">
        <v>10433</v>
      </c>
      <c r="I976" s="800" t="s">
        <v>10433</v>
      </c>
      <c r="J976" s="800" t="s">
        <v>10447</v>
      </c>
      <c r="K976" s="800">
        <v>1</v>
      </c>
      <c r="L976" s="802" t="s">
        <v>10398</v>
      </c>
      <c r="M976" s="802" t="s">
        <v>15691</v>
      </c>
      <c r="N976" s="802" t="s">
        <v>15692</v>
      </c>
      <c r="O976" s="802" t="s">
        <v>15693</v>
      </c>
      <c r="P976" s="807" t="s">
        <v>15694</v>
      </c>
    </row>
    <row r="977" spans="1:16" s="341" customFormat="1" ht="25.5" customHeight="1">
      <c r="A977" s="806" t="s">
        <v>109</v>
      </c>
      <c r="B977" s="800" t="s">
        <v>130</v>
      </c>
      <c r="C977" s="800" t="s">
        <v>261</v>
      </c>
      <c r="D977" s="800" t="s">
        <v>15695</v>
      </c>
      <c r="E977" s="801">
        <v>43020</v>
      </c>
      <c r="F977" s="800" t="s">
        <v>13997</v>
      </c>
      <c r="G977" s="800" t="s">
        <v>15696</v>
      </c>
      <c r="H977" s="800" t="s">
        <v>10531</v>
      </c>
      <c r="I977" s="800" t="s">
        <v>10531</v>
      </c>
      <c r="J977" s="800" t="s">
        <v>10447</v>
      </c>
      <c r="K977" s="800">
        <v>1</v>
      </c>
      <c r="L977" s="802" t="s">
        <v>10398</v>
      </c>
      <c r="M977" s="802" t="s">
        <v>15697</v>
      </c>
      <c r="N977" s="802" t="s">
        <v>15698</v>
      </c>
      <c r="O977" s="802" t="s">
        <v>15699</v>
      </c>
      <c r="P977" s="807" t="s">
        <v>32</v>
      </c>
    </row>
    <row r="978" spans="1:16" s="341" customFormat="1" ht="25.5" customHeight="1">
      <c r="A978" s="806" t="s">
        <v>109</v>
      </c>
      <c r="B978" s="800" t="s">
        <v>130</v>
      </c>
      <c r="C978" s="800" t="s">
        <v>261</v>
      </c>
      <c r="D978" s="800" t="s">
        <v>15700</v>
      </c>
      <c r="E978" s="801">
        <v>43020</v>
      </c>
      <c r="F978" s="800" t="s">
        <v>13997</v>
      </c>
      <c r="G978" s="800" t="s">
        <v>15701</v>
      </c>
      <c r="H978" s="800" t="s">
        <v>10404</v>
      </c>
      <c r="I978" s="800" t="s">
        <v>10404</v>
      </c>
      <c r="J978" s="800" t="s">
        <v>4342</v>
      </c>
      <c r="K978" s="800">
        <v>1</v>
      </c>
      <c r="L978" s="802" t="s">
        <v>10398</v>
      </c>
      <c r="M978" s="802" t="s">
        <v>15702</v>
      </c>
      <c r="N978" s="802" t="s">
        <v>11364</v>
      </c>
      <c r="O978" s="802" t="s">
        <v>15703</v>
      </c>
      <c r="P978" s="807" t="s">
        <v>32</v>
      </c>
    </row>
    <row r="979" spans="1:16" s="341" customFormat="1" ht="25.5" customHeight="1">
      <c r="A979" s="806" t="s">
        <v>109</v>
      </c>
      <c r="B979" s="800" t="s">
        <v>130</v>
      </c>
      <c r="C979" s="800" t="s">
        <v>261</v>
      </c>
      <c r="D979" s="800" t="s">
        <v>15704</v>
      </c>
      <c r="E979" s="801">
        <v>43081</v>
      </c>
      <c r="F979" s="800" t="s">
        <v>13997</v>
      </c>
      <c r="G979" s="800" t="s">
        <v>15705</v>
      </c>
      <c r="H979" s="800" t="s">
        <v>10396</v>
      </c>
      <c r="I979" s="800" t="s">
        <v>10396</v>
      </c>
      <c r="J979" s="800" t="s">
        <v>10397</v>
      </c>
      <c r="K979" s="800">
        <v>1</v>
      </c>
      <c r="L979" s="802" t="s">
        <v>10398</v>
      </c>
      <c r="M979" s="802" t="s">
        <v>15706</v>
      </c>
      <c r="N979" s="802" t="s">
        <v>15707</v>
      </c>
      <c r="O979" s="802" t="s">
        <v>15708</v>
      </c>
      <c r="P979" s="807" t="s">
        <v>15709</v>
      </c>
    </row>
    <row r="980" spans="1:16" s="341" customFormat="1" ht="25.5" customHeight="1">
      <c r="A980" s="806" t="s">
        <v>109</v>
      </c>
      <c r="B980" s="800" t="s">
        <v>130</v>
      </c>
      <c r="C980" s="800" t="s">
        <v>261</v>
      </c>
      <c r="D980" s="800" t="s">
        <v>15710</v>
      </c>
      <c r="E980" s="801">
        <v>43020</v>
      </c>
      <c r="F980" s="800" t="s">
        <v>13997</v>
      </c>
      <c r="G980" s="800" t="s">
        <v>15711</v>
      </c>
      <c r="H980" s="800" t="s">
        <v>10404</v>
      </c>
      <c r="I980" s="800" t="s">
        <v>10404</v>
      </c>
      <c r="J980" s="800" t="s">
        <v>10405</v>
      </c>
      <c r="K980" s="800">
        <v>1</v>
      </c>
      <c r="L980" s="802" t="s">
        <v>10398</v>
      </c>
      <c r="M980" s="802" t="s">
        <v>15712</v>
      </c>
      <c r="N980" s="802" t="s">
        <v>10502</v>
      </c>
      <c r="O980" s="802" t="s">
        <v>15713</v>
      </c>
      <c r="P980" s="807" t="s">
        <v>15714</v>
      </c>
    </row>
    <row r="981" spans="1:16" s="341" customFormat="1" ht="25.5" customHeight="1">
      <c r="A981" s="806" t="s">
        <v>109</v>
      </c>
      <c r="B981" s="800" t="s">
        <v>130</v>
      </c>
      <c r="C981" s="800" t="s">
        <v>261</v>
      </c>
      <c r="D981" s="800" t="s">
        <v>15715</v>
      </c>
      <c r="E981" s="801">
        <v>43020</v>
      </c>
      <c r="F981" s="800" t="s">
        <v>13997</v>
      </c>
      <c r="G981" s="800" t="s">
        <v>15716</v>
      </c>
      <c r="H981" s="800" t="s">
        <v>10433</v>
      </c>
      <c r="I981" s="800" t="s">
        <v>10433</v>
      </c>
      <c r="J981" s="800" t="s">
        <v>10447</v>
      </c>
      <c r="K981" s="800">
        <v>1</v>
      </c>
      <c r="L981" s="802" t="s">
        <v>10605</v>
      </c>
      <c r="M981" s="802" t="s">
        <v>32</v>
      </c>
      <c r="N981" s="802" t="s">
        <v>15717</v>
      </c>
      <c r="O981" s="802" t="s">
        <v>15718</v>
      </c>
      <c r="P981" s="807" t="s">
        <v>14255</v>
      </c>
    </row>
    <row r="982" spans="1:16" s="341" customFormat="1" ht="25.5" customHeight="1">
      <c r="A982" s="806" t="s">
        <v>109</v>
      </c>
      <c r="B982" s="800" t="s">
        <v>130</v>
      </c>
      <c r="C982" s="800" t="s">
        <v>261</v>
      </c>
      <c r="D982" s="800" t="s">
        <v>15719</v>
      </c>
      <c r="E982" s="801">
        <v>43019</v>
      </c>
      <c r="F982" s="800" t="s">
        <v>13997</v>
      </c>
      <c r="G982" s="800" t="s">
        <v>15720</v>
      </c>
      <c r="H982" s="800" t="s">
        <v>10404</v>
      </c>
      <c r="I982" s="800" t="s">
        <v>10404</v>
      </c>
      <c r="J982" s="800" t="s">
        <v>10405</v>
      </c>
      <c r="K982" s="800">
        <v>1</v>
      </c>
      <c r="L982" s="802" t="s">
        <v>10398</v>
      </c>
      <c r="M982" s="802" t="s">
        <v>14418</v>
      </c>
      <c r="N982" s="802" t="s">
        <v>15721</v>
      </c>
      <c r="O982" s="802" t="s">
        <v>15722</v>
      </c>
      <c r="P982" s="807" t="s">
        <v>14415</v>
      </c>
    </row>
    <row r="983" spans="1:16" s="341" customFormat="1" ht="25.5" customHeight="1">
      <c r="A983" s="806" t="s">
        <v>109</v>
      </c>
      <c r="B983" s="800" t="s">
        <v>130</v>
      </c>
      <c r="C983" s="800" t="s">
        <v>261</v>
      </c>
      <c r="D983" s="800" t="s">
        <v>15723</v>
      </c>
      <c r="E983" s="801">
        <v>43018</v>
      </c>
      <c r="F983" s="800" t="s">
        <v>13997</v>
      </c>
      <c r="G983" s="800" t="s">
        <v>15724</v>
      </c>
      <c r="H983" s="800" t="s">
        <v>10404</v>
      </c>
      <c r="I983" s="800" t="s">
        <v>10404</v>
      </c>
      <c r="J983" s="800" t="s">
        <v>10405</v>
      </c>
      <c r="K983" s="800">
        <v>1</v>
      </c>
      <c r="L983" s="802" t="s">
        <v>10398</v>
      </c>
      <c r="M983" s="802" t="s">
        <v>14510</v>
      </c>
      <c r="N983" s="802" t="s">
        <v>13749</v>
      </c>
      <c r="O983" s="802" t="s">
        <v>15446</v>
      </c>
      <c r="P983" s="807" t="s">
        <v>32</v>
      </c>
    </row>
    <row r="984" spans="1:16" s="341" customFormat="1" ht="25.5" customHeight="1">
      <c r="A984" s="806" t="s">
        <v>109</v>
      </c>
      <c r="B984" s="800" t="s">
        <v>130</v>
      </c>
      <c r="C984" s="800" t="s">
        <v>261</v>
      </c>
      <c r="D984" s="800" t="s">
        <v>15725</v>
      </c>
      <c r="E984" s="801">
        <v>43017</v>
      </c>
      <c r="F984" s="800" t="s">
        <v>15619</v>
      </c>
      <c r="G984" s="800" t="s">
        <v>15726</v>
      </c>
      <c r="H984" s="800" t="s">
        <v>10396</v>
      </c>
      <c r="I984" s="800" t="s">
        <v>10396</v>
      </c>
      <c r="J984" s="800" t="s">
        <v>10405</v>
      </c>
      <c r="K984" s="800">
        <v>1</v>
      </c>
      <c r="L984" s="802" t="s">
        <v>10398</v>
      </c>
      <c r="M984" s="802" t="s">
        <v>15727</v>
      </c>
      <c r="N984" s="802" t="s">
        <v>15728</v>
      </c>
      <c r="O984" s="802" t="s">
        <v>15729</v>
      </c>
      <c r="P984" s="807" t="s">
        <v>15730</v>
      </c>
    </row>
    <row r="985" spans="1:16" s="341" customFormat="1" ht="25.5" customHeight="1">
      <c r="A985" s="806" t="s">
        <v>109</v>
      </c>
      <c r="B985" s="800" t="s">
        <v>130</v>
      </c>
      <c r="C985" s="800" t="s">
        <v>261</v>
      </c>
      <c r="D985" s="800" t="s">
        <v>15731</v>
      </c>
      <c r="E985" s="801">
        <v>43017</v>
      </c>
      <c r="F985" s="800" t="s">
        <v>15732</v>
      </c>
      <c r="G985" s="800" t="s">
        <v>15733</v>
      </c>
      <c r="H985" s="800" t="s">
        <v>10396</v>
      </c>
      <c r="I985" s="800" t="s">
        <v>10396</v>
      </c>
      <c r="J985" s="800" t="s">
        <v>10397</v>
      </c>
      <c r="K985" s="800">
        <v>1</v>
      </c>
      <c r="L985" s="802" t="s">
        <v>10398</v>
      </c>
      <c r="M985" s="802" t="s">
        <v>15734</v>
      </c>
      <c r="N985" s="802" t="s">
        <v>10435</v>
      </c>
      <c r="O985" s="802" t="s">
        <v>15735</v>
      </c>
      <c r="P985" s="807" t="s">
        <v>32</v>
      </c>
    </row>
    <row r="986" spans="1:16" s="341" customFormat="1" ht="25.5" customHeight="1">
      <c r="A986" s="806" t="s">
        <v>109</v>
      </c>
      <c r="B986" s="800" t="s">
        <v>130</v>
      </c>
      <c r="C986" s="800" t="s">
        <v>261</v>
      </c>
      <c r="D986" s="800" t="s">
        <v>15736</v>
      </c>
      <c r="E986" s="801">
        <v>43021</v>
      </c>
      <c r="F986" s="800" t="s">
        <v>32</v>
      </c>
      <c r="G986" s="800" t="s">
        <v>15737</v>
      </c>
      <c r="H986" s="800" t="s">
        <v>10404</v>
      </c>
      <c r="I986" s="800" t="s">
        <v>10404</v>
      </c>
      <c r="J986" s="800" t="s">
        <v>10447</v>
      </c>
      <c r="K986" s="800">
        <v>1</v>
      </c>
      <c r="L986" s="802" t="s">
        <v>10398</v>
      </c>
      <c r="M986" s="802" t="s">
        <v>15738</v>
      </c>
      <c r="N986" s="802" t="s">
        <v>11059</v>
      </c>
      <c r="O986" s="802" t="s">
        <v>15739</v>
      </c>
      <c r="P986" s="807" t="s">
        <v>15740</v>
      </c>
    </row>
    <row r="987" spans="1:16" s="341" customFormat="1" ht="25.5" customHeight="1">
      <c r="A987" s="806" t="s">
        <v>109</v>
      </c>
      <c r="B987" s="800" t="s">
        <v>130</v>
      </c>
      <c r="C987" s="800" t="s">
        <v>130</v>
      </c>
      <c r="D987" s="800" t="s">
        <v>15741</v>
      </c>
      <c r="E987" s="801">
        <v>43020</v>
      </c>
      <c r="F987" s="800" t="s">
        <v>13997</v>
      </c>
      <c r="G987" s="800" t="s">
        <v>15742</v>
      </c>
      <c r="H987" s="800" t="s">
        <v>10531</v>
      </c>
      <c r="I987" s="800" t="s">
        <v>10531</v>
      </c>
      <c r="J987" s="800" t="s">
        <v>10397</v>
      </c>
      <c r="K987" s="800">
        <v>1</v>
      </c>
      <c r="L987" s="802" t="s">
        <v>10398</v>
      </c>
      <c r="M987" s="802" t="s">
        <v>15743</v>
      </c>
      <c r="N987" s="802" t="s">
        <v>15744</v>
      </c>
      <c r="O987" s="802" t="s">
        <v>15745</v>
      </c>
      <c r="P987" s="807" t="s">
        <v>15746</v>
      </c>
    </row>
    <row r="988" spans="1:16" s="341" customFormat="1" ht="25.5" customHeight="1">
      <c r="A988" s="806" t="s">
        <v>109</v>
      </c>
      <c r="B988" s="800" t="s">
        <v>130</v>
      </c>
      <c r="C988" s="800" t="s">
        <v>130</v>
      </c>
      <c r="D988" s="800" t="s">
        <v>15747</v>
      </c>
      <c r="E988" s="801">
        <v>43017</v>
      </c>
      <c r="F988" s="800" t="s">
        <v>15364</v>
      </c>
      <c r="G988" s="800" t="s">
        <v>15364</v>
      </c>
      <c r="H988" s="800" t="s">
        <v>10433</v>
      </c>
      <c r="I988" s="800" t="s">
        <v>10433</v>
      </c>
      <c r="J988" s="800" t="s">
        <v>10447</v>
      </c>
      <c r="K988" s="800">
        <v>1</v>
      </c>
      <c r="L988" s="802" t="s">
        <v>10398</v>
      </c>
      <c r="M988" s="802" t="s">
        <v>32</v>
      </c>
      <c r="N988" s="802" t="s">
        <v>15748</v>
      </c>
      <c r="O988" s="802" t="s">
        <v>15749</v>
      </c>
      <c r="P988" s="807" t="s">
        <v>32</v>
      </c>
    </row>
    <row r="989" spans="1:16" s="341" customFormat="1" ht="25.5" customHeight="1">
      <c r="A989" s="806" t="s">
        <v>109</v>
      </c>
      <c r="B989" s="800" t="s">
        <v>130</v>
      </c>
      <c r="C989" s="800" t="s">
        <v>130</v>
      </c>
      <c r="D989" s="800" t="s">
        <v>15750</v>
      </c>
      <c r="E989" s="801">
        <v>43019</v>
      </c>
      <c r="F989" s="800" t="s">
        <v>15751</v>
      </c>
      <c r="G989" s="800" t="s">
        <v>15752</v>
      </c>
      <c r="H989" s="800" t="s">
        <v>10396</v>
      </c>
      <c r="I989" s="800" t="s">
        <v>10396</v>
      </c>
      <c r="J989" s="800" t="s">
        <v>10405</v>
      </c>
      <c r="K989" s="800">
        <v>1</v>
      </c>
      <c r="L989" s="802" t="s">
        <v>10398</v>
      </c>
      <c r="M989" s="802" t="s">
        <v>15753</v>
      </c>
      <c r="N989" s="802" t="s">
        <v>15754</v>
      </c>
      <c r="O989" s="802" t="s">
        <v>15755</v>
      </c>
      <c r="P989" s="807" t="s">
        <v>15756</v>
      </c>
    </row>
    <row r="990" spans="1:16" s="341" customFormat="1" ht="25.5" customHeight="1">
      <c r="A990" s="806" t="s">
        <v>109</v>
      </c>
      <c r="B990" s="800" t="s">
        <v>130</v>
      </c>
      <c r="C990" s="800" t="s">
        <v>130</v>
      </c>
      <c r="D990" s="800" t="s">
        <v>15757</v>
      </c>
      <c r="E990" s="801">
        <v>43019</v>
      </c>
      <c r="F990" s="800" t="s">
        <v>15758</v>
      </c>
      <c r="G990" s="800" t="s">
        <v>15759</v>
      </c>
      <c r="H990" s="800" t="s">
        <v>10531</v>
      </c>
      <c r="I990" s="800" t="s">
        <v>10531</v>
      </c>
      <c r="J990" s="800" t="s">
        <v>10405</v>
      </c>
      <c r="K990" s="800">
        <v>1</v>
      </c>
      <c r="L990" s="802" t="s">
        <v>10605</v>
      </c>
      <c r="M990" s="802" t="s">
        <v>32</v>
      </c>
      <c r="N990" s="802" t="s">
        <v>13861</v>
      </c>
      <c r="O990" s="802" t="s">
        <v>15760</v>
      </c>
      <c r="P990" s="807" t="s">
        <v>15761</v>
      </c>
    </row>
    <row r="991" spans="1:16" s="341" customFormat="1" ht="25.5" customHeight="1">
      <c r="A991" s="806" t="s">
        <v>109</v>
      </c>
      <c r="B991" s="800" t="s">
        <v>130</v>
      </c>
      <c r="C991" s="800" t="s">
        <v>130</v>
      </c>
      <c r="D991" s="800" t="s">
        <v>15762</v>
      </c>
      <c r="E991" s="801">
        <v>43019</v>
      </c>
      <c r="F991" s="800" t="s">
        <v>15751</v>
      </c>
      <c r="G991" s="800" t="s">
        <v>32</v>
      </c>
      <c r="H991" s="800" t="s">
        <v>10404</v>
      </c>
      <c r="I991" s="800" t="s">
        <v>10404</v>
      </c>
      <c r="J991" s="800" t="s">
        <v>10447</v>
      </c>
      <c r="K991" s="800">
        <v>1</v>
      </c>
      <c r="L991" s="802" t="s">
        <v>10398</v>
      </c>
      <c r="M991" s="802" t="s">
        <v>15763</v>
      </c>
      <c r="N991" s="802" t="s">
        <v>15764</v>
      </c>
      <c r="O991" s="802" t="s">
        <v>15765</v>
      </c>
      <c r="P991" s="807" t="s">
        <v>32</v>
      </c>
    </row>
    <row r="992" spans="1:16" s="341" customFormat="1" ht="38.25">
      <c r="A992" s="806" t="s">
        <v>109</v>
      </c>
      <c r="B992" s="800" t="s">
        <v>130</v>
      </c>
      <c r="C992" s="800" t="s">
        <v>130</v>
      </c>
      <c r="D992" s="800" t="s">
        <v>15766</v>
      </c>
      <c r="E992" s="801">
        <v>43020</v>
      </c>
      <c r="F992" s="800" t="s">
        <v>15751</v>
      </c>
      <c r="G992" s="800" t="s">
        <v>15767</v>
      </c>
      <c r="H992" s="800" t="s">
        <v>10396</v>
      </c>
      <c r="I992" s="800" t="s">
        <v>10396</v>
      </c>
      <c r="J992" s="800" t="s">
        <v>10447</v>
      </c>
      <c r="K992" s="800">
        <v>1</v>
      </c>
      <c r="L992" s="802" t="s">
        <v>11026</v>
      </c>
      <c r="M992" s="802" t="s">
        <v>15768</v>
      </c>
      <c r="N992" s="802" t="s">
        <v>15769</v>
      </c>
      <c r="O992" s="802" t="s">
        <v>15770</v>
      </c>
      <c r="P992" s="807" t="s">
        <v>15771</v>
      </c>
    </row>
    <row r="993" spans="1:16" s="341" customFormat="1" ht="25.5" customHeight="1">
      <c r="A993" s="806" t="s">
        <v>109</v>
      </c>
      <c r="B993" s="800" t="s">
        <v>130</v>
      </c>
      <c r="C993" s="800" t="s">
        <v>130</v>
      </c>
      <c r="D993" s="800" t="s">
        <v>15772</v>
      </c>
      <c r="E993" s="801">
        <v>43020</v>
      </c>
      <c r="F993" s="800" t="s">
        <v>15751</v>
      </c>
      <c r="G993" s="800" t="s">
        <v>15773</v>
      </c>
      <c r="H993" s="800" t="s">
        <v>10396</v>
      </c>
      <c r="I993" s="800" t="s">
        <v>10396</v>
      </c>
      <c r="J993" s="800" t="s">
        <v>10447</v>
      </c>
      <c r="K993" s="800">
        <v>1</v>
      </c>
      <c r="L993" s="802" t="s">
        <v>11026</v>
      </c>
      <c r="M993" s="802" t="s">
        <v>15774</v>
      </c>
      <c r="N993" s="802" t="s">
        <v>15775</v>
      </c>
      <c r="O993" s="802" t="s">
        <v>15776</v>
      </c>
      <c r="P993" s="807" t="s">
        <v>15771</v>
      </c>
    </row>
    <row r="994" spans="1:16" s="341" customFormat="1" ht="25.5" customHeight="1">
      <c r="A994" s="806" t="s">
        <v>109</v>
      </c>
      <c r="B994" s="800" t="s">
        <v>130</v>
      </c>
      <c r="C994" s="800" t="s">
        <v>130</v>
      </c>
      <c r="D994" s="800" t="s">
        <v>15777</v>
      </c>
      <c r="E994" s="801">
        <v>43020</v>
      </c>
      <c r="F994" s="800" t="s">
        <v>15751</v>
      </c>
      <c r="G994" s="800" t="s">
        <v>15778</v>
      </c>
      <c r="H994" s="800" t="s">
        <v>10396</v>
      </c>
      <c r="I994" s="800" t="s">
        <v>10396</v>
      </c>
      <c r="J994" s="800" t="s">
        <v>10447</v>
      </c>
      <c r="K994" s="800">
        <v>1</v>
      </c>
      <c r="L994" s="802" t="s">
        <v>11026</v>
      </c>
      <c r="M994" s="802" t="s">
        <v>15779</v>
      </c>
      <c r="N994" s="802" t="s">
        <v>15339</v>
      </c>
      <c r="O994" s="802" t="s">
        <v>15780</v>
      </c>
      <c r="P994" s="807" t="s">
        <v>15781</v>
      </c>
    </row>
    <row r="995" spans="1:16" s="341" customFormat="1" ht="25.5" customHeight="1">
      <c r="A995" s="806" t="s">
        <v>109</v>
      </c>
      <c r="B995" s="800" t="s">
        <v>130</v>
      </c>
      <c r="C995" s="800" t="s">
        <v>130</v>
      </c>
      <c r="D995" s="800" t="s">
        <v>15782</v>
      </c>
      <c r="E995" s="801">
        <v>43019</v>
      </c>
      <c r="F995" s="800" t="s">
        <v>15751</v>
      </c>
      <c r="G995" s="800" t="s">
        <v>15783</v>
      </c>
      <c r="H995" s="800" t="s">
        <v>10396</v>
      </c>
      <c r="I995" s="800" t="s">
        <v>10396</v>
      </c>
      <c r="J995" s="800" t="s">
        <v>10405</v>
      </c>
      <c r="K995" s="800">
        <v>1</v>
      </c>
      <c r="L995" s="802" t="s">
        <v>10398</v>
      </c>
      <c r="M995" s="802" t="s">
        <v>15784</v>
      </c>
      <c r="N995" s="802" t="s">
        <v>11404</v>
      </c>
      <c r="O995" s="802" t="s">
        <v>15785</v>
      </c>
      <c r="P995" s="807" t="s">
        <v>15786</v>
      </c>
    </row>
    <row r="996" spans="1:16" s="341" customFormat="1" ht="38.25">
      <c r="A996" s="806" t="s">
        <v>109</v>
      </c>
      <c r="B996" s="800" t="s">
        <v>130</v>
      </c>
      <c r="C996" s="800" t="s">
        <v>130</v>
      </c>
      <c r="D996" s="800" t="s">
        <v>15787</v>
      </c>
      <c r="E996" s="801">
        <v>43020</v>
      </c>
      <c r="F996" s="800" t="s">
        <v>15751</v>
      </c>
      <c r="G996" s="800" t="s">
        <v>15788</v>
      </c>
      <c r="H996" s="800" t="s">
        <v>10531</v>
      </c>
      <c r="I996" s="800" t="s">
        <v>10531</v>
      </c>
      <c r="J996" s="800" t="s">
        <v>10447</v>
      </c>
      <c r="K996" s="800">
        <v>1</v>
      </c>
      <c r="L996" s="802" t="s">
        <v>11026</v>
      </c>
      <c r="M996" s="802" t="s">
        <v>15789</v>
      </c>
      <c r="N996" s="802" t="s">
        <v>15790</v>
      </c>
      <c r="O996" s="802" t="s">
        <v>15791</v>
      </c>
      <c r="P996" s="807" t="s">
        <v>15792</v>
      </c>
    </row>
    <row r="997" spans="1:16" s="341" customFormat="1" ht="38.25">
      <c r="A997" s="806" t="s">
        <v>109</v>
      </c>
      <c r="B997" s="800" t="s">
        <v>130</v>
      </c>
      <c r="C997" s="800" t="s">
        <v>130</v>
      </c>
      <c r="D997" s="800" t="s">
        <v>15793</v>
      </c>
      <c r="E997" s="801">
        <v>43019</v>
      </c>
      <c r="F997" s="800" t="s">
        <v>15751</v>
      </c>
      <c r="G997" s="800" t="s">
        <v>15794</v>
      </c>
      <c r="H997" s="800" t="s">
        <v>10531</v>
      </c>
      <c r="I997" s="800" t="s">
        <v>10531</v>
      </c>
      <c r="J997" s="800" t="s">
        <v>10447</v>
      </c>
      <c r="K997" s="800">
        <v>1</v>
      </c>
      <c r="L997" s="802" t="s">
        <v>11026</v>
      </c>
      <c r="M997" s="802" t="s">
        <v>15795</v>
      </c>
      <c r="N997" s="802" t="s">
        <v>15796</v>
      </c>
      <c r="O997" s="802" t="s">
        <v>15797</v>
      </c>
      <c r="P997" s="807" t="s">
        <v>15798</v>
      </c>
    </row>
    <row r="998" spans="1:16" s="341" customFormat="1" ht="25.5" customHeight="1">
      <c r="A998" s="806" t="s">
        <v>109</v>
      </c>
      <c r="B998" s="800" t="s">
        <v>130</v>
      </c>
      <c r="C998" s="800" t="s">
        <v>130</v>
      </c>
      <c r="D998" s="800" t="s">
        <v>15799</v>
      </c>
      <c r="E998" s="801">
        <v>43020</v>
      </c>
      <c r="F998" s="800" t="s">
        <v>15800</v>
      </c>
      <c r="G998" s="800" t="s">
        <v>15801</v>
      </c>
      <c r="H998" s="800" t="s">
        <v>10396</v>
      </c>
      <c r="I998" s="800" t="s">
        <v>10396</v>
      </c>
      <c r="J998" s="800" t="s">
        <v>10447</v>
      </c>
      <c r="K998" s="800">
        <v>1</v>
      </c>
      <c r="L998" s="802" t="s">
        <v>10605</v>
      </c>
      <c r="M998" s="802" t="s">
        <v>32</v>
      </c>
      <c r="N998" s="802" t="s">
        <v>14580</v>
      </c>
      <c r="O998" s="802" t="s">
        <v>15802</v>
      </c>
      <c r="P998" s="807" t="s">
        <v>15803</v>
      </c>
    </row>
    <row r="999" spans="1:16" s="341" customFormat="1" ht="25.5" customHeight="1">
      <c r="A999" s="806" t="s">
        <v>109</v>
      </c>
      <c r="B999" s="800" t="s">
        <v>130</v>
      </c>
      <c r="C999" s="800" t="s">
        <v>130</v>
      </c>
      <c r="D999" s="800" t="s">
        <v>15804</v>
      </c>
      <c r="E999" s="801">
        <v>43019</v>
      </c>
      <c r="F999" s="800" t="s">
        <v>15751</v>
      </c>
      <c r="G999" s="800" t="s">
        <v>15751</v>
      </c>
      <c r="H999" s="800" t="s">
        <v>10531</v>
      </c>
      <c r="I999" s="800" t="s">
        <v>10531</v>
      </c>
      <c r="J999" s="800" t="s">
        <v>10447</v>
      </c>
      <c r="K999" s="800">
        <v>1</v>
      </c>
      <c r="L999" s="802" t="s">
        <v>10398</v>
      </c>
      <c r="M999" s="802" t="s">
        <v>15805</v>
      </c>
      <c r="N999" s="802" t="s">
        <v>15806</v>
      </c>
      <c r="O999" s="802" t="s">
        <v>15807</v>
      </c>
      <c r="P999" s="807" t="s">
        <v>15808</v>
      </c>
    </row>
    <row r="1000" spans="1:16" s="341" customFormat="1" ht="38.25">
      <c r="A1000" s="806" t="s">
        <v>109</v>
      </c>
      <c r="B1000" s="800" t="s">
        <v>130</v>
      </c>
      <c r="C1000" s="800" t="s">
        <v>130</v>
      </c>
      <c r="D1000" s="800" t="s">
        <v>15809</v>
      </c>
      <c r="E1000" s="801">
        <v>43019</v>
      </c>
      <c r="F1000" s="800" t="s">
        <v>15751</v>
      </c>
      <c r="G1000" s="800" t="s">
        <v>15810</v>
      </c>
      <c r="H1000" s="800" t="s">
        <v>10531</v>
      </c>
      <c r="I1000" s="800" t="s">
        <v>10531</v>
      </c>
      <c r="J1000" s="800" t="s">
        <v>10405</v>
      </c>
      <c r="K1000" s="800">
        <v>1</v>
      </c>
      <c r="L1000" s="802" t="s">
        <v>10398</v>
      </c>
      <c r="M1000" s="802" t="s">
        <v>15811</v>
      </c>
      <c r="N1000" s="802" t="s">
        <v>12406</v>
      </c>
      <c r="O1000" s="802" t="s">
        <v>15812</v>
      </c>
      <c r="P1000" s="807" t="s">
        <v>15813</v>
      </c>
    </row>
    <row r="1001" spans="1:16" s="341" customFormat="1" ht="25.5" customHeight="1">
      <c r="A1001" s="806" t="s">
        <v>109</v>
      </c>
      <c r="B1001" s="800" t="s">
        <v>130</v>
      </c>
      <c r="C1001" s="800" t="s">
        <v>130</v>
      </c>
      <c r="D1001" s="800" t="s">
        <v>15814</v>
      </c>
      <c r="E1001" s="801">
        <v>43020</v>
      </c>
      <c r="F1001" s="800" t="s">
        <v>15751</v>
      </c>
      <c r="G1001" s="800" t="s">
        <v>15815</v>
      </c>
      <c r="H1001" s="800" t="s">
        <v>10531</v>
      </c>
      <c r="I1001" s="800" t="s">
        <v>10531</v>
      </c>
      <c r="J1001" s="800" t="s">
        <v>10447</v>
      </c>
      <c r="K1001" s="800">
        <v>1</v>
      </c>
      <c r="L1001" s="802" t="s">
        <v>10398</v>
      </c>
      <c r="M1001" s="802" t="s">
        <v>15816</v>
      </c>
      <c r="N1001" s="802" t="s">
        <v>15817</v>
      </c>
      <c r="O1001" s="802" t="s">
        <v>15818</v>
      </c>
      <c r="P1001" s="807" t="s">
        <v>15819</v>
      </c>
    </row>
    <row r="1002" spans="1:16" s="341" customFormat="1" ht="15" customHeight="1">
      <c r="A1002" s="806" t="s">
        <v>109</v>
      </c>
      <c r="B1002" s="800" t="s">
        <v>130</v>
      </c>
      <c r="C1002" s="800" t="s">
        <v>130</v>
      </c>
      <c r="D1002" s="800" t="s">
        <v>15820</v>
      </c>
      <c r="E1002" s="801">
        <v>43020</v>
      </c>
      <c r="F1002" s="800" t="s">
        <v>15751</v>
      </c>
      <c r="G1002" s="800" t="s">
        <v>15821</v>
      </c>
      <c r="H1002" s="800" t="s">
        <v>10433</v>
      </c>
      <c r="I1002" s="800" t="s">
        <v>10433</v>
      </c>
      <c r="J1002" s="800" t="s">
        <v>10447</v>
      </c>
      <c r="K1002" s="800">
        <v>1</v>
      </c>
      <c r="L1002" s="802" t="s">
        <v>10398</v>
      </c>
      <c r="M1002" s="802" t="s">
        <v>15822</v>
      </c>
      <c r="N1002" s="802" t="s">
        <v>15823</v>
      </c>
      <c r="O1002" s="802" t="s">
        <v>15824</v>
      </c>
      <c r="P1002" s="807" t="s">
        <v>15825</v>
      </c>
    </row>
    <row r="1003" spans="1:16" s="341" customFormat="1" ht="25.5" customHeight="1">
      <c r="A1003" s="806" t="s">
        <v>109</v>
      </c>
      <c r="B1003" s="800" t="s">
        <v>130</v>
      </c>
      <c r="C1003" s="800" t="s">
        <v>130</v>
      </c>
      <c r="D1003" s="800" t="s">
        <v>15826</v>
      </c>
      <c r="E1003" s="801">
        <v>43020</v>
      </c>
      <c r="F1003" s="800" t="s">
        <v>15751</v>
      </c>
      <c r="G1003" s="800" t="s">
        <v>15827</v>
      </c>
      <c r="H1003" s="800" t="s">
        <v>10433</v>
      </c>
      <c r="I1003" s="800" t="s">
        <v>10433</v>
      </c>
      <c r="J1003" s="800" t="s">
        <v>10447</v>
      </c>
      <c r="K1003" s="800">
        <v>1</v>
      </c>
      <c r="L1003" s="802" t="s">
        <v>10398</v>
      </c>
      <c r="M1003" s="802" t="s">
        <v>15828</v>
      </c>
      <c r="N1003" s="802" t="s">
        <v>15829</v>
      </c>
      <c r="O1003" s="802" t="s">
        <v>15830</v>
      </c>
      <c r="P1003" s="807" t="s">
        <v>15831</v>
      </c>
    </row>
    <row r="1004" spans="1:16" s="341" customFormat="1" ht="25.5" customHeight="1">
      <c r="A1004" s="806" t="s">
        <v>109</v>
      </c>
      <c r="B1004" s="800" t="s">
        <v>130</v>
      </c>
      <c r="C1004" s="800" t="s">
        <v>130</v>
      </c>
      <c r="D1004" s="800" t="s">
        <v>15832</v>
      </c>
      <c r="E1004" s="801">
        <v>43018</v>
      </c>
      <c r="F1004" s="800" t="s">
        <v>15833</v>
      </c>
      <c r="G1004" s="800" t="s">
        <v>15834</v>
      </c>
      <c r="H1004" s="800" t="s">
        <v>10404</v>
      </c>
      <c r="I1004" s="800" t="s">
        <v>10404</v>
      </c>
      <c r="J1004" s="800" t="s">
        <v>10405</v>
      </c>
      <c r="K1004" s="800">
        <v>1</v>
      </c>
      <c r="L1004" s="802" t="s">
        <v>10398</v>
      </c>
      <c r="M1004" s="802" t="s">
        <v>15835</v>
      </c>
      <c r="N1004" s="802" t="s">
        <v>11155</v>
      </c>
      <c r="O1004" s="802" t="s">
        <v>15836</v>
      </c>
      <c r="P1004" s="807" t="s">
        <v>15837</v>
      </c>
    </row>
    <row r="1005" spans="1:16" s="341" customFormat="1" ht="25.5" customHeight="1">
      <c r="A1005" s="806" t="s">
        <v>109</v>
      </c>
      <c r="B1005" s="800" t="s">
        <v>130</v>
      </c>
      <c r="C1005" s="800" t="s">
        <v>130</v>
      </c>
      <c r="D1005" s="800" t="s">
        <v>15838</v>
      </c>
      <c r="E1005" s="801">
        <v>43018</v>
      </c>
      <c r="F1005" s="800" t="s">
        <v>15833</v>
      </c>
      <c r="G1005" s="800" t="s">
        <v>15839</v>
      </c>
      <c r="H1005" s="800" t="s">
        <v>10531</v>
      </c>
      <c r="I1005" s="800" t="s">
        <v>10531</v>
      </c>
      <c r="J1005" s="800" t="s">
        <v>10447</v>
      </c>
      <c r="K1005" s="800">
        <v>1</v>
      </c>
      <c r="L1005" s="802" t="s">
        <v>11026</v>
      </c>
      <c r="M1005" s="802" t="s">
        <v>15840</v>
      </c>
      <c r="N1005" s="802" t="s">
        <v>15841</v>
      </c>
      <c r="O1005" s="802" t="s">
        <v>15842</v>
      </c>
      <c r="P1005" s="807" t="s">
        <v>15843</v>
      </c>
    </row>
    <row r="1006" spans="1:16" s="341" customFormat="1" ht="25.5" customHeight="1">
      <c r="A1006" s="806" t="s">
        <v>109</v>
      </c>
      <c r="B1006" s="800" t="s">
        <v>130</v>
      </c>
      <c r="C1006" s="800" t="s">
        <v>130</v>
      </c>
      <c r="D1006" s="800" t="s">
        <v>15844</v>
      </c>
      <c r="E1006" s="801">
        <v>43018</v>
      </c>
      <c r="F1006" s="800" t="s">
        <v>15833</v>
      </c>
      <c r="G1006" s="800" t="s">
        <v>15845</v>
      </c>
      <c r="H1006" s="800" t="s">
        <v>10531</v>
      </c>
      <c r="I1006" s="800" t="s">
        <v>10531</v>
      </c>
      <c r="J1006" s="800" t="s">
        <v>10405</v>
      </c>
      <c r="K1006" s="800">
        <v>1</v>
      </c>
      <c r="L1006" s="802" t="s">
        <v>10398</v>
      </c>
      <c r="M1006" s="802" t="s">
        <v>32</v>
      </c>
      <c r="N1006" s="802" t="s">
        <v>15846</v>
      </c>
      <c r="O1006" s="802" t="s">
        <v>15842</v>
      </c>
      <c r="P1006" s="807" t="s">
        <v>15847</v>
      </c>
    </row>
    <row r="1007" spans="1:16" s="341" customFormat="1" ht="25.5" customHeight="1">
      <c r="A1007" s="806" t="s">
        <v>109</v>
      </c>
      <c r="B1007" s="800" t="s">
        <v>130</v>
      </c>
      <c r="C1007" s="800" t="s">
        <v>130</v>
      </c>
      <c r="D1007" s="800" t="s">
        <v>15848</v>
      </c>
      <c r="E1007" s="801">
        <v>43018</v>
      </c>
      <c r="F1007" s="800" t="s">
        <v>15849</v>
      </c>
      <c r="G1007" s="800" t="s">
        <v>15850</v>
      </c>
      <c r="H1007" s="800" t="s">
        <v>10531</v>
      </c>
      <c r="I1007" s="800" t="s">
        <v>10531</v>
      </c>
      <c r="J1007" s="800" t="s">
        <v>10405</v>
      </c>
      <c r="K1007" s="800">
        <v>1</v>
      </c>
      <c r="L1007" s="802" t="s">
        <v>11026</v>
      </c>
      <c r="M1007" s="802" t="s">
        <v>15851</v>
      </c>
      <c r="N1007" s="802" t="s">
        <v>15852</v>
      </c>
      <c r="O1007" s="802" t="s">
        <v>15853</v>
      </c>
      <c r="P1007" s="807" t="s">
        <v>15843</v>
      </c>
    </row>
    <row r="1008" spans="1:16" s="341" customFormat="1" ht="25.5" customHeight="1">
      <c r="A1008" s="806" t="s">
        <v>109</v>
      </c>
      <c r="B1008" s="800" t="s">
        <v>130</v>
      </c>
      <c r="C1008" s="800" t="s">
        <v>130</v>
      </c>
      <c r="D1008" s="800" t="s">
        <v>15854</v>
      </c>
      <c r="E1008" s="801">
        <v>43018</v>
      </c>
      <c r="F1008" s="800" t="s">
        <v>15833</v>
      </c>
      <c r="G1008" s="800" t="s">
        <v>15855</v>
      </c>
      <c r="H1008" s="800" t="s">
        <v>10531</v>
      </c>
      <c r="I1008" s="800" t="s">
        <v>10531</v>
      </c>
      <c r="J1008" s="800" t="s">
        <v>10664</v>
      </c>
      <c r="K1008" s="800">
        <v>1</v>
      </c>
      <c r="L1008" s="802" t="s">
        <v>10398</v>
      </c>
      <c r="M1008" s="802" t="s">
        <v>32</v>
      </c>
      <c r="N1008" s="802" t="s">
        <v>15856</v>
      </c>
      <c r="O1008" s="802" t="s">
        <v>15857</v>
      </c>
      <c r="P1008" s="807" t="s">
        <v>15858</v>
      </c>
    </row>
    <row r="1009" spans="1:16" s="341" customFormat="1" ht="25.5" customHeight="1">
      <c r="A1009" s="806" t="s">
        <v>109</v>
      </c>
      <c r="B1009" s="800" t="s">
        <v>130</v>
      </c>
      <c r="C1009" s="800" t="s">
        <v>130</v>
      </c>
      <c r="D1009" s="800" t="s">
        <v>15859</v>
      </c>
      <c r="E1009" s="801">
        <v>43017</v>
      </c>
      <c r="F1009" s="800" t="s">
        <v>15833</v>
      </c>
      <c r="G1009" s="800" t="s">
        <v>15860</v>
      </c>
      <c r="H1009" s="800" t="s">
        <v>10396</v>
      </c>
      <c r="I1009" s="800" t="s">
        <v>10396</v>
      </c>
      <c r="J1009" s="800" t="s">
        <v>10397</v>
      </c>
      <c r="K1009" s="800">
        <v>1</v>
      </c>
      <c r="L1009" s="802" t="s">
        <v>10398</v>
      </c>
      <c r="M1009" s="802" t="s">
        <v>15861</v>
      </c>
      <c r="N1009" s="802" t="s">
        <v>11155</v>
      </c>
      <c r="O1009" s="802" t="s">
        <v>15862</v>
      </c>
      <c r="P1009" s="807" t="s">
        <v>32</v>
      </c>
    </row>
    <row r="1010" spans="1:16" s="341" customFormat="1" ht="25.5" customHeight="1">
      <c r="A1010" s="806" t="s">
        <v>109</v>
      </c>
      <c r="B1010" s="800" t="s">
        <v>130</v>
      </c>
      <c r="C1010" s="800" t="s">
        <v>130</v>
      </c>
      <c r="D1010" s="800" t="s">
        <v>15863</v>
      </c>
      <c r="E1010" s="801">
        <v>43017</v>
      </c>
      <c r="F1010" s="800" t="s">
        <v>15833</v>
      </c>
      <c r="G1010" s="800" t="s">
        <v>15864</v>
      </c>
      <c r="H1010" s="800" t="s">
        <v>10396</v>
      </c>
      <c r="I1010" s="800" t="s">
        <v>10396</v>
      </c>
      <c r="J1010" s="800" t="s">
        <v>10426</v>
      </c>
      <c r="K1010" s="800">
        <v>1</v>
      </c>
      <c r="L1010" s="802" t="s">
        <v>10398</v>
      </c>
      <c r="M1010" s="802" t="s">
        <v>15865</v>
      </c>
      <c r="N1010" s="802" t="s">
        <v>12328</v>
      </c>
      <c r="O1010" s="802" t="s">
        <v>15866</v>
      </c>
      <c r="P1010" s="807" t="s">
        <v>15867</v>
      </c>
    </row>
    <row r="1011" spans="1:16" s="341" customFormat="1" ht="25.5" customHeight="1">
      <c r="A1011" s="806" t="s">
        <v>109</v>
      </c>
      <c r="B1011" s="800" t="s">
        <v>130</v>
      </c>
      <c r="C1011" s="800" t="s">
        <v>130</v>
      </c>
      <c r="D1011" s="800" t="s">
        <v>15868</v>
      </c>
      <c r="E1011" s="801">
        <v>43017</v>
      </c>
      <c r="F1011" s="800" t="s">
        <v>15833</v>
      </c>
      <c r="G1011" s="800" t="s">
        <v>15869</v>
      </c>
      <c r="H1011" s="800" t="s">
        <v>10396</v>
      </c>
      <c r="I1011" s="800" t="s">
        <v>10396</v>
      </c>
      <c r="J1011" s="800" t="s">
        <v>10397</v>
      </c>
      <c r="K1011" s="800">
        <v>1</v>
      </c>
      <c r="L1011" s="802" t="s">
        <v>10398</v>
      </c>
      <c r="M1011" s="802" t="s">
        <v>15870</v>
      </c>
      <c r="N1011" s="802" t="s">
        <v>14146</v>
      </c>
      <c r="O1011" s="802" t="s">
        <v>15866</v>
      </c>
      <c r="P1011" s="807" t="s">
        <v>15871</v>
      </c>
    </row>
    <row r="1012" spans="1:16" s="341" customFormat="1" ht="25.5" customHeight="1">
      <c r="A1012" s="806" t="s">
        <v>109</v>
      </c>
      <c r="B1012" s="800" t="s">
        <v>130</v>
      </c>
      <c r="C1012" s="800" t="s">
        <v>130</v>
      </c>
      <c r="D1012" s="800" t="s">
        <v>15872</v>
      </c>
      <c r="E1012" s="801">
        <v>43017</v>
      </c>
      <c r="F1012" s="800" t="s">
        <v>15833</v>
      </c>
      <c r="G1012" s="800" t="s">
        <v>15873</v>
      </c>
      <c r="H1012" s="800" t="s">
        <v>10396</v>
      </c>
      <c r="I1012" s="800" t="s">
        <v>10396</v>
      </c>
      <c r="J1012" s="800" t="s">
        <v>10397</v>
      </c>
      <c r="K1012" s="800">
        <v>1</v>
      </c>
      <c r="L1012" s="802" t="s">
        <v>10398</v>
      </c>
      <c r="M1012" s="802" t="s">
        <v>15874</v>
      </c>
      <c r="N1012" s="802" t="s">
        <v>15875</v>
      </c>
      <c r="O1012" s="802" t="s">
        <v>15866</v>
      </c>
      <c r="P1012" s="807" t="s">
        <v>15876</v>
      </c>
    </row>
    <row r="1013" spans="1:16" s="341" customFormat="1" ht="15" customHeight="1">
      <c r="A1013" s="806" t="s">
        <v>109</v>
      </c>
      <c r="B1013" s="800" t="s">
        <v>130</v>
      </c>
      <c r="C1013" s="800" t="s">
        <v>130</v>
      </c>
      <c r="D1013" s="800" t="s">
        <v>15877</v>
      </c>
      <c r="E1013" s="801">
        <v>43048</v>
      </c>
      <c r="F1013" s="800" t="s">
        <v>15833</v>
      </c>
      <c r="G1013" s="800" t="s">
        <v>15878</v>
      </c>
      <c r="H1013" s="800" t="s">
        <v>10531</v>
      </c>
      <c r="I1013" s="800" t="s">
        <v>10531</v>
      </c>
      <c r="J1013" s="800" t="s">
        <v>10397</v>
      </c>
      <c r="K1013" s="800">
        <v>1</v>
      </c>
      <c r="L1013" s="802" t="s">
        <v>10398</v>
      </c>
      <c r="M1013" s="802" t="s">
        <v>15879</v>
      </c>
      <c r="N1013" s="802" t="s">
        <v>15880</v>
      </c>
      <c r="O1013" s="802" t="s">
        <v>15881</v>
      </c>
      <c r="P1013" s="807" t="s">
        <v>15882</v>
      </c>
    </row>
    <row r="1014" spans="1:16" s="341" customFormat="1" ht="25.5" customHeight="1">
      <c r="A1014" s="806" t="s">
        <v>109</v>
      </c>
      <c r="B1014" s="800" t="s">
        <v>130</v>
      </c>
      <c r="C1014" s="800" t="s">
        <v>130</v>
      </c>
      <c r="D1014" s="800" t="s">
        <v>15883</v>
      </c>
      <c r="E1014" s="801">
        <v>43048</v>
      </c>
      <c r="F1014" s="800" t="s">
        <v>15833</v>
      </c>
      <c r="G1014" s="800" t="s">
        <v>15878</v>
      </c>
      <c r="H1014" s="800" t="s">
        <v>10531</v>
      </c>
      <c r="I1014" s="800" t="s">
        <v>10531</v>
      </c>
      <c r="J1014" s="800" t="s">
        <v>10397</v>
      </c>
      <c r="K1014" s="800">
        <v>1</v>
      </c>
      <c r="L1014" s="802" t="s">
        <v>10398</v>
      </c>
      <c r="M1014" s="802" t="s">
        <v>32</v>
      </c>
      <c r="N1014" s="802" t="s">
        <v>15884</v>
      </c>
      <c r="O1014" s="802" t="s">
        <v>15857</v>
      </c>
      <c r="P1014" s="807" t="s">
        <v>15885</v>
      </c>
    </row>
    <row r="1015" spans="1:16" s="341" customFormat="1" ht="25.5" customHeight="1">
      <c r="A1015" s="806" t="s">
        <v>109</v>
      </c>
      <c r="B1015" s="800" t="s">
        <v>130</v>
      </c>
      <c r="C1015" s="800" t="s">
        <v>130</v>
      </c>
      <c r="D1015" s="800" t="s">
        <v>15886</v>
      </c>
      <c r="E1015" s="801">
        <v>43018</v>
      </c>
      <c r="F1015" s="800" t="s">
        <v>15833</v>
      </c>
      <c r="G1015" s="800" t="s">
        <v>15887</v>
      </c>
      <c r="H1015" s="800" t="s">
        <v>10531</v>
      </c>
      <c r="I1015" s="800" t="s">
        <v>10531</v>
      </c>
      <c r="J1015" s="800" t="s">
        <v>10397</v>
      </c>
      <c r="K1015" s="800">
        <v>1</v>
      </c>
      <c r="L1015" s="802" t="s">
        <v>10398</v>
      </c>
      <c r="M1015" s="802" t="s">
        <v>15888</v>
      </c>
      <c r="N1015" s="802" t="s">
        <v>15889</v>
      </c>
      <c r="O1015" s="802" t="s">
        <v>15890</v>
      </c>
      <c r="P1015" s="807" t="s">
        <v>15891</v>
      </c>
    </row>
    <row r="1016" spans="1:16" s="341" customFormat="1" ht="25.5" customHeight="1">
      <c r="A1016" s="806" t="s">
        <v>109</v>
      </c>
      <c r="B1016" s="800" t="s">
        <v>130</v>
      </c>
      <c r="C1016" s="800" t="s">
        <v>130</v>
      </c>
      <c r="D1016" s="800" t="s">
        <v>15892</v>
      </c>
      <c r="E1016" s="801">
        <v>43018</v>
      </c>
      <c r="F1016" s="800" t="s">
        <v>15833</v>
      </c>
      <c r="G1016" s="800" t="s">
        <v>15893</v>
      </c>
      <c r="H1016" s="800" t="s">
        <v>10531</v>
      </c>
      <c r="I1016" s="800" t="s">
        <v>10531</v>
      </c>
      <c r="J1016" s="800" t="s">
        <v>10397</v>
      </c>
      <c r="K1016" s="800">
        <v>1</v>
      </c>
      <c r="L1016" s="802" t="s">
        <v>10398</v>
      </c>
      <c r="M1016" s="802" t="s">
        <v>15894</v>
      </c>
      <c r="N1016" s="802" t="s">
        <v>11059</v>
      </c>
      <c r="O1016" s="802" t="s">
        <v>15895</v>
      </c>
      <c r="P1016" s="807" t="s">
        <v>15896</v>
      </c>
    </row>
    <row r="1017" spans="1:16" s="341" customFormat="1" ht="25.5">
      <c r="A1017" s="806" t="s">
        <v>109</v>
      </c>
      <c r="B1017" s="800" t="s">
        <v>130</v>
      </c>
      <c r="C1017" s="800" t="s">
        <v>130</v>
      </c>
      <c r="D1017" s="800" t="s">
        <v>15897</v>
      </c>
      <c r="E1017" s="801">
        <v>43018</v>
      </c>
      <c r="F1017" s="800" t="s">
        <v>15833</v>
      </c>
      <c r="G1017" s="800" t="s">
        <v>15898</v>
      </c>
      <c r="H1017" s="800" t="s">
        <v>10396</v>
      </c>
      <c r="I1017" s="800" t="s">
        <v>10396</v>
      </c>
      <c r="J1017" s="800" t="s">
        <v>10447</v>
      </c>
      <c r="K1017" s="800">
        <v>1</v>
      </c>
      <c r="L1017" s="802" t="s">
        <v>10398</v>
      </c>
      <c r="M1017" s="802" t="s">
        <v>15899</v>
      </c>
      <c r="N1017" s="802" t="s">
        <v>15900</v>
      </c>
      <c r="O1017" s="802" t="s">
        <v>15901</v>
      </c>
      <c r="P1017" s="807" t="s">
        <v>32</v>
      </c>
    </row>
    <row r="1018" spans="1:16" s="341" customFormat="1" ht="25.5" customHeight="1">
      <c r="A1018" s="806" t="s">
        <v>109</v>
      </c>
      <c r="B1018" s="800" t="s">
        <v>130</v>
      </c>
      <c r="C1018" s="800" t="s">
        <v>130</v>
      </c>
      <c r="D1018" s="800" t="s">
        <v>15902</v>
      </c>
      <c r="E1018" s="801">
        <v>43018</v>
      </c>
      <c r="F1018" s="800" t="s">
        <v>15833</v>
      </c>
      <c r="G1018" s="800" t="s">
        <v>15903</v>
      </c>
      <c r="H1018" s="800" t="s">
        <v>10531</v>
      </c>
      <c r="I1018" s="800" t="s">
        <v>10531</v>
      </c>
      <c r="J1018" s="800" t="s">
        <v>10426</v>
      </c>
      <c r="K1018" s="800">
        <v>1</v>
      </c>
      <c r="L1018" s="802" t="s">
        <v>10398</v>
      </c>
      <c r="M1018" s="802" t="s">
        <v>32</v>
      </c>
      <c r="N1018" s="802" t="s">
        <v>15904</v>
      </c>
      <c r="O1018" s="802" t="s">
        <v>15857</v>
      </c>
      <c r="P1018" s="807" t="s">
        <v>15905</v>
      </c>
    </row>
    <row r="1019" spans="1:16" s="341" customFormat="1" ht="25.5" customHeight="1">
      <c r="A1019" s="806" t="s">
        <v>109</v>
      </c>
      <c r="B1019" s="800" t="s">
        <v>130</v>
      </c>
      <c r="C1019" s="800" t="s">
        <v>130</v>
      </c>
      <c r="D1019" s="800" t="s">
        <v>15906</v>
      </c>
      <c r="E1019" s="801">
        <v>43018</v>
      </c>
      <c r="F1019" s="800" t="s">
        <v>15833</v>
      </c>
      <c r="G1019" s="800" t="s">
        <v>15907</v>
      </c>
      <c r="H1019" s="800" t="s">
        <v>10531</v>
      </c>
      <c r="I1019" s="800" t="s">
        <v>10531</v>
      </c>
      <c r="J1019" s="800" t="s">
        <v>10447</v>
      </c>
      <c r="K1019" s="800">
        <v>1</v>
      </c>
      <c r="L1019" s="802" t="s">
        <v>10398</v>
      </c>
      <c r="M1019" s="802" t="s">
        <v>15908</v>
      </c>
      <c r="N1019" s="802" t="s">
        <v>10435</v>
      </c>
      <c r="O1019" s="802" t="s">
        <v>15909</v>
      </c>
      <c r="P1019" s="807" t="s">
        <v>15910</v>
      </c>
    </row>
    <row r="1020" spans="1:16" s="341" customFormat="1" ht="25.5" customHeight="1">
      <c r="A1020" s="806" t="s">
        <v>109</v>
      </c>
      <c r="B1020" s="800" t="s">
        <v>130</v>
      </c>
      <c r="C1020" s="800" t="s">
        <v>130</v>
      </c>
      <c r="D1020" s="800" t="s">
        <v>15911</v>
      </c>
      <c r="E1020" s="801">
        <v>43019</v>
      </c>
      <c r="F1020" s="800" t="s">
        <v>15751</v>
      </c>
      <c r="G1020" s="800" t="s">
        <v>15912</v>
      </c>
      <c r="H1020" s="800" t="s">
        <v>10531</v>
      </c>
      <c r="I1020" s="800" t="s">
        <v>10531</v>
      </c>
      <c r="J1020" s="800" t="s">
        <v>10447</v>
      </c>
      <c r="K1020" s="800">
        <v>1</v>
      </c>
      <c r="L1020" s="802" t="s">
        <v>10398</v>
      </c>
      <c r="M1020" s="802" t="s">
        <v>15913</v>
      </c>
      <c r="N1020" s="802" t="s">
        <v>15914</v>
      </c>
      <c r="O1020" s="802" t="s">
        <v>15915</v>
      </c>
      <c r="P1020" s="807" t="s">
        <v>32</v>
      </c>
    </row>
    <row r="1021" spans="1:16" s="341" customFormat="1" ht="15" customHeight="1">
      <c r="A1021" s="806" t="s">
        <v>109</v>
      </c>
      <c r="B1021" s="800" t="s">
        <v>130</v>
      </c>
      <c r="C1021" s="800" t="s">
        <v>130</v>
      </c>
      <c r="D1021" s="800" t="s">
        <v>15916</v>
      </c>
      <c r="E1021" s="801">
        <v>43019</v>
      </c>
      <c r="F1021" s="800" t="s">
        <v>15758</v>
      </c>
      <c r="G1021" s="800" t="s">
        <v>15917</v>
      </c>
      <c r="H1021" s="800" t="s">
        <v>10404</v>
      </c>
      <c r="I1021" s="800" t="s">
        <v>10404</v>
      </c>
      <c r="J1021" s="800" t="s">
        <v>10447</v>
      </c>
      <c r="K1021" s="800">
        <v>1</v>
      </c>
      <c r="L1021" s="802" t="s">
        <v>10398</v>
      </c>
      <c r="M1021" s="802" t="s">
        <v>15918</v>
      </c>
      <c r="N1021" s="802" t="s">
        <v>15721</v>
      </c>
      <c r="O1021" s="802" t="s">
        <v>15919</v>
      </c>
      <c r="P1021" s="807" t="s">
        <v>15920</v>
      </c>
    </row>
    <row r="1022" spans="1:16" s="341" customFormat="1" ht="25.5" customHeight="1">
      <c r="A1022" s="806" t="s">
        <v>109</v>
      </c>
      <c r="B1022" s="800" t="s">
        <v>130</v>
      </c>
      <c r="C1022" s="800" t="s">
        <v>130</v>
      </c>
      <c r="D1022" s="800" t="s">
        <v>15921</v>
      </c>
      <c r="E1022" s="801">
        <v>43018</v>
      </c>
      <c r="F1022" s="800" t="s">
        <v>15751</v>
      </c>
      <c r="G1022" s="800" t="s">
        <v>15922</v>
      </c>
      <c r="H1022" s="800" t="s">
        <v>10531</v>
      </c>
      <c r="I1022" s="800" t="s">
        <v>10531</v>
      </c>
      <c r="J1022" s="800" t="s">
        <v>10447</v>
      </c>
      <c r="K1022" s="800">
        <v>1</v>
      </c>
      <c r="L1022" s="802" t="s">
        <v>10398</v>
      </c>
      <c r="M1022" s="802" t="s">
        <v>15923</v>
      </c>
      <c r="N1022" s="802" t="s">
        <v>14580</v>
      </c>
      <c r="O1022" s="802" t="s">
        <v>15924</v>
      </c>
      <c r="P1022" s="807" t="s">
        <v>15925</v>
      </c>
    </row>
    <row r="1023" spans="1:16" s="341" customFormat="1" ht="15" customHeight="1">
      <c r="A1023" s="806" t="s">
        <v>109</v>
      </c>
      <c r="B1023" s="800" t="s">
        <v>130</v>
      </c>
      <c r="C1023" s="800" t="s">
        <v>130</v>
      </c>
      <c r="D1023" s="800" t="s">
        <v>15926</v>
      </c>
      <c r="E1023" s="801">
        <v>43049</v>
      </c>
      <c r="F1023" s="800" t="s">
        <v>15751</v>
      </c>
      <c r="G1023" s="800" t="s">
        <v>15927</v>
      </c>
      <c r="H1023" s="800" t="s">
        <v>10433</v>
      </c>
      <c r="I1023" s="800" t="s">
        <v>10433</v>
      </c>
      <c r="J1023" s="800" t="s">
        <v>10447</v>
      </c>
      <c r="K1023" s="800">
        <v>1</v>
      </c>
      <c r="L1023" s="802" t="s">
        <v>10398</v>
      </c>
      <c r="M1023" s="802" t="s">
        <v>15928</v>
      </c>
      <c r="N1023" s="802" t="s">
        <v>15929</v>
      </c>
      <c r="O1023" s="802" t="s">
        <v>15930</v>
      </c>
      <c r="P1023" s="807" t="s">
        <v>32</v>
      </c>
    </row>
    <row r="1024" spans="1:16" s="341" customFormat="1" ht="15" customHeight="1">
      <c r="A1024" s="806" t="s">
        <v>109</v>
      </c>
      <c r="B1024" s="800" t="s">
        <v>130</v>
      </c>
      <c r="C1024" s="800" t="s">
        <v>130</v>
      </c>
      <c r="D1024" s="800" t="s">
        <v>15931</v>
      </c>
      <c r="E1024" s="801">
        <v>43019</v>
      </c>
      <c r="F1024" s="800" t="s">
        <v>15800</v>
      </c>
      <c r="G1024" s="800" t="s">
        <v>15932</v>
      </c>
      <c r="H1024" s="800" t="s">
        <v>10396</v>
      </c>
      <c r="I1024" s="800" t="s">
        <v>10396</v>
      </c>
      <c r="J1024" s="800" t="s">
        <v>10426</v>
      </c>
      <c r="K1024" s="800">
        <v>1</v>
      </c>
      <c r="L1024" s="802" t="s">
        <v>10398</v>
      </c>
      <c r="M1024" s="802" t="s">
        <v>15933</v>
      </c>
      <c r="N1024" s="802" t="s">
        <v>15934</v>
      </c>
      <c r="O1024" s="802" t="s">
        <v>15935</v>
      </c>
      <c r="P1024" s="807" t="s">
        <v>15936</v>
      </c>
    </row>
    <row r="1025" spans="1:16" s="341" customFormat="1" ht="15" customHeight="1">
      <c r="A1025" s="806" t="s">
        <v>109</v>
      </c>
      <c r="B1025" s="800" t="s">
        <v>130</v>
      </c>
      <c r="C1025" s="800" t="s">
        <v>130</v>
      </c>
      <c r="D1025" s="800" t="s">
        <v>15937</v>
      </c>
      <c r="E1025" s="801">
        <v>43019</v>
      </c>
      <c r="F1025" s="800" t="s">
        <v>15938</v>
      </c>
      <c r="G1025" s="800" t="s">
        <v>32</v>
      </c>
      <c r="H1025" s="800" t="s">
        <v>10433</v>
      </c>
      <c r="I1025" s="800" t="s">
        <v>10433</v>
      </c>
      <c r="J1025" s="800" t="s">
        <v>10447</v>
      </c>
      <c r="K1025" s="800">
        <v>1</v>
      </c>
      <c r="L1025" s="802" t="s">
        <v>10398</v>
      </c>
      <c r="M1025" s="802" t="s">
        <v>15939</v>
      </c>
      <c r="N1025" s="802" t="s">
        <v>15940</v>
      </c>
      <c r="O1025" s="802" t="s">
        <v>15941</v>
      </c>
      <c r="P1025" s="807" t="s">
        <v>15942</v>
      </c>
    </row>
    <row r="1026" spans="1:16" s="341" customFormat="1" ht="25.5" customHeight="1">
      <c r="A1026" s="806" t="s">
        <v>109</v>
      </c>
      <c r="B1026" s="800" t="s">
        <v>130</v>
      </c>
      <c r="C1026" s="800" t="s">
        <v>130</v>
      </c>
      <c r="D1026" s="800" t="s">
        <v>15943</v>
      </c>
      <c r="E1026" s="801">
        <v>43020</v>
      </c>
      <c r="F1026" s="800" t="s">
        <v>15944</v>
      </c>
      <c r="G1026" s="800" t="s">
        <v>15945</v>
      </c>
      <c r="H1026" s="800" t="s">
        <v>10433</v>
      </c>
      <c r="I1026" s="800" t="s">
        <v>10433</v>
      </c>
      <c r="J1026" s="800" t="s">
        <v>10447</v>
      </c>
      <c r="K1026" s="800">
        <v>1</v>
      </c>
      <c r="L1026" s="802" t="s">
        <v>10398</v>
      </c>
      <c r="M1026" s="802" t="s">
        <v>15946</v>
      </c>
      <c r="N1026" s="802" t="s">
        <v>15947</v>
      </c>
      <c r="O1026" s="802" t="s">
        <v>15948</v>
      </c>
      <c r="P1026" s="807" t="s">
        <v>15949</v>
      </c>
    </row>
    <row r="1027" spans="1:16" s="341" customFormat="1" ht="25.5" customHeight="1">
      <c r="A1027" s="806" t="s">
        <v>109</v>
      </c>
      <c r="B1027" s="800" t="s">
        <v>130</v>
      </c>
      <c r="C1027" s="800" t="s">
        <v>130</v>
      </c>
      <c r="D1027" s="800" t="s">
        <v>15950</v>
      </c>
      <c r="E1027" s="801">
        <v>43019</v>
      </c>
      <c r="F1027" s="800" t="s">
        <v>15944</v>
      </c>
      <c r="G1027" s="800" t="s">
        <v>15951</v>
      </c>
      <c r="H1027" s="800" t="s">
        <v>10531</v>
      </c>
      <c r="I1027" s="800" t="s">
        <v>10531</v>
      </c>
      <c r="J1027" s="800" t="s">
        <v>10447</v>
      </c>
      <c r="K1027" s="800">
        <v>1</v>
      </c>
      <c r="L1027" s="802" t="s">
        <v>10605</v>
      </c>
      <c r="M1027" s="802" t="s">
        <v>15952</v>
      </c>
      <c r="N1027" s="802" t="s">
        <v>15953</v>
      </c>
      <c r="O1027" s="802" t="s">
        <v>15954</v>
      </c>
      <c r="P1027" s="807" t="s">
        <v>15955</v>
      </c>
    </row>
    <row r="1028" spans="1:16" s="341" customFormat="1" ht="25.5" customHeight="1">
      <c r="A1028" s="806" t="s">
        <v>109</v>
      </c>
      <c r="B1028" s="800" t="s">
        <v>130</v>
      </c>
      <c r="C1028" s="800" t="s">
        <v>130</v>
      </c>
      <c r="D1028" s="800" t="s">
        <v>15956</v>
      </c>
      <c r="E1028" s="801">
        <v>43019</v>
      </c>
      <c r="F1028" s="800" t="s">
        <v>15957</v>
      </c>
      <c r="G1028" s="800" t="s">
        <v>15958</v>
      </c>
      <c r="H1028" s="800" t="s">
        <v>10531</v>
      </c>
      <c r="I1028" s="800" t="s">
        <v>10531</v>
      </c>
      <c r="J1028" s="800" t="s">
        <v>10447</v>
      </c>
      <c r="K1028" s="800">
        <v>1</v>
      </c>
      <c r="L1028" s="802" t="s">
        <v>10605</v>
      </c>
      <c r="M1028" s="802" t="s">
        <v>32</v>
      </c>
      <c r="N1028" s="802" t="s">
        <v>15959</v>
      </c>
      <c r="O1028" s="802" t="s">
        <v>15960</v>
      </c>
      <c r="P1028" s="807" t="s">
        <v>15961</v>
      </c>
    </row>
    <row r="1029" spans="1:16" s="341" customFormat="1" ht="15" customHeight="1">
      <c r="A1029" s="806" t="s">
        <v>109</v>
      </c>
      <c r="B1029" s="800" t="s">
        <v>130</v>
      </c>
      <c r="C1029" s="800" t="s">
        <v>130</v>
      </c>
      <c r="D1029" s="800" t="s">
        <v>15962</v>
      </c>
      <c r="E1029" s="801">
        <v>43017</v>
      </c>
      <c r="F1029" s="800" t="s">
        <v>15963</v>
      </c>
      <c r="G1029" s="800" t="s">
        <v>15964</v>
      </c>
      <c r="H1029" s="800" t="s">
        <v>10433</v>
      </c>
      <c r="I1029" s="800" t="s">
        <v>10433</v>
      </c>
      <c r="J1029" s="800" t="s">
        <v>10447</v>
      </c>
      <c r="K1029" s="800">
        <v>1</v>
      </c>
      <c r="L1029" s="802" t="s">
        <v>10605</v>
      </c>
      <c r="M1029" s="802"/>
      <c r="N1029" s="802" t="s">
        <v>15965</v>
      </c>
      <c r="O1029" s="802" t="s">
        <v>15966</v>
      </c>
      <c r="P1029" s="807" t="s">
        <v>32</v>
      </c>
    </row>
    <row r="1030" spans="1:16" s="341" customFormat="1" ht="15" customHeight="1">
      <c r="A1030" s="806" t="s">
        <v>109</v>
      </c>
      <c r="B1030" s="800" t="s">
        <v>130</v>
      </c>
      <c r="C1030" s="800" t="s">
        <v>130</v>
      </c>
      <c r="D1030" s="800" t="s">
        <v>15967</v>
      </c>
      <c r="E1030" s="801">
        <v>43017</v>
      </c>
      <c r="F1030" s="800" t="s">
        <v>15963</v>
      </c>
      <c r="G1030" s="800" t="s">
        <v>15968</v>
      </c>
      <c r="H1030" s="800" t="s">
        <v>10531</v>
      </c>
      <c r="I1030" s="800" t="s">
        <v>10531</v>
      </c>
      <c r="J1030" s="800" t="s">
        <v>10447</v>
      </c>
      <c r="K1030" s="800">
        <v>1</v>
      </c>
      <c r="L1030" s="802" t="s">
        <v>10398</v>
      </c>
      <c r="M1030" s="802" t="s">
        <v>32</v>
      </c>
      <c r="N1030" s="802" t="s">
        <v>15969</v>
      </c>
      <c r="O1030" s="802" t="s">
        <v>15970</v>
      </c>
      <c r="P1030" s="807" t="s">
        <v>15971</v>
      </c>
    </row>
    <row r="1031" spans="1:16" s="341" customFormat="1" ht="15" customHeight="1">
      <c r="A1031" s="806" t="s">
        <v>109</v>
      </c>
      <c r="B1031" s="800" t="s">
        <v>130</v>
      </c>
      <c r="C1031" s="800" t="s">
        <v>130</v>
      </c>
      <c r="D1031" s="800" t="s">
        <v>15972</v>
      </c>
      <c r="E1031" s="801">
        <v>43017</v>
      </c>
      <c r="F1031" s="800" t="s">
        <v>15963</v>
      </c>
      <c r="G1031" s="800" t="s">
        <v>15973</v>
      </c>
      <c r="H1031" s="800" t="s">
        <v>10433</v>
      </c>
      <c r="I1031" s="800" t="s">
        <v>10433</v>
      </c>
      <c r="J1031" s="800" t="s">
        <v>10447</v>
      </c>
      <c r="K1031" s="800">
        <v>1</v>
      </c>
      <c r="L1031" s="802" t="s">
        <v>10398</v>
      </c>
      <c r="M1031" s="802" t="s">
        <v>15974</v>
      </c>
      <c r="N1031" s="802" t="s">
        <v>15975</v>
      </c>
      <c r="O1031" s="802" t="s">
        <v>15976</v>
      </c>
      <c r="P1031" s="807" t="s">
        <v>15977</v>
      </c>
    </row>
    <row r="1032" spans="1:16" s="341" customFormat="1" ht="15" customHeight="1">
      <c r="A1032" s="806" t="s">
        <v>109</v>
      </c>
      <c r="B1032" s="800" t="s">
        <v>130</v>
      </c>
      <c r="C1032" s="800" t="s">
        <v>130</v>
      </c>
      <c r="D1032" s="800" t="s">
        <v>15978</v>
      </c>
      <c r="E1032" s="801">
        <v>43017</v>
      </c>
      <c r="F1032" s="800" t="s">
        <v>15963</v>
      </c>
      <c r="G1032" s="800" t="s">
        <v>15979</v>
      </c>
      <c r="H1032" s="800" t="s">
        <v>10531</v>
      </c>
      <c r="I1032" s="800" t="s">
        <v>10531</v>
      </c>
      <c r="J1032" s="800" t="s">
        <v>10447</v>
      </c>
      <c r="K1032" s="800">
        <v>1</v>
      </c>
      <c r="L1032" s="802" t="s">
        <v>10398</v>
      </c>
      <c r="M1032" s="802" t="s">
        <v>32</v>
      </c>
      <c r="N1032" s="802" t="s">
        <v>13506</v>
      </c>
      <c r="O1032" s="802" t="s">
        <v>15980</v>
      </c>
      <c r="P1032" s="807" t="s">
        <v>32</v>
      </c>
    </row>
    <row r="1033" spans="1:16" s="341" customFormat="1" ht="25.5" customHeight="1">
      <c r="A1033" s="806" t="s">
        <v>109</v>
      </c>
      <c r="B1033" s="800" t="s">
        <v>130</v>
      </c>
      <c r="C1033" s="800" t="s">
        <v>130</v>
      </c>
      <c r="D1033" s="800" t="s">
        <v>15981</v>
      </c>
      <c r="E1033" s="801">
        <v>43017</v>
      </c>
      <c r="F1033" s="800" t="s">
        <v>15963</v>
      </c>
      <c r="G1033" s="800" t="s">
        <v>15982</v>
      </c>
      <c r="H1033" s="800" t="s">
        <v>10531</v>
      </c>
      <c r="I1033" s="800" t="s">
        <v>10531</v>
      </c>
      <c r="J1033" s="800" t="s">
        <v>10447</v>
      </c>
      <c r="K1033" s="800">
        <v>1</v>
      </c>
      <c r="L1033" s="802" t="s">
        <v>10398</v>
      </c>
      <c r="M1033" s="802" t="s">
        <v>15983</v>
      </c>
      <c r="N1033" s="802" t="s">
        <v>15984</v>
      </c>
      <c r="O1033" s="802" t="s">
        <v>15985</v>
      </c>
      <c r="P1033" s="807" t="s">
        <v>15986</v>
      </c>
    </row>
    <row r="1034" spans="1:16" s="341" customFormat="1" ht="15" customHeight="1">
      <c r="A1034" s="806" t="s">
        <v>109</v>
      </c>
      <c r="B1034" s="800" t="s">
        <v>130</v>
      </c>
      <c r="C1034" s="800" t="s">
        <v>130</v>
      </c>
      <c r="D1034" s="800" t="s">
        <v>15987</v>
      </c>
      <c r="E1034" s="801">
        <v>43021</v>
      </c>
      <c r="F1034" s="800" t="s">
        <v>141</v>
      </c>
      <c r="G1034" s="800" t="s">
        <v>15988</v>
      </c>
      <c r="H1034" s="800" t="s">
        <v>10531</v>
      </c>
      <c r="I1034" s="800" t="s">
        <v>10531</v>
      </c>
      <c r="J1034" s="800" t="s">
        <v>10447</v>
      </c>
      <c r="K1034" s="800">
        <v>1</v>
      </c>
      <c r="L1034" s="802" t="s">
        <v>10398</v>
      </c>
      <c r="M1034" s="802" t="s">
        <v>15989</v>
      </c>
      <c r="N1034" s="802" t="s">
        <v>13116</v>
      </c>
      <c r="O1034" s="802" t="s">
        <v>15990</v>
      </c>
      <c r="P1034" s="807" t="s">
        <v>15991</v>
      </c>
    </row>
    <row r="1035" spans="1:16" s="341" customFormat="1" ht="25.5" customHeight="1">
      <c r="A1035" s="806" t="s">
        <v>109</v>
      </c>
      <c r="B1035" s="800" t="s">
        <v>130</v>
      </c>
      <c r="C1035" s="800" t="s">
        <v>130</v>
      </c>
      <c r="D1035" s="800" t="s">
        <v>15992</v>
      </c>
      <c r="E1035" s="801">
        <v>43021</v>
      </c>
      <c r="F1035" s="800" t="s">
        <v>15944</v>
      </c>
      <c r="G1035" s="800" t="s">
        <v>15993</v>
      </c>
      <c r="H1035" s="800" t="s">
        <v>10396</v>
      </c>
      <c r="I1035" s="800" t="s">
        <v>10396</v>
      </c>
      <c r="J1035" s="800" t="s">
        <v>10447</v>
      </c>
      <c r="K1035" s="800">
        <v>1</v>
      </c>
      <c r="L1035" s="802" t="s">
        <v>10398</v>
      </c>
      <c r="M1035" s="802" t="s">
        <v>15994</v>
      </c>
      <c r="N1035" s="802" t="s">
        <v>12946</v>
      </c>
      <c r="O1035" s="802" t="s">
        <v>15995</v>
      </c>
      <c r="P1035" s="807" t="s">
        <v>15996</v>
      </c>
    </row>
    <row r="1036" spans="1:16" s="341" customFormat="1" ht="25.5" customHeight="1">
      <c r="A1036" s="806" t="s">
        <v>109</v>
      </c>
      <c r="B1036" s="800" t="s">
        <v>130</v>
      </c>
      <c r="C1036" s="800" t="s">
        <v>130</v>
      </c>
      <c r="D1036" s="800" t="s">
        <v>15997</v>
      </c>
      <c r="E1036" s="801">
        <v>43021</v>
      </c>
      <c r="F1036" s="800" t="s">
        <v>15944</v>
      </c>
      <c r="G1036" s="800" t="s">
        <v>15998</v>
      </c>
      <c r="H1036" s="800" t="s">
        <v>10531</v>
      </c>
      <c r="I1036" s="800" t="s">
        <v>10531</v>
      </c>
      <c r="J1036" s="800" t="s">
        <v>10447</v>
      </c>
      <c r="K1036" s="800">
        <v>1</v>
      </c>
      <c r="L1036" s="802" t="s">
        <v>10398</v>
      </c>
      <c r="M1036" s="802" t="s">
        <v>15999</v>
      </c>
      <c r="N1036" s="802" t="s">
        <v>16000</v>
      </c>
      <c r="O1036" s="802" t="s">
        <v>16001</v>
      </c>
      <c r="P1036" s="807" t="s">
        <v>16002</v>
      </c>
    </row>
    <row r="1037" spans="1:16" s="341" customFormat="1" ht="25.5" customHeight="1">
      <c r="A1037" s="806" t="s">
        <v>109</v>
      </c>
      <c r="B1037" s="800" t="s">
        <v>130</v>
      </c>
      <c r="C1037" s="800" t="s">
        <v>130</v>
      </c>
      <c r="D1037" s="800" t="s">
        <v>16003</v>
      </c>
      <c r="E1037" s="801">
        <v>43020</v>
      </c>
      <c r="F1037" s="800" t="s">
        <v>15944</v>
      </c>
      <c r="G1037" s="800" t="s">
        <v>16004</v>
      </c>
      <c r="H1037" s="800" t="s">
        <v>10433</v>
      </c>
      <c r="I1037" s="800" t="s">
        <v>10433</v>
      </c>
      <c r="J1037" s="800" t="s">
        <v>10447</v>
      </c>
      <c r="K1037" s="800">
        <v>1</v>
      </c>
      <c r="L1037" s="802" t="s">
        <v>10398</v>
      </c>
      <c r="M1037" s="802" t="s">
        <v>16005</v>
      </c>
      <c r="N1037" s="802" t="s">
        <v>16006</v>
      </c>
      <c r="O1037" s="802" t="s">
        <v>16007</v>
      </c>
      <c r="P1037" s="807" t="s">
        <v>16008</v>
      </c>
    </row>
    <row r="1038" spans="1:16" s="341" customFormat="1" ht="25.5" customHeight="1">
      <c r="A1038" s="806" t="s">
        <v>109</v>
      </c>
      <c r="B1038" s="800" t="s">
        <v>130</v>
      </c>
      <c r="C1038" s="800" t="s">
        <v>130</v>
      </c>
      <c r="D1038" s="800" t="s">
        <v>16009</v>
      </c>
      <c r="E1038" s="801">
        <v>43019</v>
      </c>
      <c r="F1038" s="800" t="s">
        <v>15944</v>
      </c>
      <c r="G1038" s="800" t="s">
        <v>16010</v>
      </c>
      <c r="H1038" s="800" t="s">
        <v>10531</v>
      </c>
      <c r="I1038" s="800" t="s">
        <v>10531</v>
      </c>
      <c r="J1038" s="800" t="s">
        <v>10447</v>
      </c>
      <c r="K1038" s="800">
        <v>1</v>
      </c>
      <c r="L1038" s="802" t="s">
        <v>10398</v>
      </c>
      <c r="M1038" s="802" t="s">
        <v>16011</v>
      </c>
      <c r="N1038" s="802" t="s">
        <v>16012</v>
      </c>
      <c r="O1038" s="802" t="s">
        <v>16013</v>
      </c>
      <c r="P1038" s="807" t="s">
        <v>16014</v>
      </c>
    </row>
    <row r="1039" spans="1:16" s="341" customFormat="1" ht="15" customHeight="1">
      <c r="A1039" s="806" t="s">
        <v>109</v>
      </c>
      <c r="B1039" s="800" t="s">
        <v>130</v>
      </c>
      <c r="C1039" s="800" t="s">
        <v>130</v>
      </c>
      <c r="D1039" s="800" t="s">
        <v>16015</v>
      </c>
      <c r="E1039" s="801">
        <v>43021</v>
      </c>
      <c r="F1039" s="800" t="s">
        <v>15944</v>
      </c>
      <c r="G1039" s="800" t="s">
        <v>16016</v>
      </c>
      <c r="H1039" s="800" t="s">
        <v>10433</v>
      </c>
      <c r="I1039" s="800" t="s">
        <v>10433</v>
      </c>
      <c r="J1039" s="800" t="s">
        <v>10447</v>
      </c>
      <c r="K1039" s="800">
        <v>1</v>
      </c>
      <c r="L1039" s="802" t="s">
        <v>11026</v>
      </c>
      <c r="M1039" s="802" t="s">
        <v>16017</v>
      </c>
      <c r="N1039" s="802" t="s">
        <v>16018</v>
      </c>
      <c r="O1039" s="802" t="s">
        <v>6414</v>
      </c>
      <c r="P1039" s="807" t="s">
        <v>16019</v>
      </c>
    </row>
    <row r="1040" spans="1:16" s="341" customFormat="1" ht="15" customHeight="1">
      <c r="A1040" s="806" t="s">
        <v>109</v>
      </c>
      <c r="B1040" s="800" t="s">
        <v>130</v>
      </c>
      <c r="C1040" s="800" t="s">
        <v>130</v>
      </c>
      <c r="D1040" s="800" t="s">
        <v>16020</v>
      </c>
      <c r="E1040" s="801">
        <v>43021</v>
      </c>
      <c r="F1040" s="800" t="s">
        <v>15944</v>
      </c>
      <c r="G1040" s="800" t="s">
        <v>16021</v>
      </c>
      <c r="H1040" s="800" t="s">
        <v>10531</v>
      </c>
      <c r="I1040" s="800" t="s">
        <v>10531</v>
      </c>
      <c r="J1040" s="800" t="s">
        <v>10447</v>
      </c>
      <c r="K1040" s="800">
        <v>1</v>
      </c>
      <c r="L1040" s="802" t="s">
        <v>10398</v>
      </c>
      <c r="M1040" s="802" t="s">
        <v>16022</v>
      </c>
      <c r="N1040" s="802" t="s">
        <v>16023</v>
      </c>
      <c r="O1040" s="802" t="s">
        <v>16024</v>
      </c>
      <c r="P1040" s="807" t="s">
        <v>16025</v>
      </c>
    </row>
    <row r="1041" spans="1:16" s="341" customFormat="1" ht="25.5" customHeight="1">
      <c r="A1041" s="806" t="s">
        <v>109</v>
      </c>
      <c r="B1041" s="800" t="s">
        <v>130</v>
      </c>
      <c r="C1041" s="800" t="s">
        <v>130</v>
      </c>
      <c r="D1041" s="800" t="s">
        <v>16026</v>
      </c>
      <c r="E1041" s="801">
        <v>43021</v>
      </c>
      <c r="F1041" s="800" t="s">
        <v>32</v>
      </c>
      <c r="G1041" s="800" t="s">
        <v>16027</v>
      </c>
      <c r="H1041" s="800" t="s">
        <v>10396</v>
      </c>
      <c r="I1041" s="800" t="s">
        <v>10396</v>
      </c>
      <c r="J1041" s="800" t="s">
        <v>10447</v>
      </c>
      <c r="K1041" s="800">
        <v>1</v>
      </c>
      <c r="L1041" s="802" t="s">
        <v>10398</v>
      </c>
      <c r="M1041" s="802" t="s">
        <v>16028</v>
      </c>
      <c r="N1041" s="802" t="s">
        <v>11766</v>
      </c>
      <c r="O1041" s="802" t="s">
        <v>16029</v>
      </c>
      <c r="P1041" s="807" t="s">
        <v>16030</v>
      </c>
    </row>
    <row r="1042" spans="1:16" s="341" customFormat="1" ht="15" customHeight="1">
      <c r="A1042" s="806" t="s">
        <v>109</v>
      </c>
      <c r="B1042" s="800" t="s">
        <v>130</v>
      </c>
      <c r="C1042" s="800" t="s">
        <v>130</v>
      </c>
      <c r="D1042" s="800" t="s">
        <v>16031</v>
      </c>
      <c r="E1042" s="801">
        <v>43021</v>
      </c>
      <c r="F1042" s="800" t="s">
        <v>15944</v>
      </c>
      <c r="G1042" s="800" t="s">
        <v>16032</v>
      </c>
      <c r="H1042" s="800" t="s">
        <v>10396</v>
      </c>
      <c r="I1042" s="800" t="s">
        <v>10396</v>
      </c>
      <c r="J1042" s="800" t="s">
        <v>10447</v>
      </c>
      <c r="K1042" s="800">
        <v>1</v>
      </c>
      <c r="L1042" s="802" t="s">
        <v>10398</v>
      </c>
      <c r="M1042" s="802" t="s">
        <v>16033</v>
      </c>
      <c r="N1042" s="802" t="s">
        <v>16034</v>
      </c>
      <c r="O1042" s="802" t="s">
        <v>16035</v>
      </c>
      <c r="P1042" s="807" t="s">
        <v>16036</v>
      </c>
    </row>
    <row r="1043" spans="1:16" s="341" customFormat="1" ht="15" customHeight="1">
      <c r="A1043" s="806" t="s">
        <v>109</v>
      </c>
      <c r="B1043" s="800" t="s">
        <v>130</v>
      </c>
      <c r="C1043" s="800" t="s">
        <v>130</v>
      </c>
      <c r="D1043" s="800" t="s">
        <v>16037</v>
      </c>
      <c r="E1043" s="801">
        <v>43020</v>
      </c>
      <c r="F1043" s="800" t="s">
        <v>15944</v>
      </c>
      <c r="G1043" s="800" t="s">
        <v>16038</v>
      </c>
      <c r="H1043" s="800" t="s">
        <v>10396</v>
      </c>
      <c r="I1043" s="800" t="s">
        <v>10396</v>
      </c>
      <c r="J1043" s="800" t="s">
        <v>10447</v>
      </c>
      <c r="K1043" s="800">
        <v>1</v>
      </c>
      <c r="L1043" s="802" t="s">
        <v>10398</v>
      </c>
      <c r="M1043" s="802" t="s">
        <v>16039</v>
      </c>
      <c r="N1043" s="802" t="s">
        <v>16040</v>
      </c>
      <c r="O1043" s="802" t="s">
        <v>16041</v>
      </c>
      <c r="P1043" s="807" t="s">
        <v>16042</v>
      </c>
    </row>
    <row r="1044" spans="1:16" s="341" customFormat="1" ht="15" customHeight="1">
      <c r="A1044" s="806" t="s">
        <v>109</v>
      </c>
      <c r="B1044" s="800" t="s">
        <v>130</v>
      </c>
      <c r="C1044" s="800" t="s">
        <v>130</v>
      </c>
      <c r="D1044" s="800" t="s">
        <v>16043</v>
      </c>
      <c r="E1044" s="801">
        <v>43021</v>
      </c>
      <c r="F1044" s="800" t="s">
        <v>15944</v>
      </c>
      <c r="G1044" s="800" t="s">
        <v>16044</v>
      </c>
      <c r="H1044" s="800" t="s">
        <v>10531</v>
      </c>
      <c r="I1044" s="800" t="s">
        <v>10531</v>
      </c>
      <c r="J1044" s="800" t="s">
        <v>10447</v>
      </c>
      <c r="K1044" s="800">
        <v>1</v>
      </c>
      <c r="L1044" s="802" t="s">
        <v>10398</v>
      </c>
      <c r="M1044" s="802" t="s">
        <v>16045</v>
      </c>
      <c r="N1044" s="802" t="s">
        <v>16046</v>
      </c>
      <c r="O1044" s="802" t="s">
        <v>16047</v>
      </c>
      <c r="P1044" s="807" t="s">
        <v>16048</v>
      </c>
    </row>
    <row r="1045" spans="1:16" s="341" customFormat="1" ht="38.25" customHeight="1">
      <c r="A1045" s="806" t="s">
        <v>109</v>
      </c>
      <c r="B1045" s="800" t="s">
        <v>130</v>
      </c>
      <c r="C1045" s="800" t="s">
        <v>130</v>
      </c>
      <c r="D1045" s="800" t="s">
        <v>16049</v>
      </c>
      <c r="E1045" s="801">
        <v>43021</v>
      </c>
      <c r="F1045" s="800" t="s">
        <v>15944</v>
      </c>
      <c r="G1045" s="800" t="s">
        <v>16050</v>
      </c>
      <c r="H1045" s="800" t="s">
        <v>10433</v>
      </c>
      <c r="I1045" s="800" t="s">
        <v>10433</v>
      </c>
      <c r="J1045" s="800" t="s">
        <v>10447</v>
      </c>
      <c r="K1045" s="800">
        <v>1</v>
      </c>
      <c r="L1045" s="802" t="s">
        <v>10398</v>
      </c>
      <c r="M1045" s="802" t="s">
        <v>16051</v>
      </c>
      <c r="N1045" s="802" t="s">
        <v>16052</v>
      </c>
      <c r="O1045" s="802" t="s">
        <v>16053</v>
      </c>
      <c r="P1045" s="807" t="s">
        <v>16054</v>
      </c>
    </row>
    <row r="1046" spans="1:16" s="341" customFormat="1" ht="38.25" customHeight="1">
      <c r="A1046" s="806" t="s">
        <v>109</v>
      </c>
      <c r="B1046" s="800" t="s">
        <v>130</v>
      </c>
      <c r="C1046" s="800" t="s">
        <v>130</v>
      </c>
      <c r="D1046" s="800" t="s">
        <v>16055</v>
      </c>
      <c r="E1046" s="801">
        <v>43021</v>
      </c>
      <c r="F1046" s="800" t="s">
        <v>15944</v>
      </c>
      <c r="G1046" s="800" t="s">
        <v>16056</v>
      </c>
      <c r="H1046" s="800" t="s">
        <v>10433</v>
      </c>
      <c r="I1046" s="800" t="s">
        <v>10433</v>
      </c>
      <c r="J1046" s="800" t="s">
        <v>10447</v>
      </c>
      <c r="K1046" s="800">
        <v>1</v>
      </c>
      <c r="L1046" s="802" t="s">
        <v>10398</v>
      </c>
      <c r="M1046" s="802" t="s">
        <v>16057</v>
      </c>
      <c r="N1046" s="802" t="s">
        <v>13087</v>
      </c>
      <c r="O1046" s="802" t="s">
        <v>16058</v>
      </c>
      <c r="P1046" s="807" t="s">
        <v>16059</v>
      </c>
    </row>
    <row r="1047" spans="1:16" s="341" customFormat="1" ht="25.5" customHeight="1">
      <c r="A1047" s="806" t="s">
        <v>109</v>
      </c>
      <c r="B1047" s="800" t="s">
        <v>130</v>
      </c>
      <c r="C1047" s="800" t="s">
        <v>130</v>
      </c>
      <c r="D1047" s="800" t="s">
        <v>16060</v>
      </c>
      <c r="E1047" s="801">
        <v>43021</v>
      </c>
      <c r="F1047" s="800" t="s">
        <v>15944</v>
      </c>
      <c r="G1047" s="800" t="s">
        <v>16061</v>
      </c>
      <c r="H1047" s="800" t="s">
        <v>10433</v>
      </c>
      <c r="I1047" s="800" t="s">
        <v>10433</v>
      </c>
      <c r="J1047" s="800" t="s">
        <v>10447</v>
      </c>
      <c r="K1047" s="800">
        <v>1</v>
      </c>
      <c r="L1047" s="802" t="s">
        <v>10398</v>
      </c>
      <c r="M1047" s="802" t="s">
        <v>16062</v>
      </c>
      <c r="N1047" s="802" t="s">
        <v>16063</v>
      </c>
      <c r="O1047" s="802" t="s">
        <v>16064</v>
      </c>
      <c r="P1047" s="807" t="s">
        <v>16065</v>
      </c>
    </row>
    <row r="1048" spans="1:16" s="341" customFormat="1" ht="25.5" customHeight="1">
      <c r="A1048" s="806" t="s">
        <v>109</v>
      </c>
      <c r="B1048" s="800" t="s">
        <v>130</v>
      </c>
      <c r="C1048" s="800" t="s">
        <v>130</v>
      </c>
      <c r="D1048" s="800" t="s">
        <v>16066</v>
      </c>
      <c r="E1048" s="801">
        <v>43021</v>
      </c>
      <c r="F1048" s="800" t="s">
        <v>15944</v>
      </c>
      <c r="G1048" s="800" t="s">
        <v>16067</v>
      </c>
      <c r="H1048" s="800" t="s">
        <v>10433</v>
      </c>
      <c r="I1048" s="800" t="s">
        <v>10433</v>
      </c>
      <c r="J1048" s="800" t="s">
        <v>10447</v>
      </c>
      <c r="K1048" s="800">
        <v>1</v>
      </c>
      <c r="L1048" s="802" t="s">
        <v>10398</v>
      </c>
      <c r="M1048" s="802" t="s">
        <v>16068</v>
      </c>
      <c r="N1048" s="802" t="s">
        <v>16069</v>
      </c>
      <c r="O1048" s="802" t="s">
        <v>16064</v>
      </c>
      <c r="P1048" s="807" t="s">
        <v>16070</v>
      </c>
    </row>
    <row r="1049" spans="1:16" s="341" customFormat="1" ht="15" customHeight="1">
      <c r="A1049" s="806" t="s">
        <v>109</v>
      </c>
      <c r="B1049" s="800" t="s">
        <v>130</v>
      </c>
      <c r="C1049" s="800" t="s">
        <v>130</v>
      </c>
      <c r="D1049" s="800" t="s">
        <v>16071</v>
      </c>
      <c r="E1049" s="801">
        <v>43020</v>
      </c>
      <c r="F1049" s="800" t="s">
        <v>15944</v>
      </c>
      <c r="G1049" s="800" t="s">
        <v>16072</v>
      </c>
      <c r="H1049" s="800" t="s">
        <v>10531</v>
      </c>
      <c r="I1049" s="800" t="s">
        <v>10531</v>
      </c>
      <c r="J1049" s="800" t="s">
        <v>10447</v>
      </c>
      <c r="K1049" s="800">
        <v>1</v>
      </c>
      <c r="L1049" s="802" t="s">
        <v>11026</v>
      </c>
      <c r="M1049" s="802" t="s">
        <v>16073</v>
      </c>
      <c r="N1049" s="802" t="s">
        <v>16074</v>
      </c>
      <c r="O1049" s="802" t="s">
        <v>16075</v>
      </c>
      <c r="P1049" s="807" t="s">
        <v>16076</v>
      </c>
    </row>
    <row r="1050" spans="1:16" s="341" customFormat="1" ht="25.5" customHeight="1">
      <c r="A1050" s="806" t="s">
        <v>109</v>
      </c>
      <c r="B1050" s="800" t="s">
        <v>130</v>
      </c>
      <c r="C1050" s="800" t="s">
        <v>130</v>
      </c>
      <c r="D1050" s="800" t="s">
        <v>16077</v>
      </c>
      <c r="E1050" s="801">
        <v>43019</v>
      </c>
      <c r="F1050" s="800" t="s">
        <v>15944</v>
      </c>
      <c r="G1050" s="800" t="s">
        <v>16078</v>
      </c>
      <c r="H1050" s="800" t="s">
        <v>10531</v>
      </c>
      <c r="I1050" s="800" t="s">
        <v>10531</v>
      </c>
      <c r="J1050" s="800" t="s">
        <v>10447</v>
      </c>
      <c r="K1050" s="800">
        <v>1</v>
      </c>
      <c r="L1050" s="802" t="s">
        <v>10398</v>
      </c>
      <c r="M1050" s="802" t="s">
        <v>16079</v>
      </c>
      <c r="N1050" s="802" t="s">
        <v>16080</v>
      </c>
      <c r="O1050" s="802" t="s">
        <v>16081</v>
      </c>
      <c r="P1050" s="807" t="s">
        <v>16082</v>
      </c>
    </row>
    <row r="1051" spans="1:16" s="341" customFormat="1" ht="15" customHeight="1">
      <c r="A1051" s="806" t="s">
        <v>109</v>
      </c>
      <c r="B1051" s="800" t="s">
        <v>130</v>
      </c>
      <c r="C1051" s="800" t="s">
        <v>130</v>
      </c>
      <c r="D1051" s="800" t="s">
        <v>16083</v>
      </c>
      <c r="E1051" s="801">
        <v>43019</v>
      </c>
      <c r="F1051" s="800" t="s">
        <v>15944</v>
      </c>
      <c r="G1051" s="800" t="s">
        <v>32</v>
      </c>
      <c r="H1051" s="800" t="s">
        <v>10531</v>
      </c>
      <c r="I1051" s="800" t="s">
        <v>10531</v>
      </c>
      <c r="J1051" s="800" t="s">
        <v>10447</v>
      </c>
      <c r="K1051" s="800">
        <v>1</v>
      </c>
      <c r="L1051" s="802" t="s">
        <v>10398</v>
      </c>
      <c r="M1051" s="802" t="s">
        <v>16084</v>
      </c>
      <c r="N1051" s="802" t="s">
        <v>16085</v>
      </c>
      <c r="O1051" s="802" t="s">
        <v>16086</v>
      </c>
      <c r="P1051" s="807" t="s">
        <v>16082</v>
      </c>
    </row>
    <row r="1052" spans="1:16" s="341" customFormat="1" ht="15" customHeight="1">
      <c r="A1052" s="806" t="s">
        <v>109</v>
      </c>
      <c r="B1052" s="800" t="s">
        <v>130</v>
      </c>
      <c r="C1052" s="800" t="s">
        <v>130</v>
      </c>
      <c r="D1052" s="800" t="s">
        <v>16087</v>
      </c>
      <c r="E1052" s="801">
        <v>43019</v>
      </c>
      <c r="F1052" s="800" t="s">
        <v>15944</v>
      </c>
      <c r="G1052" s="800" t="s">
        <v>16088</v>
      </c>
      <c r="H1052" s="800" t="s">
        <v>10433</v>
      </c>
      <c r="I1052" s="800" t="s">
        <v>10433</v>
      </c>
      <c r="J1052" s="800" t="s">
        <v>10447</v>
      </c>
      <c r="K1052" s="800">
        <v>1</v>
      </c>
      <c r="L1052" s="802" t="s">
        <v>10398</v>
      </c>
      <c r="M1052" s="802" t="s">
        <v>16089</v>
      </c>
      <c r="N1052" s="802" t="s">
        <v>16090</v>
      </c>
      <c r="O1052" s="802" t="s">
        <v>16091</v>
      </c>
      <c r="P1052" s="807" t="s">
        <v>16092</v>
      </c>
    </row>
    <row r="1053" spans="1:16" s="341" customFormat="1" ht="15" customHeight="1">
      <c r="A1053" s="806" t="s">
        <v>109</v>
      </c>
      <c r="B1053" s="800" t="s">
        <v>130</v>
      </c>
      <c r="C1053" s="800" t="s">
        <v>130</v>
      </c>
      <c r="D1053" s="800" t="s">
        <v>16093</v>
      </c>
      <c r="E1053" s="801">
        <v>43021</v>
      </c>
      <c r="F1053" s="800" t="s">
        <v>15944</v>
      </c>
      <c r="G1053" s="800" t="s">
        <v>16094</v>
      </c>
      <c r="H1053" s="800" t="s">
        <v>10531</v>
      </c>
      <c r="I1053" s="800" t="s">
        <v>10531</v>
      </c>
      <c r="J1053" s="800" t="s">
        <v>10447</v>
      </c>
      <c r="K1053" s="800">
        <v>1</v>
      </c>
      <c r="L1053" s="802" t="s">
        <v>11026</v>
      </c>
      <c r="M1053" s="802" t="s">
        <v>16095</v>
      </c>
      <c r="N1053" s="802" t="s">
        <v>16096</v>
      </c>
      <c r="O1053" s="802" t="s">
        <v>16097</v>
      </c>
      <c r="P1053" s="807" t="s">
        <v>16098</v>
      </c>
    </row>
    <row r="1054" spans="1:16" s="341" customFormat="1" ht="15" customHeight="1">
      <c r="A1054" s="806" t="s">
        <v>109</v>
      </c>
      <c r="B1054" s="800" t="s">
        <v>130</v>
      </c>
      <c r="C1054" s="800" t="s">
        <v>130</v>
      </c>
      <c r="D1054" s="800" t="s">
        <v>16099</v>
      </c>
      <c r="E1054" s="801">
        <v>43021</v>
      </c>
      <c r="F1054" s="800" t="s">
        <v>15944</v>
      </c>
      <c r="G1054" s="800" t="s">
        <v>16100</v>
      </c>
      <c r="H1054" s="800" t="s">
        <v>10433</v>
      </c>
      <c r="I1054" s="800" t="s">
        <v>10433</v>
      </c>
      <c r="J1054" s="800" t="s">
        <v>10447</v>
      </c>
      <c r="K1054" s="800">
        <v>1</v>
      </c>
      <c r="L1054" s="802" t="s">
        <v>10398</v>
      </c>
      <c r="M1054" s="802" t="s">
        <v>32</v>
      </c>
      <c r="N1054" s="802" t="s">
        <v>16101</v>
      </c>
      <c r="O1054" s="802" t="s">
        <v>16102</v>
      </c>
      <c r="P1054" s="807" t="s">
        <v>16103</v>
      </c>
    </row>
    <row r="1055" spans="1:16" s="341" customFormat="1" ht="15" customHeight="1">
      <c r="A1055" s="806" t="s">
        <v>109</v>
      </c>
      <c r="B1055" s="800" t="s">
        <v>130</v>
      </c>
      <c r="C1055" s="800" t="s">
        <v>130</v>
      </c>
      <c r="D1055" s="800" t="s">
        <v>16104</v>
      </c>
      <c r="E1055" s="801">
        <v>43021</v>
      </c>
      <c r="F1055" s="800" t="s">
        <v>15944</v>
      </c>
      <c r="G1055" s="800" t="s">
        <v>16105</v>
      </c>
      <c r="H1055" s="800" t="s">
        <v>10433</v>
      </c>
      <c r="I1055" s="800" t="s">
        <v>10433</v>
      </c>
      <c r="J1055" s="800" t="s">
        <v>10447</v>
      </c>
      <c r="K1055" s="800">
        <v>1</v>
      </c>
      <c r="L1055" s="802" t="s">
        <v>10398</v>
      </c>
      <c r="M1055" s="802" t="s">
        <v>16106</v>
      </c>
      <c r="N1055" s="802" t="s">
        <v>16107</v>
      </c>
      <c r="O1055" s="802" t="s">
        <v>16108</v>
      </c>
      <c r="P1055" s="807" t="s">
        <v>16109</v>
      </c>
    </row>
    <row r="1056" spans="1:16" s="341" customFormat="1" ht="15" customHeight="1">
      <c r="A1056" s="806" t="s">
        <v>109</v>
      </c>
      <c r="B1056" s="800" t="s">
        <v>130</v>
      </c>
      <c r="C1056" s="800" t="s">
        <v>130</v>
      </c>
      <c r="D1056" s="800" t="s">
        <v>16110</v>
      </c>
      <c r="E1056" s="801">
        <v>43019</v>
      </c>
      <c r="F1056" s="800" t="s">
        <v>15944</v>
      </c>
      <c r="G1056" s="800" t="s">
        <v>16111</v>
      </c>
      <c r="H1056" s="800" t="s">
        <v>10404</v>
      </c>
      <c r="I1056" s="800" t="s">
        <v>10404</v>
      </c>
      <c r="J1056" s="800" t="s">
        <v>10447</v>
      </c>
      <c r="K1056" s="800">
        <v>1</v>
      </c>
      <c r="L1056" s="802" t="s">
        <v>10398</v>
      </c>
      <c r="M1056" s="802" t="s">
        <v>16112</v>
      </c>
      <c r="N1056" s="802" t="s">
        <v>16113</v>
      </c>
      <c r="O1056" s="802" t="s">
        <v>16114</v>
      </c>
      <c r="P1056" s="807" t="s">
        <v>16115</v>
      </c>
    </row>
    <row r="1057" spans="1:16" s="341" customFormat="1" ht="25.5" customHeight="1">
      <c r="A1057" s="806" t="s">
        <v>109</v>
      </c>
      <c r="B1057" s="800" t="s">
        <v>130</v>
      </c>
      <c r="C1057" s="800" t="s">
        <v>130</v>
      </c>
      <c r="D1057" s="800" t="s">
        <v>16116</v>
      </c>
      <c r="E1057" s="801">
        <v>43019</v>
      </c>
      <c r="F1057" s="800" t="s">
        <v>133</v>
      </c>
      <c r="G1057" s="800" t="s">
        <v>32</v>
      </c>
      <c r="H1057" s="800" t="s">
        <v>10433</v>
      </c>
      <c r="I1057" s="800" t="s">
        <v>10433</v>
      </c>
      <c r="J1057" s="800" t="s">
        <v>10447</v>
      </c>
      <c r="K1057" s="800">
        <v>1</v>
      </c>
      <c r="L1057" s="802" t="s">
        <v>10398</v>
      </c>
      <c r="M1057" s="802" t="s">
        <v>16117</v>
      </c>
      <c r="N1057" s="802" t="s">
        <v>16118</v>
      </c>
      <c r="O1057" s="802" t="s">
        <v>16119</v>
      </c>
      <c r="P1057" s="807" t="s">
        <v>16120</v>
      </c>
    </row>
    <row r="1058" spans="1:16" s="341" customFormat="1" ht="15" customHeight="1">
      <c r="A1058" s="806" t="s">
        <v>109</v>
      </c>
      <c r="B1058" s="800" t="s">
        <v>130</v>
      </c>
      <c r="C1058" s="800" t="s">
        <v>130</v>
      </c>
      <c r="D1058" s="800" t="s">
        <v>16121</v>
      </c>
      <c r="E1058" s="801">
        <v>43021</v>
      </c>
      <c r="F1058" s="800" t="s">
        <v>15944</v>
      </c>
      <c r="G1058" s="800" t="s">
        <v>16122</v>
      </c>
      <c r="H1058" s="800" t="s">
        <v>10433</v>
      </c>
      <c r="I1058" s="800" t="s">
        <v>10433</v>
      </c>
      <c r="J1058" s="800" t="s">
        <v>10447</v>
      </c>
      <c r="K1058" s="800">
        <v>1</v>
      </c>
      <c r="L1058" s="802" t="s">
        <v>10398</v>
      </c>
      <c r="M1058" s="802" t="s">
        <v>16123</v>
      </c>
      <c r="N1058" s="802" t="s">
        <v>16124</v>
      </c>
      <c r="O1058" s="802" t="s">
        <v>16125</v>
      </c>
      <c r="P1058" s="807" t="s">
        <v>16109</v>
      </c>
    </row>
    <row r="1059" spans="1:16" s="341" customFormat="1" ht="15" customHeight="1">
      <c r="A1059" s="806" t="s">
        <v>109</v>
      </c>
      <c r="B1059" s="800" t="s">
        <v>130</v>
      </c>
      <c r="C1059" s="800" t="s">
        <v>130</v>
      </c>
      <c r="D1059" s="800" t="s">
        <v>16126</v>
      </c>
      <c r="E1059" s="801">
        <v>43020</v>
      </c>
      <c r="F1059" s="800" t="s">
        <v>32</v>
      </c>
      <c r="G1059" s="800" t="s">
        <v>16127</v>
      </c>
      <c r="H1059" s="800" t="s">
        <v>10396</v>
      </c>
      <c r="I1059" s="800" t="s">
        <v>10396</v>
      </c>
      <c r="J1059" s="800" t="s">
        <v>10397</v>
      </c>
      <c r="K1059" s="800">
        <v>1</v>
      </c>
      <c r="L1059" s="802" t="s">
        <v>11026</v>
      </c>
      <c r="M1059" s="802" t="s">
        <v>16128</v>
      </c>
      <c r="N1059" s="802" t="s">
        <v>16129</v>
      </c>
      <c r="O1059" s="802" t="s">
        <v>16130</v>
      </c>
      <c r="P1059" s="807" t="s">
        <v>16131</v>
      </c>
    </row>
    <row r="1060" spans="1:16" s="341" customFormat="1" ht="15" customHeight="1">
      <c r="A1060" s="806" t="s">
        <v>109</v>
      </c>
      <c r="B1060" s="800" t="s">
        <v>130</v>
      </c>
      <c r="C1060" s="800" t="s">
        <v>130</v>
      </c>
      <c r="D1060" s="800" t="s">
        <v>16132</v>
      </c>
      <c r="E1060" s="801">
        <v>43020</v>
      </c>
      <c r="F1060" s="800" t="s">
        <v>15944</v>
      </c>
      <c r="G1060" s="800" t="s">
        <v>16133</v>
      </c>
      <c r="H1060" s="800" t="s">
        <v>10433</v>
      </c>
      <c r="I1060" s="800" t="s">
        <v>10433</v>
      </c>
      <c r="J1060" s="800" t="s">
        <v>10447</v>
      </c>
      <c r="K1060" s="800">
        <v>1</v>
      </c>
      <c r="L1060" s="802" t="s">
        <v>10398</v>
      </c>
      <c r="M1060" s="802" t="s">
        <v>16134</v>
      </c>
      <c r="N1060" s="802" t="s">
        <v>16135</v>
      </c>
      <c r="O1060" s="802" t="s">
        <v>16136</v>
      </c>
      <c r="P1060" s="807" t="s">
        <v>16137</v>
      </c>
    </row>
    <row r="1061" spans="1:16" s="341" customFormat="1" ht="15" customHeight="1">
      <c r="A1061" s="806" t="s">
        <v>109</v>
      </c>
      <c r="B1061" s="800" t="s">
        <v>130</v>
      </c>
      <c r="C1061" s="800" t="s">
        <v>130</v>
      </c>
      <c r="D1061" s="800" t="s">
        <v>16138</v>
      </c>
      <c r="E1061" s="801">
        <v>43020</v>
      </c>
      <c r="F1061" s="800" t="s">
        <v>15944</v>
      </c>
      <c r="G1061" s="800" t="s">
        <v>16139</v>
      </c>
      <c r="H1061" s="800" t="s">
        <v>10433</v>
      </c>
      <c r="I1061" s="800" t="s">
        <v>10433</v>
      </c>
      <c r="J1061" s="800" t="s">
        <v>10447</v>
      </c>
      <c r="K1061" s="800">
        <v>1</v>
      </c>
      <c r="L1061" s="802" t="s">
        <v>10398</v>
      </c>
      <c r="M1061" s="802" t="s">
        <v>16140</v>
      </c>
      <c r="N1061" s="802" t="s">
        <v>16141</v>
      </c>
      <c r="O1061" s="802" t="s">
        <v>16142</v>
      </c>
      <c r="P1061" s="807" t="s">
        <v>16137</v>
      </c>
    </row>
    <row r="1062" spans="1:16" s="341" customFormat="1" ht="25.5" customHeight="1">
      <c r="A1062" s="806" t="s">
        <v>109</v>
      </c>
      <c r="B1062" s="800" t="s">
        <v>130</v>
      </c>
      <c r="C1062" s="800" t="s">
        <v>130</v>
      </c>
      <c r="D1062" s="800" t="s">
        <v>16143</v>
      </c>
      <c r="E1062" s="801">
        <v>43019</v>
      </c>
      <c r="F1062" s="800" t="s">
        <v>15944</v>
      </c>
      <c r="G1062" s="800" t="s">
        <v>16144</v>
      </c>
      <c r="H1062" s="800" t="s">
        <v>10396</v>
      </c>
      <c r="I1062" s="800" t="s">
        <v>10396</v>
      </c>
      <c r="J1062" s="800" t="s">
        <v>10405</v>
      </c>
      <c r="K1062" s="800">
        <v>1</v>
      </c>
      <c r="L1062" s="802" t="s">
        <v>10398</v>
      </c>
      <c r="M1062" s="802" t="s">
        <v>16145</v>
      </c>
      <c r="N1062" s="802" t="s">
        <v>4137</v>
      </c>
      <c r="O1062" s="802" t="s">
        <v>16146</v>
      </c>
      <c r="P1062" s="807" t="s">
        <v>16147</v>
      </c>
    </row>
    <row r="1063" spans="1:16" s="341" customFormat="1" ht="25.5" customHeight="1">
      <c r="A1063" s="806" t="s">
        <v>109</v>
      </c>
      <c r="B1063" s="800" t="s">
        <v>130</v>
      </c>
      <c r="C1063" s="800" t="s">
        <v>130</v>
      </c>
      <c r="D1063" s="800" t="s">
        <v>16148</v>
      </c>
      <c r="E1063" s="801">
        <v>43021</v>
      </c>
      <c r="F1063" s="800" t="s">
        <v>15944</v>
      </c>
      <c r="G1063" s="800" t="s">
        <v>16149</v>
      </c>
      <c r="H1063" s="800" t="s">
        <v>10396</v>
      </c>
      <c r="I1063" s="800" t="s">
        <v>10396</v>
      </c>
      <c r="J1063" s="800" t="s">
        <v>10405</v>
      </c>
      <c r="K1063" s="800">
        <v>1</v>
      </c>
      <c r="L1063" s="802" t="s">
        <v>10398</v>
      </c>
      <c r="M1063" s="802" t="s">
        <v>16150</v>
      </c>
      <c r="N1063" s="802" t="s">
        <v>16151</v>
      </c>
      <c r="O1063" s="802" t="s">
        <v>16152</v>
      </c>
      <c r="P1063" s="807" t="s">
        <v>32</v>
      </c>
    </row>
    <row r="1064" spans="1:16" s="341" customFormat="1" ht="25.5" customHeight="1">
      <c r="A1064" s="806" t="s">
        <v>109</v>
      </c>
      <c r="B1064" s="800" t="s">
        <v>130</v>
      </c>
      <c r="C1064" s="800" t="s">
        <v>130</v>
      </c>
      <c r="D1064" s="800" t="s">
        <v>16153</v>
      </c>
      <c r="E1064" s="801">
        <v>43021</v>
      </c>
      <c r="F1064" s="800" t="s">
        <v>32</v>
      </c>
      <c r="G1064" s="800" t="s">
        <v>16154</v>
      </c>
      <c r="H1064" s="800" t="s">
        <v>10396</v>
      </c>
      <c r="I1064" s="800" t="s">
        <v>10396</v>
      </c>
      <c r="J1064" s="800" t="s">
        <v>10405</v>
      </c>
      <c r="K1064" s="800">
        <v>1</v>
      </c>
      <c r="L1064" s="802" t="s">
        <v>10398</v>
      </c>
      <c r="M1064" s="802" t="s">
        <v>16155</v>
      </c>
      <c r="N1064" s="802" t="s">
        <v>11654</v>
      </c>
      <c r="O1064" s="802" t="s">
        <v>16156</v>
      </c>
      <c r="P1064" s="807" t="s">
        <v>16157</v>
      </c>
    </row>
    <row r="1065" spans="1:16" s="341" customFormat="1" ht="25.5" customHeight="1">
      <c r="A1065" s="806" t="s">
        <v>109</v>
      </c>
      <c r="B1065" s="800" t="s">
        <v>130</v>
      </c>
      <c r="C1065" s="800" t="s">
        <v>130</v>
      </c>
      <c r="D1065" s="800" t="s">
        <v>16158</v>
      </c>
      <c r="E1065" s="801">
        <v>43021</v>
      </c>
      <c r="F1065" s="800" t="s">
        <v>15944</v>
      </c>
      <c r="G1065" s="800" t="s">
        <v>16159</v>
      </c>
      <c r="H1065" s="800" t="s">
        <v>10531</v>
      </c>
      <c r="I1065" s="800" t="s">
        <v>10531</v>
      </c>
      <c r="J1065" s="800" t="s">
        <v>10405</v>
      </c>
      <c r="K1065" s="800">
        <v>1</v>
      </c>
      <c r="L1065" s="802" t="s">
        <v>10398</v>
      </c>
      <c r="M1065" s="802" t="s">
        <v>16160</v>
      </c>
      <c r="N1065" s="802" t="s">
        <v>16161</v>
      </c>
      <c r="O1065" s="802" t="s">
        <v>16162</v>
      </c>
      <c r="P1065" s="807" t="s">
        <v>16163</v>
      </c>
    </row>
    <row r="1066" spans="1:16" s="341" customFormat="1" ht="15" customHeight="1">
      <c r="A1066" s="806" t="s">
        <v>109</v>
      </c>
      <c r="B1066" s="800" t="s">
        <v>130</v>
      </c>
      <c r="C1066" s="800" t="s">
        <v>130</v>
      </c>
      <c r="D1066" s="800" t="s">
        <v>16164</v>
      </c>
      <c r="E1066" s="801">
        <v>43020</v>
      </c>
      <c r="F1066" s="800" t="s">
        <v>15944</v>
      </c>
      <c r="G1066" s="800" t="s">
        <v>16165</v>
      </c>
      <c r="H1066" s="800" t="s">
        <v>10531</v>
      </c>
      <c r="I1066" s="800" t="s">
        <v>10531</v>
      </c>
      <c r="J1066" s="800" t="s">
        <v>10405</v>
      </c>
      <c r="K1066" s="800">
        <v>1</v>
      </c>
      <c r="L1066" s="802" t="s">
        <v>10398</v>
      </c>
      <c r="M1066" s="802" t="s">
        <v>16166</v>
      </c>
      <c r="N1066" s="802" t="s">
        <v>16167</v>
      </c>
      <c r="O1066" s="802" t="s">
        <v>16168</v>
      </c>
      <c r="P1066" s="807" t="s">
        <v>16169</v>
      </c>
    </row>
    <row r="1067" spans="1:16" s="341" customFormat="1" ht="15" customHeight="1">
      <c r="A1067" s="806" t="s">
        <v>109</v>
      </c>
      <c r="B1067" s="800" t="s">
        <v>130</v>
      </c>
      <c r="C1067" s="800" t="s">
        <v>130</v>
      </c>
      <c r="D1067" s="800" t="s">
        <v>16170</v>
      </c>
      <c r="E1067" s="801">
        <v>43020</v>
      </c>
      <c r="F1067" s="800" t="s">
        <v>15944</v>
      </c>
      <c r="G1067" s="800" t="s">
        <v>16171</v>
      </c>
      <c r="H1067" s="800" t="s">
        <v>10531</v>
      </c>
      <c r="I1067" s="800" t="s">
        <v>10531</v>
      </c>
      <c r="J1067" s="800" t="s">
        <v>10405</v>
      </c>
      <c r="K1067" s="800">
        <v>1</v>
      </c>
      <c r="L1067" s="802" t="s">
        <v>10398</v>
      </c>
      <c r="M1067" s="802" t="s">
        <v>16172</v>
      </c>
      <c r="N1067" s="802" t="s">
        <v>16173</v>
      </c>
      <c r="O1067" s="802" t="s">
        <v>16168</v>
      </c>
      <c r="P1067" s="807" t="s">
        <v>16169</v>
      </c>
    </row>
    <row r="1068" spans="1:16" s="341" customFormat="1" ht="25.5" customHeight="1">
      <c r="A1068" s="806" t="s">
        <v>109</v>
      </c>
      <c r="B1068" s="800" t="s">
        <v>130</v>
      </c>
      <c r="C1068" s="800" t="s">
        <v>130</v>
      </c>
      <c r="D1068" s="800" t="s">
        <v>16174</v>
      </c>
      <c r="E1068" s="801">
        <v>43020</v>
      </c>
      <c r="F1068" s="800" t="s">
        <v>15944</v>
      </c>
      <c r="G1068" s="800" t="s">
        <v>32</v>
      </c>
      <c r="H1068" s="800" t="s">
        <v>10531</v>
      </c>
      <c r="I1068" s="800" t="s">
        <v>10531</v>
      </c>
      <c r="J1068" s="800" t="s">
        <v>10405</v>
      </c>
      <c r="K1068" s="800">
        <v>1</v>
      </c>
      <c r="L1068" s="802" t="s">
        <v>10398</v>
      </c>
      <c r="M1068" s="802" t="s">
        <v>16175</v>
      </c>
      <c r="N1068" s="802" t="s">
        <v>16176</v>
      </c>
      <c r="O1068" s="802" t="s">
        <v>15230</v>
      </c>
      <c r="P1068" s="807" t="s">
        <v>32</v>
      </c>
    </row>
    <row r="1069" spans="1:16" s="341" customFormat="1" ht="15" customHeight="1">
      <c r="A1069" s="806" t="s">
        <v>109</v>
      </c>
      <c r="B1069" s="800" t="s">
        <v>130</v>
      </c>
      <c r="C1069" s="800" t="s">
        <v>130</v>
      </c>
      <c r="D1069" s="800" t="s">
        <v>16177</v>
      </c>
      <c r="E1069" s="801">
        <v>43021</v>
      </c>
      <c r="F1069" s="800" t="s">
        <v>15944</v>
      </c>
      <c r="G1069" s="800" t="s">
        <v>16178</v>
      </c>
      <c r="H1069" s="800" t="s">
        <v>10396</v>
      </c>
      <c r="I1069" s="800" t="s">
        <v>10396</v>
      </c>
      <c r="J1069" s="800" t="s">
        <v>10405</v>
      </c>
      <c r="K1069" s="800">
        <v>1</v>
      </c>
      <c r="L1069" s="802" t="s">
        <v>10398</v>
      </c>
      <c r="M1069" s="802" t="s">
        <v>16179</v>
      </c>
      <c r="N1069" s="802" t="s">
        <v>16180</v>
      </c>
      <c r="O1069" s="802" t="s">
        <v>16181</v>
      </c>
      <c r="P1069" s="807" t="s">
        <v>16182</v>
      </c>
    </row>
    <row r="1070" spans="1:16" s="341" customFormat="1" ht="25.5" customHeight="1">
      <c r="A1070" s="806" t="s">
        <v>109</v>
      </c>
      <c r="B1070" s="800" t="s">
        <v>130</v>
      </c>
      <c r="C1070" s="800" t="s">
        <v>130</v>
      </c>
      <c r="D1070" s="800" t="s">
        <v>16183</v>
      </c>
      <c r="E1070" s="801">
        <v>43021</v>
      </c>
      <c r="F1070" s="800" t="s">
        <v>15944</v>
      </c>
      <c r="G1070" s="800" t="s">
        <v>32</v>
      </c>
      <c r="H1070" s="800" t="s">
        <v>10396</v>
      </c>
      <c r="I1070" s="800" t="s">
        <v>10396</v>
      </c>
      <c r="J1070" s="800" t="s">
        <v>10405</v>
      </c>
      <c r="K1070" s="800">
        <v>1</v>
      </c>
      <c r="L1070" s="802" t="s">
        <v>10398</v>
      </c>
      <c r="M1070" s="802" t="s">
        <v>16184</v>
      </c>
      <c r="N1070" s="802" t="s">
        <v>16185</v>
      </c>
      <c r="O1070" s="802" t="s">
        <v>16186</v>
      </c>
      <c r="P1070" s="807" t="s">
        <v>16187</v>
      </c>
    </row>
    <row r="1071" spans="1:16" s="341" customFormat="1" ht="25.5" customHeight="1">
      <c r="A1071" s="806" t="s">
        <v>109</v>
      </c>
      <c r="B1071" s="800" t="s">
        <v>130</v>
      </c>
      <c r="C1071" s="800" t="s">
        <v>130</v>
      </c>
      <c r="D1071" s="800" t="s">
        <v>16188</v>
      </c>
      <c r="E1071" s="801">
        <v>43021</v>
      </c>
      <c r="F1071" s="800" t="s">
        <v>15944</v>
      </c>
      <c r="G1071" s="800" t="s">
        <v>16189</v>
      </c>
      <c r="H1071" s="800" t="s">
        <v>10396</v>
      </c>
      <c r="I1071" s="800" t="s">
        <v>10396</v>
      </c>
      <c r="J1071" s="800" t="s">
        <v>10405</v>
      </c>
      <c r="K1071" s="800">
        <v>1</v>
      </c>
      <c r="L1071" s="802" t="s">
        <v>10398</v>
      </c>
      <c r="M1071" s="802" t="s">
        <v>16190</v>
      </c>
      <c r="N1071" s="802" t="s">
        <v>16191</v>
      </c>
      <c r="O1071" s="802" t="s">
        <v>16192</v>
      </c>
      <c r="P1071" s="807" t="s">
        <v>16193</v>
      </c>
    </row>
    <row r="1072" spans="1:16" s="341" customFormat="1" ht="15" customHeight="1">
      <c r="A1072" s="806" t="s">
        <v>109</v>
      </c>
      <c r="B1072" s="800" t="s">
        <v>130</v>
      </c>
      <c r="C1072" s="800" t="s">
        <v>130</v>
      </c>
      <c r="D1072" s="800" t="s">
        <v>16194</v>
      </c>
      <c r="E1072" s="801">
        <v>43021</v>
      </c>
      <c r="F1072" s="800" t="s">
        <v>15944</v>
      </c>
      <c r="G1072" s="800" t="s">
        <v>32</v>
      </c>
      <c r="H1072" s="800" t="s">
        <v>10396</v>
      </c>
      <c r="I1072" s="800" t="s">
        <v>10396</v>
      </c>
      <c r="J1072" s="800" t="s">
        <v>10405</v>
      </c>
      <c r="K1072" s="800">
        <v>1</v>
      </c>
      <c r="L1072" s="802" t="s">
        <v>10398</v>
      </c>
      <c r="M1072" s="802" t="s">
        <v>16195</v>
      </c>
      <c r="N1072" s="802" t="s">
        <v>16196</v>
      </c>
      <c r="O1072" s="802" t="s">
        <v>16197</v>
      </c>
      <c r="P1072" s="807" t="s">
        <v>16198</v>
      </c>
    </row>
    <row r="1073" spans="1:16" s="341" customFormat="1" ht="15" customHeight="1">
      <c r="A1073" s="806" t="s">
        <v>109</v>
      </c>
      <c r="B1073" s="800" t="s">
        <v>130</v>
      </c>
      <c r="C1073" s="800" t="s">
        <v>130</v>
      </c>
      <c r="D1073" s="800" t="s">
        <v>16199</v>
      </c>
      <c r="E1073" s="801">
        <v>43019</v>
      </c>
      <c r="F1073" s="800" t="s">
        <v>16200</v>
      </c>
      <c r="G1073" s="800" t="s">
        <v>16201</v>
      </c>
      <c r="H1073" s="800" t="s">
        <v>10433</v>
      </c>
      <c r="I1073" s="800" t="s">
        <v>10433</v>
      </c>
      <c r="J1073" s="800" t="s">
        <v>10447</v>
      </c>
      <c r="K1073" s="800">
        <v>1</v>
      </c>
      <c r="L1073" s="802" t="s">
        <v>10398</v>
      </c>
      <c r="M1073" s="802" t="s">
        <v>16202</v>
      </c>
      <c r="N1073" s="802" t="s">
        <v>16203</v>
      </c>
      <c r="O1073" s="802" t="s">
        <v>16204</v>
      </c>
      <c r="P1073" s="807" t="s">
        <v>16205</v>
      </c>
    </row>
    <row r="1074" spans="1:16" s="341" customFormat="1" ht="25.5" customHeight="1">
      <c r="A1074" s="806" t="s">
        <v>109</v>
      </c>
      <c r="B1074" s="800" t="s">
        <v>130</v>
      </c>
      <c r="C1074" s="800" t="s">
        <v>130</v>
      </c>
      <c r="D1074" s="800" t="s">
        <v>16206</v>
      </c>
      <c r="E1074" s="801">
        <v>43019</v>
      </c>
      <c r="F1074" s="800" t="s">
        <v>16200</v>
      </c>
      <c r="G1074" s="800" t="s">
        <v>16207</v>
      </c>
      <c r="H1074" s="800" t="s">
        <v>10404</v>
      </c>
      <c r="I1074" s="800" t="s">
        <v>10404</v>
      </c>
      <c r="J1074" s="800" t="s">
        <v>10405</v>
      </c>
      <c r="K1074" s="800">
        <v>1</v>
      </c>
      <c r="L1074" s="802" t="s">
        <v>11026</v>
      </c>
      <c r="M1074" s="802" t="s">
        <v>16208</v>
      </c>
      <c r="N1074" s="802" t="s">
        <v>16209</v>
      </c>
      <c r="O1074" s="802" t="s">
        <v>16210</v>
      </c>
      <c r="P1074" s="807" t="s">
        <v>16211</v>
      </c>
    </row>
    <row r="1075" spans="1:16" s="341" customFormat="1" ht="15" customHeight="1">
      <c r="A1075" s="806" t="s">
        <v>109</v>
      </c>
      <c r="B1075" s="800" t="s">
        <v>130</v>
      </c>
      <c r="C1075" s="800" t="s">
        <v>130</v>
      </c>
      <c r="D1075" s="800" t="s">
        <v>16212</v>
      </c>
      <c r="E1075" s="801">
        <v>43020</v>
      </c>
      <c r="F1075" s="800" t="s">
        <v>118</v>
      </c>
      <c r="G1075" s="800" t="s">
        <v>16213</v>
      </c>
      <c r="H1075" s="800" t="s">
        <v>10396</v>
      </c>
      <c r="I1075" s="800" t="s">
        <v>10396</v>
      </c>
      <c r="J1075" s="800" t="s">
        <v>10397</v>
      </c>
      <c r="K1075" s="800">
        <v>1</v>
      </c>
      <c r="L1075" s="802" t="s">
        <v>10398</v>
      </c>
      <c r="M1075" s="802" t="s">
        <v>16214</v>
      </c>
      <c r="N1075" s="802" t="s">
        <v>16215</v>
      </c>
      <c r="O1075" s="802" t="s">
        <v>16216</v>
      </c>
      <c r="P1075" s="807" t="s">
        <v>16217</v>
      </c>
    </row>
    <row r="1076" spans="1:16" s="341" customFormat="1" ht="15" customHeight="1">
      <c r="A1076" s="806" t="s">
        <v>109</v>
      </c>
      <c r="B1076" s="800" t="s">
        <v>130</v>
      </c>
      <c r="C1076" s="800" t="s">
        <v>130</v>
      </c>
      <c r="D1076" s="800" t="s">
        <v>16218</v>
      </c>
      <c r="E1076" s="801">
        <v>43019</v>
      </c>
      <c r="F1076" s="800" t="s">
        <v>15751</v>
      </c>
      <c r="G1076" s="800" t="s">
        <v>32</v>
      </c>
      <c r="H1076" s="800" t="s">
        <v>10396</v>
      </c>
      <c r="I1076" s="800" t="s">
        <v>10396</v>
      </c>
      <c r="J1076" s="800" t="s">
        <v>10447</v>
      </c>
      <c r="K1076" s="800">
        <v>1</v>
      </c>
      <c r="L1076" s="802" t="s">
        <v>10398</v>
      </c>
      <c r="M1076" s="802" t="s">
        <v>16219</v>
      </c>
      <c r="N1076" s="802" t="s">
        <v>16220</v>
      </c>
      <c r="O1076" s="802" t="s">
        <v>16221</v>
      </c>
      <c r="P1076" s="807" t="s">
        <v>16222</v>
      </c>
    </row>
    <row r="1077" spans="1:16" s="341" customFormat="1" ht="15" customHeight="1">
      <c r="A1077" s="806" t="s">
        <v>109</v>
      </c>
      <c r="B1077" s="800" t="s">
        <v>130</v>
      </c>
      <c r="C1077" s="800" t="s">
        <v>130</v>
      </c>
      <c r="D1077" s="800" t="s">
        <v>16223</v>
      </c>
      <c r="E1077" s="801">
        <v>43046</v>
      </c>
      <c r="F1077" s="800" t="s">
        <v>16224</v>
      </c>
      <c r="G1077" s="800" t="s">
        <v>16225</v>
      </c>
      <c r="H1077" s="800" t="s">
        <v>10404</v>
      </c>
      <c r="I1077" s="800" t="s">
        <v>10404</v>
      </c>
      <c r="J1077" s="800" t="s">
        <v>10447</v>
      </c>
      <c r="K1077" s="800">
        <v>1</v>
      </c>
      <c r="L1077" s="802" t="s">
        <v>10398</v>
      </c>
      <c r="M1077" s="802" t="s">
        <v>16226</v>
      </c>
      <c r="N1077" s="802" t="s">
        <v>16227</v>
      </c>
      <c r="O1077" s="802" t="s">
        <v>16228</v>
      </c>
      <c r="P1077" s="807" t="s">
        <v>16229</v>
      </c>
    </row>
    <row r="1078" spans="1:16" s="341" customFormat="1" ht="25.5" customHeight="1">
      <c r="A1078" s="806" t="s">
        <v>109</v>
      </c>
      <c r="B1078" s="800" t="s">
        <v>130</v>
      </c>
      <c r="C1078" s="800" t="s">
        <v>130</v>
      </c>
      <c r="D1078" s="800" t="s">
        <v>16230</v>
      </c>
      <c r="E1078" s="801">
        <v>43046</v>
      </c>
      <c r="F1078" s="800" t="s">
        <v>16231</v>
      </c>
      <c r="G1078" s="800" t="s">
        <v>16232</v>
      </c>
      <c r="H1078" s="800" t="s">
        <v>10531</v>
      </c>
      <c r="I1078" s="800" t="s">
        <v>10531</v>
      </c>
      <c r="J1078" s="800" t="s">
        <v>10447</v>
      </c>
      <c r="K1078" s="800">
        <v>1</v>
      </c>
      <c r="L1078" s="802" t="s">
        <v>10398</v>
      </c>
      <c r="M1078" s="802" t="s">
        <v>16233</v>
      </c>
      <c r="N1078" s="802" t="s">
        <v>12506</v>
      </c>
      <c r="O1078" s="802" t="s">
        <v>16234</v>
      </c>
      <c r="P1078" s="807" t="s">
        <v>16235</v>
      </c>
    </row>
    <row r="1079" spans="1:16" s="341" customFormat="1" ht="15" customHeight="1">
      <c r="A1079" s="806" t="s">
        <v>109</v>
      </c>
      <c r="B1079" s="800" t="s">
        <v>130</v>
      </c>
      <c r="C1079" s="800" t="s">
        <v>130</v>
      </c>
      <c r="D1079" s="800" t="s">
        <v>16236</v>
      </c>
      <c r="E1079" s="801">
        <v>43046</v>
      </c>
      <c r="F1079" s="800" t="s">
        <v>16231</v>
      </c>
      <c r="G1079" s="800" t="s">
        <v>16237</v>
      </c>
      <c r="H1079" s="800" t="s">
        <v>10404</v>
      </c>
      <c r="I1079" s="800" t="s">
        <v>10404</v>
      </c>
      <c r="J1079" s="800" t="s">
        <v>10447</v>
      </c>
      <c r="K1079" s="800">
        <v>1</v>
      </c>
      <c r="L1079" s="802" t="s">
        <v>10398</v>
      </c>
      <c r="M1079" s="802" t="s">
        <v>16238</v>
      </c>
      <c r="N1079" s="802" t="s">
        <v>16239</v>
      </c>
      <c r="O1079" s="802" t="s">
        <v>16240</v>
      </c>
      <c r="P1079" s="807" t="s">
        <v>16241</v>
      </c>
    </row>
    <row r="1080" spans="1:16" s="341" customFormat="1" ht="25.5" customHeight="1">
      <c r="A1080" s="806" t="s">
        <v>109</v>
      </c>
      <c r="B1080" s="800" t="s">
        <v>130</v>
      </c>
      <c r="C1080" s="800" t="s">
        <v>130</v>
      </c>
      <c r="D1080" s="800" t="s">
        <v>16242</v>
      </c>
      <c r="E1080" s="801">
        <v>43046</v>
      </c>
      <c r="F1080" s="800" t="s">
        <v>16231</v>
      </c>
      <c r="G1080" s="800" t="s">
        <v>16243</v>
      </c>
      <c r="H1080" s="800" t="s">
        <v>10531</v>
      </c>
      <c r="I1080" s="800" t="s">
        <v>10531</v>
      </c>
      <c r="J1080" s="800" t="s">
        <v>10447</v>
      </c>
      <c r="K1080" s="800">
        <v>1</v>
      </c>
      <c r="L1080" s="802" t="s">
        <v>10398</v>
      </c>
      <c r="M1080" s="802" t="s">
        <v>16244</v>
      </c>
      <c r="N1080" s="802" t="s">
        <v>12506</v>
      </c>
      <c r="O1080" s="802" t="s">
        <v>16240</v>
      </c>
      <c r="P1080" s="807" t="s">
        <v>16245</v>
      </c>
    </row>
    <row r="1081" spans="1:16" s="341" customFormat="1" ht="15" customHeight="1">
      <c r="A1081" s="806" t="s">
        <v>109</v>
      </c>
      <c r="B1081" s="800" t="s">
        <v>130</v>
      </c>
      <c r="C1081" s="800" t="s">
        <v>130</v>
      </c>
      <c r="D1081" s="800" t="s">
        <v>16246</v>
      </c>
      <c r="E1081" s="801">
        <v>43046</v>
      </c>
      <c r="F1081" s="800" t="s">
        <v>16231</v>
      </c>
      <c r="G1081" s="800" t="s">
        <v>16247</v>
      </c>
      <c r="H1081" s="800" t="s">
        <v>10531</v>
      </c>
      <c r="I1081" s="800" t="s">
        <v>10531</v>
      </c>
      <c r="J1081" s="800" t="s">
        <v>10447</v>
      </c>
      <c r="K1081" s="800">
        <v>1</v>
      </c>
      <c r="L1081" s="802" t="s">
        <v>10398</v>
      </c>
      <c r="M1081" s="802" t="s">
        <v>16248</v>
      </c>
      <c r="N1081" s="802" t="s">
        <v>16249</v>
      </c>
      <c r="O1081" s="802" t="s">
        <v>16250</v>
      </c>
      <c r="P1081" s="807" t="s">
        <v>16251</v>
      </c>
    </row>
    <row r="1082" spans="1:16" s="341" customFormat="1" ht="25.5" customHeight="1">
      <c r="A1082" s="806" t="s">
        <v>109</v>
      </c>
      <c r="B1082" s="800" t="s">
        <v>130</v>
      </c>
      <c r="C1082" s="800" t="s">
        <v>130</v>
      </c>
      <c r="D1082" s="800" t="s">
        <v>16252</v>
      </c>
      <c r="E1082" s="801">
        <v>43046</v>
      </c>
      <c r="F1082" s="800" t="s">
        <v>16231</v>
      </c>
      <c r="G1082" s="800" t="s">
        <v>16253</v>
      </c>
      <c r="H1082" s="800" t="s">
        <v>10531</v>
      </c>
      <c r="I1082" s="800" t="s">
        <v>10531</v>
      </c>
      <c r="J1082" s="800" t="s">
        <v>10447</v>
      </c>
      <c r="K1082" s="800">
        <v>1</v>
      </c>
      <c r="L1082" s="802" t="s">
        <v>10398</v>
      </c>
      <c r="M1082" s="802" t="s">
        <v>16254</v>
      </c>
      <c r="N1082" s="802" t="s">
        <v>16255</v>
      </c>
      <c r="O1082" s="802" t="s">
        <v>16256</v>
      </c>
      <c r="P1082" s="807" t="s">
        <v>16257</v>
      </c>
    </row>
    <row r="1083" spans="1:16" s="341" customFormat="1" ht="25.5" customHeight="1">
      <c r="A1083" s="806" t="s">
        <v>109</v>
      </c>
      <c r="B1083" s="800" t="s">
        <v>130</v>
      </c>
      <c r="C1083" s="800" t="s">
        <v>130</v>
      </c>
      <c r="D1083" s="800" t="s">
        <v>16258</v>
      </c>
      <c r="E1083" s="801">
        <v>43046</v>
      </c>
      <c r="F1083" s="800" t="s">
        <v>16231</v>
      </c>
      <c r="G1083" s="800" t="s">
        <v>16259</v>
      </c>
      <c r="H1083" s="800" t="s">
        <v>10531</v>
      </c>
      <c r="I1083" s="800" t="s">
        <v>10531</v>
      </c>
      <c r="J1083" s="800" t="s">
        <v>10447</v>
      </c>
      <c r="K1083" s="800">
        <v>1</v>
      </c>
      <c r="L1083" s="802" t="s">
        <v>10398</v>
      </c>
      <c r="M1083" s="802" t="s">
        <v>16260</v>
      </c>
      <c r="N1083" s="802" t="s">
        <v>13749</v>
      </c>
      <c r="O1083" s="802" t="s">
        <v>16256</v>
      </c>
      <c r="P1083" s="807" t="s">
        <v>16261</v>
      </c>
    </row>
    <row r="1084" spans="1:16" s="341" customFormat="1" ht="25.5" customHeight="1">
      <c r="A1084" s="806" t="s">
        <v>109</v>
      </c>
      <c r="B1084" s="800" t="s">
        <v>130</v>
      </c>
      <c r="C1084" s="800" t="s">
        <v>130</v>
      </c>
      <c r="D1084" s="800" t="s">
        <v>16262</v>
      </c>
      <c r="E1084" s="801">
        <v>43046</v>
      </c>
      <c r="F1084" s="800" t="s">
        <v>16231</v>
      </c>
      <c r="G1084" s="800" t="s">
        <v>16263</v>
      </c>
      <c r="H1084" s="800" t="s">
        <v>10396</v>
      </c>
      <c r="I1084" s="800" t="s">
        <v>10396</v>
      </c>
      <c r="J1084" s="800" t="s">
        <v>10447</v>
      </c>
      <c r="K1084" s="800">
        <v>1</v>
      </c>
      <c r="L1084" s="802" t="s">
        <v>10398</v>
      </c>
      <c r="M1084" s="802" t="s">
        <v>16264</v>
      </c>
      <c r="N1084" s="802" t="s">
        <v>16265</v>
      </c>
      <c r="O1084" s="802" t="s">
        <v>16266</v>
      </c>
      <c r="P1084" s="807" t="s">
        <v>16267</v>
      </c>
    </row>
    <row r="1085" spans="1:16" s="341" customFormat="1" ht="15" customHeight="1">
      <c r="A1085" s="806" t="s">
        <v>109</v>
      </c>
      <c r="B1085" s="800" t="s">
        <v>130</v>
      </c>
      <c r="C1085" s="800" t="s">
        <v>130</v>
      </c>
      <c r="D1085" s="800" t="s">
        <v>16268</v>
      </c>
      <c r="E1085" s="801">
        <v>43046</v>
      </c>
      <c r="F1085" s="800" t="s">
        <v>16231</v>
      </c>
      <c r="G1085" s="800" t="s">
        <v>16269</v>
      </c>
      <c r="H1085" s="800" t="s">
        <v>10433</v>
      </c>
      <c r="I1085" s="800" t="s">
        <v>10433</v>
      </c>
      <c r="J1085" s="800" t="s">
        <v>10447</v>
      </c>
      <c r="K1085" s="800">
        <v>2</v>
      </c>
      <c r="L1085" s="802" t="s">
        <v>10398</v>
      </c>
      <c r="M1085" s="802" t="s">
        <v>16270</v>
      </c>
      <c r="N1085" s="802" t="s">
        <v>16271</v>
      </c>
      <c r="O1085" s="802" t="s">
        <v>16256</v>
      </c>
      <c r="P1085" s="807" t="s">
        <v>16272</v>
      </c>
    </row>
    <row r="1086" spans="1:16" s="341" customFormat="1" ht="15" customHeight="1">
      <c r="A1086" s="806" t="s">
        <v>109</v>
      </c>
      <c r="B1086" s="800" t="s">
        <v>130</v>
      </c>
      <c r="C1086" s="800" t="s">
        <v>130</v>
      </c>
      <c r="D1086" s="800" t="s">
        <v>16268</v>
      </c>
      <c r="E1086" s="801">
        <v>43046</v>
      </c>
      <c r="F1086" s="800" t="s">
        <v>16231</v>
      </c>
      <c r="G1086" s="800" t="s">
        <v>16269</v>
      </c>
      <c r="H1086" s="800" t="s">
        <v>10433</v>
      </c>
      <c r="I1086" s="800" t="s">
        <v>10433</v>
      </c>
      <c r="J1086" s="800" t="s">
        <v>10447</v>
      </c>
      <c r="K1086" s="800">
        <v>2</v>
      </c>
      <c r="L1086" s="802" t="s">
        <v>10398</v>
      </c>
      <c r="M1086" s="802" t="s">
        <v>16273</v>
      </c>
      <c r="N1086" s="802" t="s">
        <v>16274</v>
      </c>
      <c r="O1086" s="802" t="s">
        <v>16275</v>
      </c>
      <c r="P1086" s="807" t="s">
        <v>16272</v>
      </c>
    </row>
    <row r="1087" spans="1:16" s="341" customFormat="1" ht="25.5" customHeight="1">
      <c r="A1087" s="806" t="s">
        <v>109</v>
      </c>
      <c r="B1087" s="800" t="s">
        <v>130</v>
      </c>
      <c r="C1087" s="800" t="s">
        <v>130</v>
      </c>
      <c r="D1087" s="800" t="s">
        <v>16276</v>
      </c>
      <c r="E1087" s="801">
        <v>43046</v>
      </c>
      <c r="F1087" s="800" t="s">
        <v>16231</v>
      </c>
      <c r="G1087" s="800" t="s">
        <v>16277</v>
      </c>
      <c r="H1087" s="800" t="s">
        <v>10433</v>
      </c>
      <c r="I1087" s="800" t="s">
        <v>10433</v>
      </c>
      <c r="J1087" s="800" t="s">
        <v>10447</v>
      </c>
      <c r="K1087" s="800">
        <v>2</v>
      </c>
      <c r="L1087" s="802" t="s">
        <v>10398</v>
      </c>
      <c r="M1087" s="802" t="s">
        <v>16278</v>
      </c>
      <c r="N1087" s="802" t="s">
        <v>16279</v>
      </c>
      <c r="O1087" s="802" t="s">
        <v>16280</v>
      </c>
      <c r="P1087" s="807" t="s">
        <v>16281</v>
      </c>
    </row>
    <row r="1088" spans="1:16" s="341" customFormat="1" ht="25.5" customHeight="1">
      <c r="A1088" s="806" t="s">
        <v>109</v>
      </c>
      <c r="B1088" s="800" t="s">
        <v>130</v>
      </c>
      <c r="C1088" s="800" t="s">
        <v>130</v>
      </c>
      <c r="D1088" s="800" t="s">
        <v>16276</v>
      </c>
      <c r="E1088" s="801">
        <v>43046</v>
      </c>
      <c r="F1088" s="800" t="s">
        <v>16231</v>
      </c>
      <c r="G1088" s="800" t="s">
        <v>16277</v>
      </c>
      <c r="H1088" s="800" t="s">
        <v>10433</v>
      </c>
      <c r="I1088" s="800" t="s">
        <v>10433</v>
      </c>
      <c r="J1088" s="800" t="s">
        <v>10447</v>
      </c>
      <c r="K1088" s="800">
        <v>2</v>
      </c>
      <c r="L1088" s="802" t="s">
        <v>10398</v>
      </c>
      <c r="M1088" s="802" t="s">
        <v>16282</v>
      </c>
      <c r="N1088" s="802" t="s">
        <v>16283</v>
      </c>
      <c r="O1088" s="802" t="s">
        <v>15699</v>
      </c>
      <c r="P1088" s="807" t="s">
        <v>16281</v>
      </c>
    </row>
    <row r="1089" spans="1:16" s="341" customFormat="1" ht="25.5" customHeight="1">
      <c r="A1089" s="806" t="s">
        <v>109</v>
      </c>
      <c r="B1089" s="800" t="s">
        <v>130</v>
      </c>
      <c r="C1089" s="800" t="s">
        <v>130</v>
      </c>
      <c r="D1089" s="800" t="s">
        <v>16284</v>
      </c>
      <c r="E1089" s="801">
        <v>43046</v>
      </c>
      <c r="F1089" s="800" t="s">
        <v>16231</v>
      </c>
      <c r="G1089" s="800" t="s">
        <v>16285</v>
      </c>
      <c r="H1089" s="800" t="s">
        <v>10531</v>
      </c>
      <c r="I1089" s="800" t="s">
        <v>10531</v>
      </c>
      <c r="J1089" s="800" t="s">
        <v>10447</v>
      </c>
      <c r="K1089" s="800">
        <v>1</v>
      </c>
      <c r="L1089" s="802" t="s">
        <v>10398</v>
      </c>
      <c r="M1089" s="802" t="s">
        <v>16286</v>
      </c>
      <c r="N1089" s="802" t="s">
        <v>16287</v>
      </c>
      <c r="O1089" s="802" t="s">
        <v>16288</v>
      </c>
      <c r="P1089" s="807" t="s">
        <v>16289</v>
      </c>
    </row>
    <row r="1090" spans="1:16" s="341" customFormat="1" ht="25.5" customHeight="1">
      <c r="A1090" s="806" t="s">
        <v>109</v>
      </c>
      <c r="B1090" s="800" t="s">
        <v>130</v>
      </c>
      <c r="C1090" s="800" t="s">
        <v>130</v>
      </c>
      <c r="D1090" s="800" t="s">
        <v>16290</v>
      </c>
      <c r="E1090" s="801">
        <v>43046</v>
      </c>
      <c r="F1090" s="800" t="s">
        <v>16231</v>
      </c>
      <c r="G1090" s="800" t="s">
        <v>16291</v>
      </c>
      <c r="H1090" s="800" t="s">
        <v>10531</v>
      </c>
      <c r="I1090" s="800" t="s">
        <v>10531</v>
      </c>
      <c r="J1090" s="800" t="s">
        <v>10447</v>
      </c>
      <c r="K1090" s="800">
        <v>1</v>
      </c>
      <c r="L1090" s="802" t="s">
        <v>10398</v>
      </c>
      <c r="M1090" s="802" t="s">
        <v>16292</v>
      </c>
      <c r="N1090" s="802" t="s">
        <v>16293</v>
      </c>
      <c r="O1090" s="802" t="s">
        <v>16294</v>
      </c>
      <c r="P1090" s="807" t="s">
        <v>16295</v>
      </c>
    </row>
    <row r="1091" spans="1:16" s="341" customFormat="1" ht="25.5" customHeight="1">
      <c r="A1091" s="806" t="s">
        <v>109</v>
      </c>
      <c r="B1091" s="800" t="s">
        <v>130</v>
      </c>
      <c r="C1091" s="800" t="s">
        <v>130</v>
      </c>
      <c r="D1091" s="800" t="s">
        <v>16296</v>
      </c>
      <c r="E1091" s="801">
        <v>43046</v>
      </c>
      <c r="F1091" s="800" t="s">
        <v>16231</v>
      </c>
      <c r="G1091" s="800" t="s">
        <v>16297</v>
      </c>
      <c r="H1091" s="800" t="s">
        <v>10531</v>
      </c>
      <c r="I1091" s="800" t="s">
        <v>10531</v>
      </c>
      <c r="J1091" s="800" t="s">
        <v>10447</v>
      </c>
      <c r="K1091" s="800">
        <v>1</v>
      </c>
      <c r="L1091" s="802" t="s">
        <v>10398</v>
      </c>
      <c r="M1091" s="802" t="s">
        <v>16298</v>
      </c>
      <c r="N1091" s="802" t="s">
        <v>11474</v>
      </c>
      <c r="O1091" s="802" t="s">
        <v>16299</v>
      </c>
      <c r="P1091" s="807" t="s">
        <v>16300</v>
      </c>
    </row>
    <row r="1092" spans="1:16" s="341" customFormat="1" ht="25.5" customHeight="1">
      <c r="A1092" s="806" t="s">
        <v>109</v>
      </c>
      <c r="B1092" s="800" t="s">
        <v>130</v>
      </c>
      <c r="C1092" s="800" t="s">
        <v>130</v>
      </c>
      <c r="D1092" s="800" t="s">
        <v>16301</v>
      </c>
      <c r="E1092" s="801">
        <v>43046</v>
      </c>
      <c r="F1092" s="800" t="s">
        <v>16231</v>
      </c>
      <c r="G1092" s="800" t="s">
        <v>16302</v>
      </c>
      <c r="H1092" s="800" t="s">
        <v>10433</v>
      </c>
      <c r="I1092" s="800" t="s">
        <v>10433</v>
      </c>
      <c r="J1092" s="800" t="s">
        <v>10447</v>
      </c>
      <c r="K1092" s="800">
        <v>2</v>
      </c>
      <c r="L1092" s="802" t="s">
        <v>10398</v>
      </c>
      <c r="M1092" s="802" t="s">
        <v>16303</v>
      </c>
      <c r="N1092" s="802" t="s">
        <v>16304</v>
      </c>
      <c r="O1092" s="802" t="s">
        <v>16305</v>
      </c>
      <c r="P1092" s="807" t="s">
        <v>16306</v>
      </c>
    </row>
    <row r="1093" spans="1:16" s="341" customFormat="1" ht="25.5" customHeight="1">
      <c r="A1093" s="806" t="s">
        <v>109</v>
      </c>
      <c r="B1093" s="800" t="s">
        <v>130</v>
      </c>
      <c r="C1093" s="800" t="s">
        <v>130</v>
      </c>
      <c r="D1093" s="800" t="s">
        <v>16301</v>
      </c>
      <c r="E1093" s="801">
        <v>43046</v>
      </c>
      <c r="F1093" s="800" t="s">
        <v>16231</v>
      </c>
      <c r="G1093" s="800" t="s">
        <v>16302</v>
      </c>
      <c r="H1093" s="800" t="s">
        <v>10433</v>
      </c>
      <c r="I1093" s="800" t="s">
        <v>10433</v>
      </c>
      <c r="J1093" s="800" t="s">
        <v>10447</v>
      </c>
      <c r="K1093" s="800">
        <v>2</v>
      </c>
      <c r="L1093" s="802" t="s">
        <v>10398</v>
      </c>
      <c r="M1093" s="802" t="s">
        <v>16307</v>
      </c>
      <c r="N1093" s="802" t="s">
        <v>16220</v>
      </c>
      <c r="O1093" s="802" t="s">
        <v>16299</v>
      </c>
      <c r="P1093" s="807" t="s">
        <v>16306</v>
      </c>
    </row>
    <row r="1094" spans="1:16" s="341" customFormat="1" ht="25.5" customHeight="1">
      <c r="A1094" s="806" t="s">
        <v>109</v>
      </c>
      <c r="B1094" s="800" t="s">
        <v>130</v>
      </c>
      <c r="C1094" s="800" t="s">
        <v>130</v>
      </c>
      <c r="D1094" s="800" t="s">
        <v>16308</v>
      </c>
      <c r="E1094" s="801">
        <v>43046</v>
      </c>
      <c r="F1094" s="800" t="s">
        <v>16231</v>
      </c>
      <c r="G1094" s="800" t="s">
        <v>16309</v>
      </c>
      <c r="H1094" s="800" t="s">
        <v>10404</v>
      </c>
      <c r="I1094" s="800" t="s">
        <v>10404</v>
      </c>
      <c r="J1094" s="800" t="s">
        <v>10447</v>
      </c>
      <c r="K1094" s="800">
        <v>2</v>
      </c>
      <c r="L1094" s="802" t="s">
        <v>10398</v>
      </c>
      <c r="M1094" s="802" t="s">
        <v>16310</v>
      </c>
      <c r="N1094" s="802" t="s">
        <v>16311</v>
      </c>
      <c r="O1094" s="802" t="s">
        <v>16312</v>
      </c>
      <c r="P1094" s="807" t="s">
        <v>16313</v>
      </c>
    </row>
    <row r="1095" spans="1:16" s="341" customFormat="1" ht="25.5" customHeight="1">
      <c r="A1095" s="806" t="s">
        <v>109</v>
      </c>
      <c r="B1095" s="800" t="s">
        <v>130</v>
      </c>
      <c r="C1095" s="800" t="s">
        <v>130</v>
      </c>
      <c r="D1095" s="800" t="s">
        <v>16308</v>
      </c>
      <c r="E1095" s="801">
        <v>43046</v>
      </c>
      <c r="F1095" s="800" t="s">
        <v>16231</v>
      </c>
      <c r="G1095" s="800" t="s">
        <v>16309</v>
      </c>
      <c r="H1095" s="800" t="s">
        <v>10404</v>
      </c>
      <c r="I1095" s="800" t="s">
        <v>10404</v>
      </c>
      <c r="J1095" s="800" t="s">
        <v>10447</v>
      </c>
      <c r="K1095" s="800">
        <v>2</v>
      </c>
      <c r="L1095" s="802" t="s">
        <v>10398</v>
      </c>
      <c r="M1095" s="802" t="s">
        <v>16314</v>
      </c>
      <c r="N1095" s="802" t="s">
        <v>16315</v>
      </c>
      <c r="O1095" s="802" t="s">
        <v>16234</v>
      </c>
      <c r="P1095" s="807" t="s">
        <v>16313</v>
      </c>
    </row>
    <row r="1096" spans="1:16" s="341" customFormat="1" ht="25.5" customHeight="1">
      <c r="A1096" s="806" t="s">
        <v>109</v>
      </c>
      <c r="B1096" s="800" t="s">
        <v>130</v>
      </c>
      <c r="C1096" s="800" t="s">
        <v>130</v>
      </c>
      <c r="D1096" s="800" t="s">
        <v>16316</v>
      </c>
      <c r="E1096" s="801">
        <v>43046</v>
      </c>
      <c r="F1096" s="800" t="s">
        <v>16317</v>
      </c>
      <c r="G1096" s="800" t="s">
        <v>16318</v>
      </c>
      <c r="H1096" s="800" t="s">
        <v>10433</v>
      </c>
      <c r="I1096" s="800" t="s">
        <v>10433</v>
      </c>
      <c r="J1096" s="800" t="s">
        <v>10447</v>
      </c>
      <c r="K1096" s="800">
        <v>1</v>
      </c>
      <c r="L1096" s="802" t="s">
        <v>10398</v>
      </c>
      <c r="M1096" s="802" t="s">
        <v>16319</v>
      </c>
      <c r="N1096" s="802" t="s">
        <v>16320</v>
      </c>
      <c r="O1096" s="802" t="s">
        <v>16234</v>
      </c>
      <c r="P1096" s="807" t="s">
        <v>16321</v>
      </c>
    </row>
    <row r="1097" spans="1:16" s="341" customFormat="1" ht="25.5" customHeight="1">
      <c r="A1097" s="806" t="s">
        <v>109</v>
      </c>
      <c r="B1097" s="800" t="s">
        <v>130</v>
      </c>
      <c r="C1097" s="800" t="s">
        <v>130</v>
      </c>
      <c r="D1097" s="800" t="s">
        <v>16322</v>
      </c>
      <c r="E1097" s="801">
        <v>43056</v>
      </c>
      <c r="F1097" s="800" t="s">
        <v>16231</v>
      </c>
      <c r="G1097" s="800" t="s">
        <v>16323</v>
      </c>
      <c r="H1097" s="800" t="s">
        <v>10531</v>
      </c>
      <c r="I1097" s="800" t="s">
        <v>10531</v>
      </c>
      <c r="J1097" s="800" t="s">
        <v>10447</v>
      </c>
      <c r="K1097" s="800">
        <v>1</v>
      </c>
      <c r="L1097" s="802" t="s">
        <v>10398</v>
      </c>
      <c r="M1097" s="802" t="s">
        <v>16324</v>
      </c>
      <c r="N1097" s="802" t="s">
        <v>16325</v>
      </c>
      <c r="O1097" s="802" t="s">
        <v>16326</v>
      </c>
      <c r="P1097" s="807" t="s">
        <v>16327</v>
      </c>
    </row>
    <row r="1098" spans="1:16" s="341" customFormat="1" ht="25.5" customHeight="1">
      <c r="A1098" s="806" t="s">
        <v>109</v>
      </c>
      <c r="B1098" s="800" t="s">
        <v>130</v>
      </c>
      <c r="C1098" s="800" t="s">
        <v>130</v>
      </c>
      <c r="D1098" s="800" t="s">
        <v>16328</v>
      </c>
      <c r="E1098" s="801">
        <v>43056</v>
      </c>
      <c r="F1098" s="800" t="s">
        <v>16231</v>
      </c>
      <c r="G1098" s="800" t="s">
        <v>16309</v>
      </c>
      <c r="H1098" s="800" t="s">
        <v>10531</v>
      </c>
      <c r="I1098" s="800" t="s">
        <v>10531</v>
      </c>
      <c r="J1098" s="800" t="s">
        <v>10447</v>
      </c>
      <c r="K1098" s="800">
        <v>1</v>
      </c>
      <c r="L1098" s="802" t="s">
        <v>10398</v>
      </c>
      <c r="M1098" s="802" t="s">
        <v>16329</v>
      </c>
      <c r="N1098" s="802" t="s">
        <v>16330</v>
      </c>
      <c r="O1098" s="802" t="s">
        <v>16331</v>
      </c>
      <c r="P1098" s="807" t="s">
        <v>16332</v>
      </c>
    </row>
    <row r="1099" spans="1:16" s="341" customFormat="1" ht="25.5" customHeight="1">
      <c r="A1099" s="806" t="s">
        <v>109</v>
      </c>
      <c r="B1099" s="800" t="s">
        <v>130</v>
      </c>
      <c r="C1099" s="800" t="s">
        <v>130</v>
      </c>
      <c r="D1099" s="800" t="s">
        <v>16333</v>
      </c>
      <c r="E1099" s="801">
        <v>43046</v>
      </c>
      <c r="F1099" s="800" t="s">
        <v>16231</v>
      </c>
      <c r="G1099" s="800" t="s">
        <v>16334</v>
      </c>
      <c r="H1099" s="800" t="s">
        <v>10531</v>
      </c>
      <c r="I1099" s="800" t="s">
        <v>10531</v>
      </c>
      <c r="J1099" s="800" t="s">
        <v>10447</v>
      </c>
      <c r="K1099" s="800">
        <v>1</v>
      </c>
      <c r="L1099" s="802" t="s">
        <v>10398</v>
      </c>
      <c r="M1099" s="802" t="s">
        <v>16335</v>
      </c>
      <c r="N1099" s="802" t="s">
        <v>16336</v>
      </c>
      <c r="O1099" s="802" t="s">
        <v>16337</v>
      </c>
      <c r="P1099" s="807" t="s">
        <v>16338</v>
      </c>
    </row>
    <row r="1100" spans="1:16" s="341" customFormat="1" ht="25.5" customHeight="1">
      <c r="A1100" s="806" t="s">
        <v>109</v>
      </c>
      <c r="B1100" s="800" t="s">
        <v>130</v>
      </c>
      <c r="C1100" s="800" t="s">
        <v>130</v>
      </c>
      <c r="D1100" s="800" t="s">
        <v>16339</v>
      </c>
      <c r="E1100" s="801">
        <v>43046</v>
      </c>
      <c r="F1100" s="800" t="s">
        <v>16231</v>
      </c>
      <c r="G1100" s="800" t="s">
        <v>16340</v>
      </c>
      <c r="H1100" s="800" t="s">
        <v>10404</v>
      </c>
      <c r="I1100" s="800" t="s">
        <v>10404</v>
      </c>
      <c r="J1100" s="800" t="s">
        <v>10447</v>
      </c>
      <c r="K1100" s="800">
        <v>2</v>
      </c>
      <c r="L1100" s="802" t="s">
        <v>10398</v>
      </c>
      <c r="M1100" s="802" t="s">
        <v>16341</v>
      </c>
      <c r="N1100" s="802" t="s">
        <v>12337</v>
      </c>
      <c r="O1100" s="802" t="s">
        <v>16337</v>
      </c>
      <c r="P1100" s="807" t="s">
        <v>16342</v>
      </c>
    </row>
    <row r="1101" spans="1:16" s="341" customFormat="1" ht="25.5" customHeight="1">
      <c r="A1101" s="806" t="s">
        <v>109</v>
      </c>
      <c r="B1101" s="800" t="s">
        <v>130</v>
      </c>
      <c r="C1101" s="800" t="s">
        <v>130</v>
      </c>
      <c r="D1101" s="800" t="s">
        <v>16339</v>
      </c>
      <c r="E1101" s="801">
        <v>43046</v>
      </c>
      <c r="F1101" s="800" t="s">
        <v>16231</v>
      </c>
      <c r="G1101" s="800" t="s">
        <v>16340</v>
      </c>
      <c r="H1101" s="800" t="s">
        <v>10404</v>
      </c>
      <c r="I1101" s="800" t="s">
        <v>10404</v>
      </c>
      <c r="J1101" s="800" t="s">
        <v>10447</v>
      </c>
      <c r="K1101" s="800">
        <v>2</v>
      </c>
      <c r="L1101" s="802" t="s">
        <v>10398</v>
      </c>
      <c r="M1101" s="802" t="s">
        <v>16343</v>
      </c>
      <c r="N1101" s="802" t="s">
        <v>16344</v>
      </c>
      <c r="O1101" s="802" t="s">
        <v>16345</v>
      </c>
      <c r="P1101" s="807" t="s">
        <v>16342</v>
      </c>
    </row>
    <row r="1102" spans="1:16" s="341" customFormat="1" ht="25.5" customHeight="1">
      <c r="A1102" s="806" t="s">
        <v>109</v>
      </c>
      <c r="B1102" s="800" t="s">
        <v>130</v>
      </c>
      <c r="C1102" s="800" t="s">
        <v>130</v>
      </c>
      <c r="D1102" s="800" t="s">
        <v>16346</v>
      </c>
      <c r="E1102" s="801">
        <v>43046</v>
      </c>
      <c r="F1102" s="800" t="s">
        <v>16231</v>
      </c>
      <c r="G1102" s="800" t="s">
        <v>16347</v>
      </c>
      <c r="H1102" s="800" t="s">
        <v>10396</v>
      </c>
      <c r="I1102" s="800" t="s">
        <v>10396</v>
      </c>
      <c r="J1102" s="800" t="s">
        <v>10447</v>
      </c>
      <c r="K1102" s="800">
        <v>1</v>
      </c>
      <c r="L1102" s="802" t="s">
        <v>10398</v>
      </c>
      <c r="M1102" s="802" t="s">
        <v>16348</v>
      </c>
      <c r="N1102" s="802" t="s">
        <v>16349</v>
      </c>
      <c r="O1102" s="802" t="s">
        <v>16350</v>
      </c>
      <c r="P1102" s="807" t="s">
        <v>16351</v>
      </c>
    </row>
    <row r="1103" spans="1:16" s="341" customFormat="1" ht="25.5">
      <c r="A1103" s="806" t="s">
        <v>109</v>
      </c>
      <c r="B1103" s="800" t="s">
        <v>130</v>
      </c>
      <c r="C1103" s="800" t="s">
        <v>130</v>
      </c>
      <c r="D1103" s="800" t="s">
        <v>16352</v>
      </c>
      <c r="E1103" s="801">
        <v>43046</v>
      </c>
      <c r="F1103" s="800" t="s">
        <v>16231</v>
      </c>
      <c r="G1103" s="800" t="s">
        <v>16353</v>
      </c>
      <c r="H1103" s="800" t="s">
        <v>10396</v>
      </c>
      <c r="I1103" s="800" t="s">
        <v>10396</v>
      </c>
      <c r="J1103" s="800" t="s">
        <v>10447</v>
      </c>
      <c r="K1103" s="800">
        <v>1</v>
      </c>
      <c r="L1103" s="802" t="s">
        <v>10398</v>
      </c>
      <c r="M1103" s="802" t="s">
        <v>16354</v>
      </c>
      <c r="N1103" s="802" t="s">
        <v>12334</v>
      </c>
      <c r="O1103" s="802" t="s">
        <v>16355</v>
      </c>
      <c r="P1103" s="807" t="s">
        <v>16351</v>
      </c>
    </row>
    <row r="1104" spans="1:16" s="341" customFormat="1" ht="25.5" customHeight="1">
      <c r="A1104" s="806" t="s">
        <v>109</v>
      </c>
      <c r="B1104" s="800" t="s">
        <v>130</v>
      </c>
      <c r="C1104" s="800" t="s">
        <v>130</v>
      </c>
      <c r="D1104" s="800" t="s">
        <v>16356</v>
      </c>
      <c r="E1104" s="801">
        <v>43047</v>
      </c>
      <c r="F1104" s="800" t="s">
        <v>16231</v>
      </c>
      <c r="G1104" s="800" t="s">
        <v>16357</v>
      </c>
      <c r="H1104" s="800" t="s">
        <v>10396</v>
      </c>
      <c r="I1104" s="800" t="s">
        <v>10396</v>
      </c>
      <c r="J1104" s="800" t="s">
        <v>10447</v>
      </c>
      <c r="K1104" s="800">
        <v>2</v>
      </c>
      <c r="L1104" s="802" t="s">
        <v>10398</v>
      </c>
      <c r="M1104" s="802" t="s">
        <v>16358</v>
      </c>
      <c r="N1104" s="802" t="s">
        <v>11176</v>
      </c>
      <c r="O1104" s="802" t="s">
        <v>16359</v>
      </c>
      <c r="P1104" s="807" t="s">
        <v>16360</v>
      </c>
    </row>
    <row r="1105" spans="1:16" s="341" customFormat="1" ht="25.5" customHeight="1">
      <c r="A1105" s="806" t="s">
        <v>109</v>
      </c>
      <c r="B1105" s="800" t="s">
        <v>130</v>
      </c>
      <c r="C1105" s="800" t="s">
        <v>130</v>
      </c>
      <c r="D1105" s="800" t="s">
        <v>16356</v>
      </c>
      <c r="E1105" s="801">
        <v>43047</v>
      </c>
      <c r="F1105" s="800" t="s">
        <v>16231</v>
      </c>
      <c r="G1105" s="800" t="s">
        <v>16357</v>
      </c>
      <c r="H1105" s="800" t="s">
        <v>10396</v>
      </c>
      <c r="I1105" s="800" t="s">
        <v>10396</v>
      </c>
      <c r="J1105" s="800" t="s">
        <v>10447</v>
      </c>
      <c r="K1105" s="800">
        <v>2</v>
      </c>
      <c r="L1105" s="802" t="s">
        <v>10398</v>
      </c>
      <c r="M1105" s="802" t="s">
        <v>16361</v>
      </c>
      <c r="N1105" s="802" t="s">
        <v>16362</v>
      </c>
      <c r="O1105" s="802" t="s">
        <v>16363</v>
      </c>
      <c r="P1105" s="807" t="s">
        <v>16360</v>
      </c>
    </row>
    <row r="1106" spans="1:16" s="341" customFormat="1" ht="25.5" customHeight="1">
      <c r="A1106" s="806" t="s">
        <v>109</v>
      </c>
      <c r="B1106" s="800" t="s">
        <v>130</v>
      </c>
      <c r="C1106" s="800" t="s">
        <v>130</v>
      </c>
      <c r="D1106" s="800" t="s">
        <v>16364</v>
      </c>
      <c r="E1106" s="801">
        <v>43056</v>
      </c>
      <c r="F1106" s="800" t="s">
        <v>16231</v>
      </c>
      <c r="G1106" s="800" t="s">
        <v>16365</v>
      </c>
      <c r="H1106" s="800" t="s">
        <v>10396</v>
      </c>
      <c r="I1106" s="800" t="s">
        <v>10396</v>
      </c>
      <c r="J1106" s="800" t="s">
        <v>10447</v>
      </c>
      <c r="K1106" s="800">
        <v>1</v>
      </c>
      <c r="L1106" s="802" t="s">
        <v>10398</v>
      </c>
      <c r="M1106" s="802" t="s">
        <v>16366</v>
      </c>
      <c r="N1106" s="802" t="s">
        <v>16367</v>
      </c>
      <c r="O1106" s="802" t="s">
        <v>16294</v>
      </c>
      <c r="P1106" s="807" t="s">
        <v>16368</v>
      </c>
    </row>
    <row r="1107" spans="1:16" s="341" customFormat="1" ht="15" customHeight="1">
      <c r="A1107" s="806" t="s">
        <v>109</v>
      </c>
      <c r="B1107" s="800" t="s">
        <v>130</v>
      </c>
      <c r="C1107" s="800" t="s">
        <v>130</v>
      </c>
      <c r="D1107" s="800" t="s">
        <v>16369</v>
      </c>
      <c r="E1107" s="801">
        <v>43056</v>
      </c>
      <c r="F1107" s="800" t="s">
        <v>16231</v>
      </c>
      <c r="G1107" s="800" t="s">
        <v>16370</v>
      </c>
      <c r="H1107" s="800" t="s">
        <v>10531</v>
      </c>
      <c r="I1107" s="800" t="s">
        <v>10531</v>
      </c>
      <c r="J1107" s="800" t="s">
        <v>10447</v>
      </c>
      <c r="K1107" s="800">
        <v>2</v>
      </c>
      <c r="L1107" s="802" t="s">
        <v>10398</v>
      </c>
      <c r="M1107" s="802" t="s">
        <v>16371</v>
      </c>
      <c r="N1107" s="802" t="s">
        <v>10520</v>
      </c>
      <c r="O1107" s="802" t="s">
        <v>16294</v>
      </c>
      <c r="P1107" s="807" t="s">
        <v>16372</v>
      </c>
    </row>
    <row r="1108" spans="1:16" s="341" customFormat="1" ht="25.5" customHeight="1">
      <c r="A1108" s="806" t="s">
        <v>109</v>
      </c>
      <c r="B1108" s="800" t="s">
        <v>130</v>
      </c>
      <c r="C1108" s="800" t="s">
        <v>130</v>
      </c>
      <c r="D1108" s="800" t="s">
        <v>16369</v>
      </c>
      <c r="E1108" s="801">
        <v>43056</v>
      </c>
      <c r="F1108" s="800" t="s">
        <v>16231</v>
      </c>
      <c r="G1108" s="800" t="s">
        <v>16370</v>
      </c>
      <c r="H1108" s="800" t="s">
        <v>10531</v>
      </c>
      <c r="I1108" s="800" t="s">
        <v>10531</v>
      </c>
      <c r="J1108" s="800" t="s">
        <v>10447</v>
      </c>
      <c r="K1108" s="800">
        <v>2</v>
      </c>
      <c r="L1108" s="802" t="s">
        <v>10398</v>
      </c>
      <c r="M1108" s="802" t="s">
        <v>16373</v>
      </c>
      <c r="N1108" s="802" t="s">
        <v>16374</v>
      </c>
      <c r="O1108" s="802" t="s">
        <v>16288</v>
      </c>
      <c r="P1108" s="807" t="s">
        <v>16372</v>
      </c>
    </row>
    <row r="1109" spans="1:16" s="341" customFormat="1" ht="25.5" customHeight="1">
      <c r="A1109" s="806" t="s">
        <v>109</v>
      </c>
      <c r="B1109" s="800" t="s">
        <v>130</v>
      </c>
      <c r="C1109" s="800" t="s">
        <v>130</v>
      </c>
      <c r="D1109" s="800" t="s">
        <v>16375</v>
      </c>
      <c r="E1109" s="801">
        <v>43047</v>
      </c>
      <c r="F1109" s="800" t="s">
        <v>16317</v>
      </c>
      <c r="G1109" s="800" t="s">
        <v>16376</v>
      </c>
      <c r="H1109" s="800" t="s">
        <v>10531</v>
      </c>
      <c r="I1109" s="800" t="s">
        <v>10531</v>
      </c>
      <c r="J1109" s="800" t="s">
        <v>10447</v>
      </c>
      <c r="K1109" s="800">
        <v>1</v>
      </c>
      <c r="L1109" s="802" t="s">
        <v>11026</v>
      </c>
      <c r="M1109" s="802" t="s">
        <v>16377</v>
      </c>
      <c r="N1109" s="802" t="s">
        <v>16378</v>
      </c>
      <c r="O1109" s="802" t="s">
        <v>16379</v>
      </c>
      <c r="P1109" s="807" t="s">
        <v>16380</v>
      </c>
    </row>
    <row r="1110" spans="1:16" s="341" customFormat="1" ht="25.5" customHeight="1">
      <c r="A1110" s="806" t="s">
        <v>109</v>
      </c>
      <c r="B1110" s="800" t="s">
        <v>130</v>
      </c>
      <c r="C1110" s="800" t="s">
        <v>130</v>
      </c>
      <c r="D1110" s="800" t="s">
        <v>16381</v>
      </c>
      <c r="E1110" s="801">
        <v>43047</v>
      </c>
      <c r="F1110" s="800" t="s">
        <v>16231</v>
      </c>
      <c r="G1110" s="800" t="s">
        <v>16382</v>
      </c>
      <c r="H1110" s="800" t="s">
        <v>10396</v>
      </c>
      <c r="I1110" s="800" t="s">
        <v>10396</v>
      </c>
      <c r="J1110" s="800" t="s">
        <v>10447</v>
      </c>
      <c r="K1110" s="800">
        <v>1</v>
      </c>
      <c r="L1110" s="802" t="s">
        <v>10398</v>
      </c>
      <c r="M1110" s="802" t="s">
        <v>16383</v>
      </c>
      <c r="N1110" s="802" t="s">
        <v>16384</v>
      </c>
      <c r="O1110" s="802" t="s">
        <v>16385</v>
      </c>
      <c r="P1110" s="807" t="s">
        <v>16386</v>
      </c>
    </row>
    <row r="1111" spans="1:16" s="341" customFormat="1" ht="25.5" customHeight="1">
      <c r="A1111" s="806" t="s">
        <v>109</v>
      </c>
      <c r="B1111" s="800" t="s">
        <v>130</v>
      </c>
      <c r="C1111" s="800" t="s">
        <v>130</v>
      </c>
      <c r="D1111" s="800" t="s">
        <v>16387</v>
      </c>
      <c r="E1111" s="801">
        <v>43047</v>
      </c>
      <c r="F1111" s="800" t="s">
        <v>16231</v>
      </c>
      <c r="G1111" s="800" t="s">
        <v>16388</v>
      </c>
      <c r="H1111" s="800" t="s">
        <v>10396</v>
      </c>
      <c r="I1111" s="800" t="s">
        <v>10396</v>
      </c>
      <c r="J1111" s="800" t="s">
        <v>10447</v>
      </c>
      <c r="K1111" s="800">
        <v>1</v>
      </c>
      <c r="L1111" s="802" t="s">
        <v>10398</v>
      </c>
      <c r="M1111" s="802" t="s">
        <v>16389</v>
      </c>
      <c r="N1111" s="802" t="s">
        <v>16390</v>
      </c>
      <c r="O1111" s="802" t="s">
        <v>16391</v>
      </c>
      <c r="P1111" s="807" t="s">
        <v>16392</v>
      </c>
    </row>
    <row r="1112" spans="1:16" s="341" customFormat="1" ht="25.5">
      <c r="A1112" s="806" t="s">
        <v>109</v>
      </c>
      <c r="B1112" s="800" t="s">
        <v>130</v>
      </c>
      <c r="C1112" s="800" t="s">
        <v>130</v>
      </c>
      <c r="D1112" s="800" t="s">
        <v>16393</v>
      </c>
      <c r="E1112" s="801">
        <v>43077</v>
      </c>
      <c r="F1112" s="800" t="s">
        <v>16231</v>
      </c>
      <c r="G1112" s="800" t="s">
        <v>16394</v>
      </c>
      <c r="H1112" s="800" t="s">
        <v>10396</v>
      </c>
      <c r="I1112" s="800" t="s">
        <v>10396</v>
      </c>
      <c r="J1112" s="800" t="s">
        <v>10447</v>
      </c>
      <c r="K1112" s="800">
        <v>1</v>
      </c>
      <c r="L1112" s="802" t="s">
        <v>10398</v>
      </c>
      <c r="M1112" s="802" t="s">
        <v>16395</v>
      </c>
      <c r="N1112" s="802" t="s">
        <v>16396</v>
      </c>
      <c r="O1112" s="802" t="s">
        <v>16397</v>
      </c>
      <c r="P1112" s="807" t="s">
        <v>16398</v>
      </c>
    </row>
    <row r="1113" spans="1:16" s="341" customFormat="1" ht="15" customHeight="1">
      <c r="A1113" s="806" t="s">
        <v>109</v>
      </c>
      <c r="B1113" s="800" t="s">
        <v>130</v>
      </c>
      <c r="C1113" s="800" t="s">
        <v>130</v>
      </c>
      <c r="D1113" s="800" t="s">
        <v>16399</v>
      </c>
      <c r="E1113" s="801">
        <v>43047</v>
      </c>
      <c r="F1113" s="800" t="s">
        <v>16231</v>
      </c>
      <c r="G1113" s="800" t="s">
        <v>16400</v>
      </c>
      <c r="H1113" s="800" t="s">
        <v>10396</v>
      </c>
      <c r="I1113" s="800" t="s">
        <v>10396</v>
      </c>
      <c r="J1113" s="800" t="s">
        <v>10447</v>
      </c>
      <c r="K1113" s="800">
        <v>3</v>
      </c>
      <c r="L1113" s="802" t="s">
        <v>10398</v>
      </c>
      <c r="M1113" s="802" t="s">
        <v>16401</v>
      </c>
      <c r="N1113" s="802" t="s">
        <v>16402</v>
      </c>
      <c r="O1113" s="802" t="s">
        <v>16403</v>
      </c>
      <c r="P1113" s="807" t="s">
        <v>16404</v>
      </c>
    </row>
    <row r="1114" spans="1:16" s="341" customFormat="1" ht="25.5" customHeight="1">
      <c r="A1114" s="806" t="s">
        <v>109</v>
      </c>
      <c r="B1114" s="800" t="s">
        <v>130</v>
      </c>
      <c r="C1114" s="800" t="s">
        <v>130</v>
      </c>
      <c r="D1114" s="800" t="s">
        <v>16399</v>
      </c>
      <c r="E1114" s="801">
        <v>43047</v>
      </c>
      <c r="F1114" s="800" t="s">
        <v>16231</v>
      </c>
      <c r="G1114" s="800" t="s">
        <v>16400</v>
      </c>
      <c r="H1114" s="800" t="s">
        <v>10396</v>
      </c>
      <c r="I1114" s="800" t="s">
        <v>10396</v>
      </c>
      <c r="J1114" s="800" t="s">
        <v>10447</v>
      </c>
      <c r="K1114" s="800">
        <v>3</v>
      </c>
      <c r="L1114" s="802" t="s">
        <v>10398</v>
      </c>
      <c r="M1114" s="802" t="s">
        <v>16405</v>
      </c>
      <c r="N1114" s="802" t="s">
        <v>16406</v>
      </c>
      <c r="O1114" s="802" t="s">
        <v>16407</v>
      </c>
      <c r="P1114" s="807" t="s">
        <v>16404</v>
      </c>
    </row>
    <row r="1115" spans="1:16" s="341" customFormat="1" ht="25.5" customHeight="1">
      <c r="A1115" s="806" t="s">
        <v>109</v>
      </c>
      <c r="B1115" s="800" t="s">
        <v>130</v>
      </c>
      <c r="C1115" s="800" t="s">
        <v>130</v>
      </c>
      <c r="D1115" s="800" t="s">
        <v>16399</v>
      </c>
      <c r="E1115" s="801">
        <v>43047</v>
      </c>
      <c r="F1115" s="800" t="s">
        <v>16231</v>
      </c>
      <c r="G1115" s="800" t="s">
        <v>16400</v>
      </c>
      <c r="H1115" s="800" t="s">
        <v>10396</v>
      </c>
      <c r="I1115" s="800" t="s">
        <v>10396</v>
      </c>
      <c r="J1115" s="800" t="s">
        <v>10447</v>
      </c>
      <c r="K1115" s="800">
        <v>3</v>
      </c>
      <c r="L1115" s="802" t="s">
        <v>10398</v>
      </c>
      <c r="M1115" s="802" t="s">
        <v>16408</v>
      </c>
      <c r="N1115" s="802" t="s">
        <v>16409</v>
      </c>
      <c r="O1115" s="802" t="s">
        <v>16403</v>
      </c>
      <c r="P1115" s="807" t="s">
        <v>16404</v>
      </c>
    </row>
    <row r="1116" spans="1:16" s="341" customFormat="1" ht="25.5" customHeight="1">
      <c r="A1116" s="806" t="s">
        <v>109</v>
      </c>
      <c r="B1116" s="800" t="s">
        <v>130</v>
      </c>
      <c r="C1116" s="800" t="s">
        <v>130</v>
      </c>
      <c r="D1116" s="800" t="s">
        <v>16410</v>
      </c>
      <c r="E1116" s="801">
        <v>43047</v>
      </c>
      <c r="F1116" s="800" t="s">
        <v>16231</v>
      </c>
      <c r="G1116" s="800" t="s">
        <v>16411</v>
      </c>
      <c r="H1116" s="800" t="s">
        <v>10404</v>
      </c>
      <c r="I1116" s="800" t="s">
        <v>10404</v>
      </c>
      <c r="J1116" s="800" t="s">
        <v>10447</v>
      </c>
      <c r="K1116" s="800">
        <v>1</v>
      </c>
      <c r="L1116" s="802" t="s">
        <v>10398</v>
      </c>
      <c r="M1116" s="802" t="s">
        <v>16412</v>
      </c>
      <c r="N1116" s="802" t="s">
        <v>16413</v>
      </c>
      <c r="O1116" s="802" t="s">
        <v>16414</v>
      </c>
      <c r="P1116" s="807" t="s">
        <v>16415</v>
      </c>
    </row>
    <row r="1117" spans="1:16" s="341" customFormat="1" ht="25.5" customHeight="1">
      <c r="A1117" s="806" t="s">
        <v>109</v>
      </c>
      <c r="B1117" s="800" t="s">
        <v>130</v>
      </c>
      <c r="C1117" s="800" t="s">
        <v>130</v>
      </c>
      <c r="D1117" s="800" t="s">
        <v>16416</v>
      </c>
      <c r="E1117" s="801">
        <v>43047</v>
      </c>
      <c r="F1117" s="800" t="s">
        <v>16231</v>
      </c>
      <c r="G1117" s="800" t="s">
        <v>16417</v>
      </c>
      <c r="H1117" s="800" t="s">
        <v>10396</v>
      </c>
      <c r="I1117" s="800" t="s">
        <v>10396</v>
      </c>
      <c r="J1117" s="800" t="s">
        <v>10447</v>
      </c>
      <c r="K1117" s="800">
        <v>1</v>
      </c>
      <c r="L1117" s="802" t="s">
        <v>10398</v>
      </c>
      <c r="M1117" s="802" t="s">
        <v>16418</v>
      </c>
      <c r="N1117" s="802" t="s">
        <v>16419</v>
      </c>
      <c r="O1117" s="802" t="s">
        <v>16420</v>
      </c>
      <c r="P1117" s="807" t="s">
        <v>16421</v>
      </c>
    </row>
    <row r="1118" spans="1:16" s="341" customFormat="1" ht="25.5" customHeight="1">
      <c r="A1118" s="806" t="s">
        <v>109</v>
      </c>
      <c r="B1118" s="800" t="s">
        <v>130</v>
      </c>
      <c r="C1118" s="800" t="s">
        <v>130</v>
      </c>
      <c r="D1118" s="800" t="s">
        <v>16422</v>
      </c>
      <c r="E1118" s="801">
        <v>43047</v>
      </c>
      <c r="F1118" s="800" t="s">
        <v>16231</v>
      </c>
      <c r="G1118" s="800" t="s">
        <v>16423</v>
      </c>
      <c r="H1118" s="800" t="s">
        <v>10396</v>
      </c>
      <c r="I1118" s="800" t="s">
        <v>10396</v>
      </c>
      <c r="J1118" s="800" t="s">
        <v>10447</v>
      </c>
      <c r="K1118" s="800">
        <v>1</v>
      </c>
      <c r="L1118" s="802" t="s">
        <v>10398</v>
      </c>
      <c r="M1118" s="802" t="s">
        <v>16424</v>
      </c>
      <c r="N1118" s="802" t="s">
        <v>16425</v>
      </c>
      <c r="O1118" s="802" t="s">
        <v>16426</v>
      </c>
      <c r="P1118" s="807" t="s">
        <v>16427</v>
      </c>
    </row>
    <row r="1119" spans="1:16" s="341" customFormat="1" ht="15" customHeight="1">
      <c r="A1119" s="806" t="s">
        <v>109</v>
      </c>
      <c r="B1119" s="800" t="s">
        <v>130</v>
      </c>
      <c r="C1119" s="800" t="s">
        <v>130</v>
      </c>
      <c r="D1119" s="800" t="s">
        <v>16428</v>
      </c>
      <c r="E1119" s="801">
        <v>43047</v>
      </c>
      <c r="F1119" s="800" t="s">
        <v>16231</v>
      </c>
      <c r="G1119" s="800" t="s">
        <v>16429</v>
      </c>
      <c r="H1119" s="800" t="s">
        <v>10396</v>
      </c>
      <c r="I1119" s="800" t="s">
        <v>10396</v>
      </c>
      <c r="J1119" s="800" t="s">
        <v>10447</v>
      </c>
      <c r="K1119" s="800">
        <v>3</v>
      </c>
      <c r="L1119" s="802" t="s">
        <v>10398</v>
      </c>
      <c r="M1119" s="802" t="s">
        <v>16430</v>
      </c>
      <c r="N1119" s="802" t="s">
        <v>16431</v>
      </c>
      <c r="O1119" s="802" t="s">
        <v>15429</v>
      </c>
      <c r="P1119" s="807" t="s">
        <v>16432</v>
      </c>
    </row>
    <row r="1120" spans="1:16" s="341" customFormat="1" ht="15" customHeight="1">
      <c r="A1120" s="806" t="s">
        <v>109</v>
      </c>
      <c r="B1120" s="800" t="s">
        <v>130</v>
      </c>
      <c r="C1120" s="800" t="s">
        <v>130</v>
      </c>
      <c r="D1120" s="800" t="s">
        <v>16428</v>
      </c>
      <c r="E1120" s="801">
        <v>43047</v>
      </c>
      <c r="F1120" s="800" t="s">
        <v>16231</v>
      </c>
      <c r="G1120" s="800" t="s">
        <v>16429</v>
      </c>
      <c r="H1120" s="800" t="s">
        <v>10396</v>
      </c>
      <c r="I1120" s="800" t="s">
        <v>10396</v>
      </c>
      <c r="J1120" s="800" t="s">
        <v>10447</v>
      </c>
      <c r="K1120" s="800">
        <v>3</v>
      </c>
      <c r="L1120" s="802" t="s">
        <v>10398</v>
      </c>
      <c r="M1120" s="802" t="s">
        <v>16433</v>
      </c>
      <c r="N1120" s="802" t="s">
        <v>16434</v>
      </c>
      <c r="O1120" s="802" t="s">
        <v>16435</v>
      </c>
      <c r="P1120" s="807" t="s">
        <v>16432</v>
      </c>
    </row>
    <row r="1121" spans="1:16" s="341" customFormat="1" ht="15" customHeight="1">
      <c r="A1121" s="806" t="s">
        <v>109</v>
      </c>
      <c r="B1121" s="800" t="s">
        <v>130</v>
      </c>
      <c r="C1121" s="800" t="s">
        <v>130</v>
      </c>
      <c r="D1121" s="800" t="s">
        <v>16428</v>
      </c>
      <c r="E1121" s="801">
        <v>43047</v>
      </c>
      <c r="F1121" s="800" t="s">
        <v>16231</v>
      </c>
      <c r="G1121" s="800" t="s">
        <v>16429</v>
      </c>
      <c r="H1121" s="800" t="s">
        <v>10396</v>
      </c>
      <c r="I1121" s="800" t="s">
        <v>10396</v>
      </c>
      <c r="J1121" s="800" t="s">
        <v>10447</v>
      </c>
      <c r="K1121" s="800">
        <v>3</v>
      </c>
      <c r="L1121" s="802" t="s">
        <v>10398</v>
      </c>
      <c r="M1121" s="802" t="s">
        <v>16436</v>
      </c>
      <c r="N1121" s="802" t="s">
        <v>16437</v>
      </c>
      <c r="O1121" s="802" t="s">
        <v>16438</v>
      </c>
      <c r="P1121" s="807" t="s">
        <v>16432</v>
      </c>
    </row>
    <row r="1122" spans="1:16" s="341" customFormat="1" ht="15" customHeight="1">
      <c r="A1122" s="806" t="s">
        <v>109</v>
      </c>
      <c r="B1122" s="800" t="s">
        <v>130</v>
      </c>
      <c r="C1122" s="800" t="s">
        <v>130</v>
      </c>
      <c r="D1122" s="800" t="s">
        <v>16439</v>
      </c>
      <c r="E1122" s="801">
        <v>43047</v>
      </c>
      <c r="F1122" s="800" t="s">
        <v>16231</v>
      </c>
      <c r="G1122" s="800" t="s">
        <v>16440</v>
      </c>
      <c r="H1122" s="800" t="s">
        <v>10396</v>
      </c>
      <c r="I1122" s="800" t="s">
        <v>10396</v>
      </c>
      <c r="J1122" s="800" t="s">
        <v>10447</v>
      </c>
      <c r="K1122" s="800">
        <v>1</v>
      </c>
      <c r="L1122" s="802" t="s">
        <v>10398</v>
      </c>
      <c r="M1122" s="802" t="s">
        <v>16441</v>
      </c>
      <c r="N1122" s="802" t="s">
        <v>16442</v>
      </c>
      <c r="O1122" s="802" t="s">
        <v>16363</v>
      </c>
      <c r="P1122" s="807" t="s">
        <v>16443</v>
      </c>
    </row>
    <row r="1123" spans="1:16" s="341" customFormat="1" ht="15" customHeight="1">
      <c r="A1123" s="806" t="s">
        <v>109</v>
      </c>
      <c r="B1123" s="800" t="s">
        <v>130</v>
      </c>
      <c r="C1123" s="800" t="s">
        <v>130</v>
      </c>
      <c r="D1123" s="800" t="s">
        <v>16444</v>
      </c>
      <c r="E1123" s="801">
        <v>43047</v>
      </c>
      <c r="F1123" s="800" t="s">
        <v>16231</v>
      </c>
      <c r="G1123" s="800" t="s">
        <v>16445</v>
      </c>
      <c r="H1123" s="800" t="s">
        <v>10396</v>
      </c>
      <c r="I1123" s="800" t="s">
        <v>10396</v>
      </c>
      <c r="J1123" s="800" t="s">
        <v>10447</v>
      </c>
      <c r="K1123" s="800">
        <v>1</v>
      </c>
      <c r="L1123" s="802" t="s">
        <v>10398</v>
      </c>
      <c r="M1123" s="802" t="s">
        <v>16446</v>
      </c>
      <c r="N1123" s="802" t="s">
        <v>16447</v>
      </c>
      <c r="O1123" s="802" t="s">
        <v>16448</v>
      </c>
      <c r="P1123" s="807" t="s">
        <v>16449</v>
      </c>
    </row>
    <row r="1124" spans="1:16" s="341" customFormat="1" ht="15" customHeight="1">
      <c r="A1124" s="806" t="s">
        <v>109</v>
      </c>
      <c r="B1124" s="800" t="s">
        <v>130</v>
      </c>
      <c r="C1124" s="800" t="s">
        <v>130</v>
      </c>
      <c r="D1124" s="800" t="s">
        <v>16450</v>
      </c>
      <c r="E1124" s="801">
        <v>43047</v>
      </c>
      <c r="F1124" s="800" t="s">
        <v>16317</v>
      </c>
      <c r="G1124" s="800" t="s">
        <v>16451</v>
      </c>
      <c r="H1124" s="800" t="s">
        <v>10396</v>
      </c>
      <c r="I1124" s="800" t="s">
        <v>10396</v>
      </c>
      <c r="J1124" s="800" t="s">
        <v>10447</v>
      </c>
      <c r="K1124" s="800">
        <v>1</v>
      </c>
      <c r="L1124" s="802" t="s">
        <v>10398</v>
      </c>
      <c r="M1124" s="802" t="s">
        <v>16452</v>
      </c>
      <c r="N1124" s="802" t="s">
        <v>14074</v>
      </c>
      <c r="O1124" s="802" t="s">
        <v>16453</v>
      </c>
      <c r="P1124" s="807" t="s">
        <v>16454</v>
      </c>
    </row>
    <row r="1125" spans="1:16" s="341" customFormat="1" ht="38.25">
      <c r="A1125" s="806" t="s">
        <v>109</v>
      </c>
      <c r="B1125" s="800" t="s">
        <v>130</v>
      </c>
      <c r="C1125" s="800" t="s">
        <v>130</v>
      </c>
      <c r="D1125" s="800" t="s">
        <v>16455</v>
      </c>
      <c r="E1125" s="801">
        <v>43047</v>
      </c>
      <c r="F1125" s="800" t="s">
        <v>16231</v>
      </c>
      <c r="G1125" s="800" t="s">
        <v>16456</v>
      </c>
      <c r="H1125" s="800" t="s">
        <v>10404</v>
      </c>
      <c r="I1125" s="800" t="s">
        <v>10404</v>
      </c>
      <c r="J1125" s="800" t="s">
        <v>10447</v>
      </c>
      <c r="K1125" s="800">
        <v>1</v>
      </c>
      <c r="L1125" s="802" t="s">
        <v>10398</v>
      </c>
      <c r="M1125" s="802" t="s">
        <v>16457</v>
      </c>
      <c r="N1125" s="802" t="s">
        <v>16458</v>
      </c>
      <c r="O1125" s="802" t="s">
        <v>16459</v>
      </c>
      <c r="P1125" s="807" t="s">
        <v>16460</v>
      </c>
    </row>
    <row r="1126" spans="1:16" s="341" customFormat="1" ht="25.5" customHeight="1">
      <c r="A1126" s="806" t="s">
        <v>109</v>
      </c>
      <c r="B1126" s="800" t="s">
        <v>130</v>
      </c>
      <c r="C1126" s="800" t="s">
        <v>130</v>
      </c>
      <c r="D1126" s="800" t="s">
        <v>16461</v>
      </c>
      <c r="E1126" s="801">
        <v>43047</v>
      </c>
      <c r="F1126" s="800" t="s">
        <v>16231</v>
      </c>
      <c r="G1126" s="800" t="s">
        <v>16462</v>
      </c>
      <c r="H1126" s="800" t="s">
        <v>10396</v>
      </c>
      <c r="I1126" s="800" t="s">
        <v>10396</v>
      </c>
      <c r="J1126" s="800" t="s">
        <v>10447</v>
      </c>
      <c r="K1126" s="800">
        <v>1</v>
      </c>
      <c r="L1126" s="802" t="s">
        <v>10398</v>
      </c>
      <c r="M1126" s="802" t="s">
        <v>16463</v>
      </c>
      <c r="N1126" s="802" t="s">
        <v>16464</v>
      </c>
      <c r="O1126" s="802" t="s">
        <v>16465</v>
      </c>
      <c r="P1126" s="807" t="s">
        <v>16466</v>
      </c>
    </row>
    <row r="1127" spans="1:16" s="341" customFormat="1" ht="38.25">
      <c r="A1127" s="806" t="s">
        <v>109</v>
      </c>
      <c r="B1127" s="800" t="s">
        <v>130</v>
      </c>
      <c r="C1127" s="800" t="s">
        <v>130</v>
      </c>
      <c r="D1127" s="800" t="s">
        <v>16467</v>
      </c>
      <c r="E1127" s="801">
        <v>43047</v>
      </c>
      <c r="F1127" s="800" t="s">
        <v>16231</v>
      </c>
      <c r="G1127" s="800" t="s">
        <v>16468</v>
      </c>
      <c r="H1127" s="800" t="s">
        <v>10396</v>
      </c>
      <c r="I1127" s="800" t="s">
        <v>10396</v>
      </c>
      <c r="J1127" s="800" t="s">
        <v>10447</v>
      </c>
      <c r="K1127" s="800">
        <v>1</v>
      </c>
      <c r="L1127" s="802" t="s">
        <v>10398</v>
      </c>
      <c r="M1127" s="802" t="s">
        <v>16469</v>
      </c>
      <c r="N1127" s="802" t="s">
        <v>10994</v>
      </c>
      <c r="O1127" s="802" t="s">
        <v>16470</v>
      </c>
      <c r="P1127" s="807" t="s">
        <v>16471</v>
      </c>
    </row>
    <row r="1128" spans="1:16" s="341" customFormat="1" ht="25.5" customHeight="1">
      <c r="A1128" s="806" t="s">
        <v>109</v>
      </c>
      <c r="B1128" s="800" t="s">
        <v>130</v>
      </c>
      <c r="C1128" s="800" t="s">
        <v>130</v>
      </c>
      <c r="D1128" s="800" t="s">
        <v>16472</v>
      </c>
      <c r="E1128" s="801">
        <v>43047</v>
      </c>
      <c r="F1128" s="800" t="s">
        <v>16231</v>
      </c>
      <c r="G1128" s="800" t="s">
        <v>16473</v>
      </c>
      <c r="H1128" s="800" t="s">
        <v>10396</v>
      </c>
      <c r="I1128" s="800" t="s">
        <v>10396</v>
      </c>
      <c r="J1128" s="800" t="s">
        <v>10447</v>
      </c>
      <c r="K1128" s="800">
        <v>1</v>
      </c>
      <c r="L1128" s="802" t="s">
        <v>10398</v>
      </c>
      <c r="M1128" s="802" t="s">
        <v>16474</v>
      </c>
      <c r="N1128" s="802" t="s">
        <v>16475</v>
      </c>
      <c r="O1128" s="802" t="s">
        <v>16476</v>
      </c>
      <c r="P1128" s="807" t="s">
        <v>16477</v>
      </c>
    </row>
    <row r="1129" spans="1:16" s="341" customFormat="1" ht="25.5" customHeight="1">
      <c r="A1129" s="806" t="s">
        <v>109</v>
      </c>
      <c r="B1129" s="800" t="s">
        <v>130</v>
      </c>
      <c r="C1129" s="800" t="s">
        <v>130</v>
      </c>
      <c r="D1129" s="800" t="s">
        <v>16478</v>
      </c>
      <c r="E1129" s="801">
        <v>43047</v>
      </c>
      <c r="F1129" s="800" t="s">
        <v>16231</v>
      </c>
      <c r="G1129" s="800" t="s">
        <v>16479</v>
      </c>
      <c r="H1129" s="800" t="s">
        <v>10396</v>
      </c>
      <c r="I1129" s="800" t="s">
        <v>10396</v>
      </c>
      <c r="J1129" s="800" t="s">
        <v>10447</v>
      </c>
      <c r="K1129" s="800">
        <v>2</v>
      </c>
      <c r="L1129" s="802" t="s">
        <v>10398</v>
      </c>
      <c r="M1129" s="802" t="s">
        <v>16480</v>
      </c>
      <c r="N1129" s="802" t="s">
        <v>16481</v>
      </c>
      <c r="O1129" s="802" t="s">
        <v>16482</v>
      </c>
      <c r="P1129" s="807" t="s">
        <v>16483</v>
      </c>
    </row>
    <row r="1130" spans="1:16" s="341" customFormat="1" ht="25.5" customHeight="1">
      <c r="A1130" s="806" t="s">
        <v>109</v>
      </c>
      <c r="B1130" s="800" t="s">
        <v>130</v>
      </c>
      <c r="C1130" s="800" t="s">
        <v>130</v>
      </c>
      <c r="D1130" s="800" t="s">
        <v>16478</v>
      </c>
      <c r="E1130" s="801">
        <v>43047</v>
      </c>
      <c r="F1130" s="800" t="s">
        <v>16231</v>
      </c>
      <c r="G1130" s="800" t="s">
        <v>16479</v>
      </c>
      <c r="H1130" s="800" t="s">
        <v>10396</v>
      </c>
      <c r="I1130" s="800" t="s">
        <v>10396</v>
      </c>
      <c r="J1130" s="800" t="s">
        <v>10447</v>
      </c>
      <c r="K1130" s="800">
        <v>2</v>
      </c>
      <c r="L1130" s="802" t="s">
        <v>10398</v>
      </c>
      <c r="M1130" s="802" t="s">
        <v>16484</v>
      </c>
      <c r="N1130" s="802" t="s">
        <v>16485</v>
      </c>
      <c r="O1130" s="802" t="s">
        <v>16486</v>
      </c>
      <c r="P1130" s="807" t="s">
        <v>16483</v>
      </c>
    </row>
    <row r="1131" spans="1:16" s="341" customFormat="1" ht="25.5" customHeight="1">
      <c r="A1131" s="806" t="s">
        <v>109</v>
      </c>
      <c r="B1131" s="800" t="s">
        <v>130</v>
      </c>
      <c r="C1131" s="800" t="s">
        <v>130</v>
      </c>
      <c r="D1131" s="800" t="s">
        <v>16487</v>
      </c>
      <c r="E1131" s="801">
        <v>43047</v>
      </c>
      <c r="F1131" s="800" t="s">
        <v>16231</v>
      </c>
      <c r="G1131" s="800" t="s">
        <v>16488</v>
      </c>
      <c r="H1131" s="800" t="s">
        <v>10396</v>
      </c>
      <c r="I1131" s="800" t="s">
        <v>10396</v>
      </c>
      <c r="J1131" s="800" t="s">
        <v>10447</v>
      </c>
      <c r="K1131" s="800">
        <v>1</v>
      </c>
      <c r="L1131" s="802" t="s">
        <v>10398</v>
      </c>
      <c r="M1131" s="802" t="s">
        <v>16489</v>
      </c>
      <c r="N1131" s="802" t="s">
        <v>16490</v>
      </c>
      <c r="O1131" s="802" t="s">
        <v>16465</v>
      </c>
      <c r="P1131" s="807" t="s">
        <v>16491</v>
      </c>
    </row>
    <row r="1132" spans="1:16" s="341" customFormat="1" ht="25.5" customHeight="1">
      <c r="A1132" s="806" t="s">
        <v>109</v>
      </c>
      <c r="B1132" s="800" t="s">
        <v>130</v>
      </c>
      <c r="C1132" s="800" t="s">
        <v>130</v>
      </c>
      <c r="D1132" s="800" t="s">
        <v>16492</v>
      </c>
      <c r="E1132" s="801">
        <v>43047</v>
      </c>
      <c r="F1132" s="800" t="s">
        <v>16231</v>
      </c>
      <c r="G1132" s="800" t="s">
        <v>16493</v>
      </c>
      <c r="H1132" s="800" t="s">
        <v>10396</v>
      </c>
      <c r="I1132" s="800" t="s">
        <v>10396</v>
      </c>
      <c r="J1132" s="800" t="s">
        <v>10447</v>
      </c>
      <c r="K1132" s="800">
        <v>1</v>
      </c>
      <c r="L1132" s="802" t="s">
        <v>10398</v>
      </c>
      <c r="M1132" s="802" t="s">
        <v>16494</v>
      </c>
      <c r="N1132" s="802" t="s">
        <v>16495</v>
      </c>
      <c r="O1132" s="802" t="s">
        <v>16496</v>
      </c>
      <c r="P1132" s="807" t="s">
        <v>16497</v>
      </c>
    </row>
    <row r="1133" spans="1:16" s="341" customFormat="1" ht="15" customHeight="1">
      <c r="A1133" s="806" t="s">
        <v>109</v>
      </c>
      <c r="B1133" s="800" t="s">
        <v>130</v>
      </c>
      <c r="C1133" s="800" t="s">
        <v>130</v>
      </c>
      <c r="D1133" s="800" t="s">
        <v>16498</v>
      </c>
      <c r="E1133" s="801">
        <v>43047</v>
      </c>
      <c r="F1133" s="800" t="s">
        <v>16231</v>
      </c>
      <c r="G1133" s="800" t="s">
        <v>16499</v>
      </c>
      <c r="H1133" s="800" t="s">
        <v>10396</v>
      </c>
      <c r="I1133" s="800" t="s">
        <v>10396</v>
      </c>
      <c r="J1133" s="800" t="s">
        <v>10447</v>
      </c>
      <c r="K1133" s="800">
        <v>2</v>
      </c>
      <c r="L1133" s="802" t="s">
        <v>10398</v>
      </c>
      <c r="M1133" s="802" t="s">
        <v>16500</v>
      </c>
      <c r="N1133" s="802" t="s">
        <v>12337</v>
      </c>
      <c r="O1133" s="802" t="s">
        <v>16501</v>
      </c>
      <c r="P1133" s="807" t="s">
        <v>16502</v>
      </c>
    </row>
    <row r="1134" spans="1:16" s="341" customFormat="1" ht="25.5" customHeight="1">
      <c r="A1134" s="806" t="s">
        <v>109</v>
      </c>
      <c r="B1134" s="800" t="s">
        <v>130</v>
      </c>
      <c r="C1134" s="800" t="s">
        <v>130</v>
      </c>
      <c r="D1134" s="800" t="s">
        <v>16498</v>
      </c>
      <c r="E1134" s="801">
        <v>43047</v>
      </c>
      <c r="F1134" s="800" t="s">
        <v>16231</v>
      </c>
      <c r="G1134" s="800" t="s">
        <v>16499</v>
      </c>
      <c r="H1134" s="800" t="s">
        <v>10396</v>
      </c>
      <c r="I1134" s="800" t="s">
        <v>10396</v>
      </c>
      <c r="J1134" s="800" t="s">
        <v>10447</v>
      </c>
      <c r="K1134" s="800">
        <v>2</v>
      </c>
      <c r="L1134" s="802" t="s">
        <v>10398</v>
      </c>
      <c r="M1134" s="802" t="s">
        <v>16503</v>
      </c>
      <c r="N1134" s="802" t="s">
        <v>16504</v>
      </c>
      <c r="O1134" s="802" t="s">
        <v>16505</v>
      </c>
      <c r="P1134" s="807" t="s">
        <v>16502</v>
      </c>
    </row>
    <row r="1135" spans="1:16" s="341" customFormat="1" ht="25.5" customHeight="1">
      <c r="A1135" s="806" t="s">
        <v>109</v>
      </c>
      <c r="B1135" s="800" t="s">
        <v>130</v>
      </c>
      <c r="C1135" s="800" t="s">
        <v>130</v>
      </c>
      <c r="D1135" s="800" t="s">
        <v>16506</v>
      </c>
      <c r="E1135" s="801">
        <v>43047</v>
      </c>
      <c r="F1135" s="800" t="s">
        <v>16231</v>
      </c>
      <c r="G1135" s="800" t="s">
        <v>16499</v>
      </c>
      <c r="H1135" s="800" t="s">
        <v>10396</v>
      </c>
      <c r="I1135" s="800" t="s">
        <v>10396</v>
      </c>
      <c r="J1135" s="800" t="s">
        <v>10447</v>
      </c>
      <c r="K1135" s="800">
        <v>1</v>
      </c>
      <c r="L1135" s="802" t="s">
        <v>10398</v>
      </c>
      <c r="M1135" s="802" t="s">
        <v>16507</v>
      </c>
      <c r="N1135" s="802" t="s">
        <v>16508</v>
      </c>
      <c r="O1135" s="802" t="s">
        <v>16509</v>
      </c>
      <c r="P1135" s="807" t="s">
        <v>16510</v>
      </c>
    </row>
    <row r="1136" spans="1:16" s="341" customFormat="1" ht="25.5" customHeight="1">
      <c r="A1136" s="806" t="s">
        <v>109</v>
      </c>
      <c r="B1136" s="800" t="s">
        <v>130</v>
      </c>
      <c r="C1136" s="800" t="s">
        <v>130</v>
      </c>
      <c r="D1136" s="800" t="s">
        <v>16511</v>
      </c>
      <c r="E1136" s="801">
        <v>43047</v>
      </c>
      <c r="F1136" s="800" t="s">
        <v>16231</v>
      </c>
      <c r="G1136" s="800" t="s">
        <v>16499</v>
      </c>
      <c r="H1136" s="800" t="s">
        <v>10396</v>
      </c>
      <c r="I1136" s="800" t="s">
        <v>10396</v>
      </c>
      <c r="J1136" s="800" t="s">
        <v>10447</v>
      </c>
      <c r="K1136" s="800">
        <v>2</v>
      </c>
      <c r="L1136" s="802" t="s">
        <v>10398</v>
      </c>
      <c r="M1136" s="802" t="s">
        <v>16512</v>
      </c>
      <c r="N1136" s="802" t="s">
        <v>16513</v>
      </c>
      <c r="O1136" s="802" t="s">
        <v>16403</v>
      </c>
      <c r="P1136" s="807" t="s">
        <v>16514</v>
      </c>
    </row>
    <row r="1137" spans="1:16" s="341" customFormat="1" ht="25.5" customHeight="1">
      <c r="A1137" s="806" t="s">
        <v>109</v>
      </c>
      <c r="B1137" s="800" t="s">
        <v>130</v>
      </c>
      <c r="C1137" s="800" t="s">
        <v>130</v>
      </c>
      <c r="D1137" s="800" t="s">
        <v>16511</v>
      </c>
      <c r="E1137" s="801">
        <v>43047</v>
      </c>
      <c r="F1137" s="800" t="s">
        <v>16231</v>
      </c>
      <c r="G1137" s="800" t="s">
        <v>16499</v>
      </c>
      <c r="H1137" s="800" t="s">
        <v>10396</v>
      </c>
      <c r="I1137" s="800" t="s">
        <v>10396</v>
      </c>
      <c r="J1137" s="800" t="s">
        <v>10447</v>
      </c>
      <c r="K1137" s="800">
        <v>2</v>
      </c>
      <c r="L1137" s="802" t="s">
        <v>10398</v>
      </c>
      <c r="M1137" s="802" t="s">
        <v>16515</v>
      </c>
      <c r="N1137" s="802" t="s">
        <v>16516</v>
      </c>
      <c r="O1137" s="802" t="s">
        <v>16496</v>
      </c>
      <c r="P1137" s="807" t="s">
        <v>16514</v>
      </c>
    </row>
    <row r="1138" spans="1:16" s="341" customFormat="1" ht="15" customHeight="1">
      <c r="A1138" s="806" t="s">
        <v>109</v>
      </c>
      <c r="B1138" s="800" t="s">
        <v>130</v>
      </c>
      <c r="C1138" s="800" t="s">
        <v>130</v>
      </c>
      <c r="D1138" s="800" t="s">
        <v>16517</v>
      </c>
      <c r="E1138" s="801">
        <v>43047</v>
      </c>
      <c r="F1138" s="800" t="s">
        <v>16231</v>
      </c>
      <c r="G1138" s="800" t="s">
        <v>16518</v>
      </c>
      <c r="H1138" s="800" t="s">
        <v>10404</v>
      </c>
      <c r="I1138" s="800" t="s">
        <v>10404</v>
      </c>
      <c r="J1138" s="800" t="s">
        <v>10447</v>
      </c>
      <c r="K1138" s="800">
        <v>1</v>
      </c>
      <c r="L1138" s="802" t="s">
        <v>10398</v>
      </c>
      <c r="M1138" s="802" t="s">
        <v>16519</v>
      </c>
      <c r="N1138" s="802" t="s">
        <v>16520</v>
      </c>
      <c r="O1138" s="802" t="s">
        <v>16465</v>
      </c>
      <c r="P1138" s="807" t="s">
        <v>16521</v>
      </c>
    </row>
    <row r="1139" spans="1:16" s="341" customFormat="1" ht="25.5" customHeight="1">
      <c r="A1139" s="806" t="s">
        <v>109</v>
      </c>
      <c r="B1139" s="800" t="s">
        <v>130</v>
      </c>
      <c r="C1139" s="800" t="s">
        <v>130</v>
      </c>
      <c r="D1139" s="800" t="s">
        <v>16522</v>
      </c>
      <c r="E1139" s="801">
        <v>43047</v>
      </c>
      <c r="F1139" s="800" t="s">
        <v>16231</v>
      </c>
      <c r="G1139" s="800" t="s">
        <v>16523</v>
      </c>
      <c r="H1139" s="800" t="s">
        <v>10396</v>
      </c>
      <c r="I1139" s="800" t="s">
        <v>10396</v>
      </c>
      <c r="J1139" s="800" t="s">
        <v>10447</v>
      </c>
      <c r="K1139" s="800">
        <v>1</v>
      </c>
      <c r="L1139" s="802" t="s">
        <v>10398</v>
      </c>
      <c r="M1139" s="802" t="s">
        <v>16524</v>
      </c>
      <c r="N1139" s="802" t="s">
        <v>16525</v>
      </c>
      <c r="O1139" s="802" t="s">
        <v>16465</v>
      </c>
      <c r="P1139" s="807" t="s">
        <v>16526</v>
      </c>
    </row>
    <row r="1140" spans="1:16" s="341" customFormat="1" ht="25.5" customHeight="1">
      <c r="A1140" s="806" t="s">
        <v>109</v>
      </c>
      <c r="B1140" s="800" t="s">
        <v>130</v>
      </c>
      <c r="C1140" s="800" t="s">
        <v>130</v>
      </c>
      <c r="D1140" s="800" t="s">
        <v>16527</v>
      </c>
      <c r="E1140" s="801">
        <v>43047</v>
      </c>
      <c r="F1140" s="800" t="s">
        <v>16231</v>
      </c>
      <c r="G1140" s="800" t="s">
        <v>16488</v>
      </c>
      <c r="H1140" s="800" t="s">
        <v>10396</v>
      </c>
      <c r="I1140" s="800" t="s">
        <v>10396</v>
      </c>
      <c r="J1140" s="800" t="s">
        <v>10447</v>
      </c>
      <c r="K1140" s="800">
        <v>2</v>
      </c>
      <c r="L1140" s="802" t="s">
        <v>10398</v>
      </c>
      <c r="M1140" s="802" t="s">
        <v>16528</v>
      </c>
      <c r="N1140" s="802" t="s">
        <v>16529</v>
      </c>
      <c r="O1140" s="802" t="s">
        <v>16530</v>
      </c>
      <c r="P1140" s="807" t="s">
        <v>16531</v>
      </c>
    </row>
    <row r="1141" spans="1:16" s="341" customFormat="1" ht="25.5" customHeight="1">
      <c r="A1141" s="806" t="s">
        <v>109</v>
      </c>
      <c r="B1141" s="800" t="s">
        <v>130</v>
      </c>
      <c r="C1141" s="800" t="s">
        <v>130</v>
      </c>
      <c r="D1141" s="800" t="s">
        <v>16527</v>
      </c>
      <c r="E1141" s="801">
        <v>43047</v>
      </c>
      <c r="F1141" s="800" t="s">
        <v>16231</v>
      </c>
      <c r="G1141" s="800" t="s">
        <v>16488</v>
      </c>
      <c r="H1141" s="800" t="s">
        <v>10396</v>
      </c>
      <c r="I1141" s="800" t="s">
        <v>10396</v>
      </c>
      <c r="J1141" s="800" t="s">
        <v>10447</v>
      </c>
      <c r="K1141" s="800">
        <v>2</v>
      </c>
      <c r="L1141" s="802" t="s">
        <v>10398</v>
      </c>
      <c r="M1141" s="802" t="s">
        <v>16532</v>
      </c>
      <c r="N1141" s="802" t="s">
        <v>16464</v>
      </c>
      <c r="O1141" s="802" t="s">
        <v>16533</v>
      </c>
      <c r="P1141" s="807" t="s">
        <v>16531</v>
      </c>
    </row>
    <row r="1142" spans="1:16" s="341" customFormat="1" ht="25.5" customHeight="1">
      <c r="A1142" s="806" t="s">
        <v>109</v>
      </c>
      <c r="B1142" s="800" t="s">
        <v>130</v>
      </c>
      <c r="C1142" s="800" t="s">
        <v>130</v>
      </c>
      <c r="D1142" s="800" t="s">
        <v>16534</v>
      </c>
      <c r="E1142" s="801">
        <v>43047</v>
      </c>
      <c r="F1142" s="800" t="s">
        <v>16231</v>
      </c>
      <c r="G1142" s="800" t="s">
        <v>16535</v>
      </c>
      <c r="H1142" s="800" t="s">
        <v>10404</v>
      </c>
      <c r="I1142" s="800" t="s">
        <v>10404</v>
      </c>
      <c r="J1142" s="800" t="s">
        <v>10405</v>
      </c>
      <c r="K1142" s="800">
        <v>1</v>
      </c>
      <c r="L1142" s="802" t="s">
        <v>10398</v>
      </c>
      <c r="M1142" s="802" t="s">
        <v>16536</v>
      </c>
      <c r="N1142" s="802" t="s">
        <v>16537</v>
      </c>
      <c r="O1142" s="802" t="s">
        <v>16538</v>
      </c>
      <c r="P1142" s="807" t="s">
        <v>16539</v>
      </c>
    </row>
    <row r="1143" spans="1:16" s="341" customFormat="1" ht="25.5" customHeight="1">
      <c r="A1143" s="806" t="s">
        <v>109</v>
      </c>
      <c r="B1143" s="800" t="s">
        <v>130</v>
      </c>
      <c r="C1143" s="800" t="s">
        <v>130</v>
      </c>
      <c r="D1143" s="800" t="s">
        <v>16540</v>
      </c>
      <c r="E1143" s="801">
        <v>43047</v>
      </c>
      <c r="F1143" s="800" t="s">
        <v>16231</v>
      </c>
      <c r="G1143" s="800" t="s">
        <v>16541</v>
      </c>
      <c r="H1143" s="800" t="s">
        <v>10404</v>
      </c>
      <c r="I1143" s="800" t="s">
        <v>10404</v>
      </c>
      <c r="J1143" s="800" t="s">
        <v>4342</v>
      </c>
      <c r="K1143" s="800">
        <v>1</v>
      </c>
      <c r="L1143" s="802" t="s">
        <v>10398</v>
      </c>
      <c r="M1143" s="802" t="s">
        <v>16542</v>
      </c>
      <c r="N1143" s="802" t="s">
        <v>16543</v>
      </c>
      <c r="O1143" s="802" t="s">
        <v>16544</v>
      </c>
      <c r="P1143" s="807" t="s">
        <v>32</v>
      </c>
    </row>
    <row r="1144" spans="1:16" s="341" customFormat="1" ht="25.5" customHeight="1">
      <c r="A1144" s="806" t="s">
        <v>109</v>
      </c>
      <c r="B1144" s="800" t="s">
        <v>130</v>
      </c>
      <c r="C1144" s="800" t="s">
        <v>130</v>
      </c>
      <c r="D1144" s="800" t="s">
        <v>16545</v>
      </c>
      <c r="E1144" s="801">
        <v>43047</v>
      </c>
      <c r="F1144" s="800" t="s">
        <v>16231</v>
      </c>
      <c r="G1144" s="800" t="s">
        <v>16546</v>
      </c>
      <c r="H1144" s="800" t="s">
        <v>10404</v>
      </c>
      <c r="I1144" s="800" t="s">
        <v>10404</v>
      </c>
      <c r="J1144" s="800" t="s">
        <v>4342</v>
      </c>
      <c r="K1144" s="800">
        <v>1</v>
      </c>
      <c r="L1144" s="802" t="s">
        <v>10398</v>
      </c>
      <c r="M1144" s="802" t="s">
        <v>16547</v>
      </c>
      <c r="N1144" s="802" t="s">
        <v>16543</v>
      </c>
      <c r="O1144" s="802" t="s">
        <v>16548</v>
      </c>
      <c r="P1144" s="807" t="s">
        <v>16549</v>
      </c>
    </row>
    <row r="1145" spans="1:16" s="341" customFormat="1" ht="15" customHeight="1">
      <c r="A1145" s="806" t="s">
        <v>109</v>
      </c>
      <c r="B1145" s="800" t="s">
        <v>130</v>
      </c>
      <c r="C1145" s="800" t="s">
        <v>130</v>
      </c>
      <c r="D1145" s="800" t="s">
        <v>16550</v>
      </c>
      <c r="E1145" s="801">
        <v>43047</v>
      </c>
      <c r="F1145" s="800" t="s">
        <v>16231</v>
      </c>
      <c r="G1145" s="800" t="s">
        <v>16551</v>
      </c>
      <c r="H1145" s="800" t="s">
        <v>10396</v>
      </c>
      <c r="I1145" s="800" t="s">
        <v>10396</v>
      </c>
      <c r="J1145" s="800" t="s">
        <v>10447</v>
      </c>
      <c r="K1145" s="800">
        <v>1</v>
      </c>
      <c r="L1145" s="802" t="s">
        <v>10398</v>
      </c>
      <c r="M1145" s="802" t="s">
        <v>16552</v>
      </c>
      <c r="N1145" s="802" t="s">
        <v>16553</v>
      </c>
      <c r="O1145" s="802" t="s">
        <v>16554</v>
      </c>
      <c r="P1145" s="807" t="s">
        <v>16555</v>
      </c>
    </row>
    <row r="1146" spans="1:16" s="341" customFormat="1" ht="25.5" customHeight="1">
      <c r="A1146" s="806" t="s">
        <v>109</v>
      </c>
      <c r="B1146" s="800" t="s">
        <v>130</v>
      </c>
      <c r="C1146" s="800" t="s">
        <v>130</v>
      </c>
      <c r="D1146" s="800" t="s">
        <v>16556</v>
      </c>
      <c r="E1146" s="801">
        <v>43047</v>
      </c>
      <c r="F1146" s="800" t="s">
        <v>16231</v>
      </c>
      <c r="G1146" s="800" t="s">
        <v>16557</v>
      </c>
      <c r="H1146" s="800" t="s">
        <v>10396</v>
      </c>
      <c r="I1146" s="800" t="s">
        <v>10396</v>
      </c>
      <c r="J1146" s="800" t="s">
        <v>10447</v>
      </c>
      <c r="K1146" s="800">
        <v>1</v>
      </c>
      <c r="L1146" s="802" t="s">
        <v>10398</v>
      </c>
      <c r="M1146" s="802" t="s">
        <v>16558</v>
      </c>
      <c r="N1146" s="802" t="s">
        <v>16559</v>
      </c>
      <c r="O1146" s="802" t="s">
        <v>16554</v>
      </c>
      <c r="P1146" s="807" t="s">
        <v>16560</v>
      </c>
    </row>
    <row r="1147" spans="1:16" s="341" customFormat="1" ht="25.5" customHeight="1">
      <c r="A1147" s="806" t="s">
        <v>109</v>
      </c>
      <c r="B1147" s="800" t="s">
        <v>130</v>
      </c>
      <c r="C1147" s="800" t="s">
        <v>130</v>
      </c>
      <c r="D1147" s="800" t="s">
        <v>16561</v>
      </c>
      <c r="E1147" s="801">
        <v>43047</v>
      </c>
      <c r="F1147" s="800" t="s">
        <v>16231</v>
      </c>
      <c r="G1147" s="800" t="s">
        <v>16562</v>
      </c>
      <c r="H1147" s="800" t="s">
        <v>10433</v>
      </c>
      <c r="I1147" s="800" t="s">
        <v>10433</v>
      </c>
      <c r="J1147" s="800" t="s">
        <v>10447</v>
      </c>
      <c r="K1147" s="800">
        <v>1</v>
      </c>
      <c r="L1147" s="802" t="s">
        <v>10398</v>
      </c>
      <c r="M1147" s="802" t="s">
        <v>16563</v>
      </c>
      <c r="N1147" s="802" t="s">
        <v>16564</v>
      </c>
      <c r="O1147" s="802" t="s">
        <v>16565</v>
      </c>
      <c r="P1147" s="807" t="s">
        <v>16555</v>
      </c>
    </row>
    <row r="1148" spans="1:16" s="341" customFormat="1" ht="25.5" customHeight="1">
      <c r="A1148" s="806" t="s">
        <v>109</v>
      </c>
      <c r="B1148" s="800" t="s">
        <v>130</v>
      </c>
      <c r="C1148" s="800" t="s">
        <v>130</v>
      </c>
      <c r="D1148" s="800" t="s">
        <v>16566</v>
      </c>
      <c r="E1148" s="801">
        <v>43048</v>
      </c>
      <c r="F1148" s="800" t="s">
        <v>16231</v>
      </c>
      <c r="G1148" s="800" t="s">
        <v>16567</v>
      </c>
      <c r="H1148" s="800" t="s">
        <v>10404</v>
      </c>
      <c r="I1148" s="800" t="s">
        <v>10404</v>
      </c>
      <c r="J1148" s="800" t="s">
        <v>10447</v>
      </c>
      <c r="K1148" s="800">
        <v>1</v>
      </c>
      <c r="L1148" s="802" t="s">
        <v>10398</v>
      </c>
      <c r="M1148" s="802" t="s">
        <v>16568</v>
      </c>
      <c r="N1148" s="802" t="s">
        <v>16569</v>
      </c>
      <c r="O1148" s="802" t="s">
        <v>16554</v>
      </c>
      <c r="P1148" s="807" t="s">
        <v>16570</v>
      </c>
    </row>
    <row r="1149" spans="1:16" s="341" customFormat="1" ht="15" customHeight="1">
      <c r="A1149" s="806" t="s">
        <v>109</v>
      </c>
      <c r="B1149" s="800" t="s">
        <v>130</v>
      </c>
      <c r="C1149" s="800" t="s">
        <v>130</v>
      </c>
      <c r="D1149" s="800" t="s">
        <v>16571</v>
      </c>
      <c r="E1149" s="801">
        <v>43048</v>
      </c>
      <c r="F1149" s="800" t="s">
        <v>16231</v>
      </c>
      <c r="G1149" s="800" t="s">
        <v>16572</v>
      </c>
      <c r="H1149" s="800" t="s">
        <v>10396</v>
      </c>
      <c r="I1149" s="800" t="s">
        <v>10396</v>
      </c>
      <c r="J1149" s="800" t="s">
        <v>4342</v>
      </c>
      <c r="K1149" s="800">
        <v>2</v>
      </c>
      <c r="L1149" s="802" t="s">
        <v>10398</v>
      </c>
      <c r="M1149" s="802" t="s">
        <v>16573</v>
      </c>
      <c r="N1149" s="802" t="s">
        <v>12337</v>
      </c>
      <c r="O1149" s="802" t="s">
        <v>16574</v>
      </c>
      <c r="P1149" s="807" t="s">
        <v>16575</v>
      </c>
    </row>
    <row r="1150" spans="1:16" s="341" customFormat="1" ht="15" customHeight="1">
      <c r="A1150" s="806" t="s">
        <v>109</v>
      </c>
      <c r="B1150" s="800" t="s">
        <v>130</v>
      </c>
      <c r="C1150" s="800" t="s">
        <v>130</v>
      </c>
      <c r="D1150" s="800" t="s">
        <v>16571</v>
      </c>
      <c r="E1150" s="801">
        <v>43048</v>
      </c>
      <c r="F1150" s="800" t="s">
        <v>16231</v>
      </c>
      <c r="G1150" s="800" t="s">
        <v>16572</v>
      </c>
      <c r="H1150" s="800" t="s">
        <v>10396</v>
      </c>
      <c r="I1150" s="800" t="s">
        <v>10396</v>
      </c>
      <c r="J1150" s="800" t="s">
        <v>4342</v>
      </c>
      <c r="K1150" s="800">
        <v>2</v>
      </c>
      <c r="L1150" s="802" t="s">
        <v>10398</v>
      </c>
      <c r="M1150" s="802" t="s">
        <v>16576</v>
      </c>
      <c r="N1150" s="802" t="s">
        <v>16577</v>
      </c>
      <c r="O1150" s="802" t="s">
        <v>16578</v>
      </c>
      <c r="P1150" s="807" t="s">
        <v>16575</v>
      </c>
    </row>
    <row r="1151" spans="1:16" s="341" customFormat="1" ht="25.5" customHeight="1">
      <c r="A1151" s="806" t="s">
        <v>109</v>
      </c>
      <c r="B1151" s="800" t="s">
        <v>130</v>
      </c>
      <c r="C1151" s="800" t="s">
        <v>130</v>
      </c>
      <c r="D1151" s="800" t="s">
        <v>16579</v>
      </c>
      <c r="E1151" s="801">
        <v>43048</v>
      </c>
      <c r="F1151" s="800" t="s">
        <v>16231</v>
      </c>
      <c r="G1151" s="800" t="s">
        <v>16580</v>
      </c>
      <c r="H1151" s="800" t="s">
        <v>10404</v>
      </c>
      <c r="I1151" s="800" t="s">
        <v>10404</v>
      </c>
      <c r="J1151" s="800" t="s">
        <v>10405</v>
      </c>
      <c r="K1151" s="800">
        <v>1</v>
      </c>
      <c r="L1151" s="802" t="s">
        <v>10398</v>
      </c>
      <c r="M1151" s="802" t="s">
        <v>16581</v>
      </c>
      <c r="N1151" s="802" t="s">
        <v>16582</v>
      </c>
      <c r="O1151" s="802" t="s">
        <v>10414</v>
      </c>
      <c r="P1151" s="807" t="s">
        <v>16583</v>
      </c>
    </row>
    <row r="1152" spans="1:16" s="341" customFormat="1" ht="25.5" customHeight="1">
      <c r="A1152" s="806" t="s">
        <v>109</v>
      </c>
      <c r="B1152" s="800" t="s">
        <v>130</v>
      </c>
      <c r="C1152" s="800" t="s">
        <v>130</v>
      </c>
      <c r="D1152" s="800" t="s">
        <v>16584</v>
      </c>
      <c r="E1152" s="801">
        <v>43048</v>
      </c>
      <c r="F1152" s="800" t="s">
        <v>16231</v>
      </c>
      <c r="G1152" s="800" t="s">
        <v>16585</v>
      </c>
      <c r="H1152" s="800" t="s">
        <v>10396</v>
      </c>
      <c r="I1152" s="800" t="s">
        <v>10396</v>
      </c>
      <c r="J1152" s="800" t="s">
        <v>10447</v>
      </c>
      <c r="K1152" s="800">
        <v>1</v>
      </c>
      <c r="L1152" s="802" t="s">
        <v>10398</v>
      </c>
      <c r="M1152" s="802" t="s">
        <v>16586</v>
      </c>
      <c r="N1152" s="802" t="s">
        <v>16587</v>
      </c>
      <c r="O1152" s="802" t="s">
        <v>16588</v>
      </c>
      <c r="P1152" s="807" t="s">
        <v>16589</v>
      </c>
    </row>
    <row r="1153" spans="1:16" s="341" customFormat="1" ht="25.5" customHeight="1">
      <c r="A1153" s="806" t="s">
        <v>109</v>
      </c>
      <c r="B1153" s="800" t="s">
        <v>130</v>
      </c>
      <c r="C1153" s="800" t="s">
        <v>130</v>
      </c>
      <c r="D1153" s="800" t="s">
        <v>16590</v>
      </c>
      <c r="E1153" s="801">
        <v>43048</v>
      </c>
      <c r="F1153" s="800" t="s">
        <v>16231</v>
      </c>
      <c r="G1153" s="800" t="s">
        <v>16591</v>
      </c>
      <c r="H1153" s="800" t="s">
        <v>10433</v>
      </c>
      <c r="I1153" s="800" t="s">
        <v>10433</v>
      </c>
      <c r="J1153" s="800" t="s">
        <v>10447</v>
      </c>
      <c r="K1153" s="800">
        <v>1</v>
      </c>
      <c r="L1153" s="802" t="s">
        <v>10398</v>
      </c>
      <c r="M1153" s="802" t="s">
        <v>16592</v>
      </c>
      <c r="N1153" s="802" t="s">
        <v>16593</v>
      </c>
      <c r="O1153" s="802" t="s">
        <v>16594</v>
      </c>
      <c r="P1153" s="807" t="s">
        <v>16595</v>
      </c>
    </row>
    <row r="1154" spans="1:16" s="341" customFormat="1" ht="25.5" customHeight="1">
      <c r="A1154" s="806" t="s">
        <v>109</v>
      </c>
      <c r="B1154" s="800" t="s">
        <v>130</v>
      </c>
      <c r="C1154" s="800" t="s">
        <v>130</v>
      </c>
      <c r="D1154" s="800" t="s">
        <v>16596</v>
      </c>
      <c r="E1154" s="801">
        <v>43048</v>
      </c>
      <c r="F1154" s="800" t="s">
        <v>16231</v>
      </c>
      <c r="G1154" s="800" t="s">
        <v>16597</v>
      </c>
      <c r="H1154" s="800" t="s">
        <v>10404</v>
      </c>
      <c r="I1154" s="800" t="s">
        <v>10404</v>
      </c>
      <c r="J1154" s="800" t="s">
        <v>10405</v>
      </c>
      <c r="K1154" s="800">
        <v>1</v>
      </c>
      <c r="L1154" s="802" t="s">
        <v>10398</v>
      </c>
      <c r="M1154" s="802" t="s">
        <v>16598</v>
      </c>
      <c r="N1154" s="802" t="s">
        <v>15420</v>
      </c>
      <c r="O1154" s="802" t="s">
        <v>16280</v>
      </c>
      <c r="P1154" s="807" t="s">
        <v>16599</v>
      </c>
    </row>
    <row r="1155" spans="1:16" s="341" customFormat="1" ht="25.5" customHeight="1">
      <c r="A1155" s="806" t="s">
        <v>109</v>
      </c>
      <c r="B1155" s="800" t="s">
        <v>130</v>
      </c>
      <c r="C1155" s="800" t="s">
        <v>130</v>
      </c>
      <c r="D1155" s="800" t="s">
        <v>16600</v>
      </c>
      <c r="E1155" s="801">
        <v>43048</v>
      </c>
      <c r="F1155" s="800" t="s">
        <v>16231</v>
      </c>
      <c r="G1155" s="800" t="s">
        <v>16601</v>
      </c>
      <c r="H1155" s="800" t="s">
        <v>10404</v>
      </c>
      <c r="I1155" s="800" t="s">
        <v>10404</v>
      </c>
      <c r="J1155" s="800" t="s">
        <v>10405</v>
      </c>
      <c r="K1155" s="800">
        <v>1</v>
      </c>
      <c r="L1155" s="802" t="s">
        <v>10398</v>
      </c>
      <c r="M1155" s="802" t="s">
        <v>16602</v>
      </c>
      <c r="N1155" s="802" t="s">
        <v>13777</v>
      </c>
      <c r="O1155" s="802" t="s">
        <v>10414</v>
      </c>
      <c r="P1155" s="807" t="s">
        <v>16603</v>
      </c>
    </row>
    <row r="1156" spans="1:16" s="341" customFormat="1" ht="15" customHeight="1">
      <c r="A1156" s="806" t="s">
        <v>109</v>
      </c>
      <c r="B1156" s="800" t="s">
        <v>130</v>
      </c>
      <c r="C1156" s="800" t="s">
        <v>130</v>
      </c>
      <c r="D1156" s="800" t="s">
        <v>16604</v>
      </c>
      <c r="E1156" s="801">
        <v>43048</v>
      </c>
      <c r="F1156" s="800" t="s">
        <v>16231</v>
      </c>
      <c r="G1156" s="800" t="s">
        <v>16605</v>
      </c>
      <c r="H1156" s="800" t="s">
        <v>10404</v>
      </c>
      <c r="I1156" s="800" t="s">
        <v>10404</v>
      </c>
      <c r="J1156" s="800" t="s">
        <v>10405</v>
      </c>
      <c r="K1156" s="800">
        <v>1</v>
      </c>
      <c r="L1156" s="802" t="s">
        <v>10398</v>
      </c>
      <c r="M1156" s="802" t="s">
        <v>16606</v>
      </c>
      <c r="N1156" s="802" t="s">
        <v>16607</v>
      </c>
      <c r="O1156" s="802" t="s">
        <v>16608</v>
      </c>
      <c r="P1156" s="807" t="s">
        <v>16609</v>
      </c>
    </row>
    <row r="1157" spans="1:16" s="341" customFormat="1" ht="25.5" customHeight="1">
      <c r="A1157" s="806" t="s">
        <v>109</v>
      </c>
      <c r="B1157" s="800" t="s">
        <v>130</v>
      </c>
      <c r="C1157" s="800" t="s">
        <v>130</v>
      </c>
      <c r="D1157" s="800" t="s">
        <v>16610</v>
      </c>
      <c r="E1157" s="801">
        <v>43048</v>
      </c>
      <c r="F1157" s="800" t="s">
        <v>16231</v>
      </c>
      <c r="G1157" s="800" t="s">
        <v>16611</v>
      </c>
      <c r="H1157" s="800" t="s">
        <v>10531</v>
      </c>
      <c r="I1157" s="800" t="s">
        <v>10531</v>
      </c>
      <c r="J1157" s="800" t="s">
        <v>10447</v>
      </c>
      <c r="K1157" s="800">
        <v>1</v>
      </c>
      <c r="L1157" s="802" t="s">
        <v>10398</v>
      </c>
      <c r="M1157" s="802" t="s">
        <v>16612</v>
      </c>
      <c r="N1157" s="802" t="s">
        <v>16613</v>
      </c>
      <c r="O1157" s="802" t="s">
        <v>16614</v>
      </c>
      <c r="P1157" s="807" t="s">
        <v>16615</v>
      </c>
    </row>
    <row r="1158" spans="1:16" s="341" customFormat="1" ht="25.5" customHeight="1">
      <c r="A1158" s="806" t="s">
        <v>109</v>
      </c>
      <c r="B1158" s="800" t="s">
        <v>130</v>
      </c>
      <c r="C1158" s="800" t="s">
        <v>130</v>
      </c>
      <c r="D1158" s="800" t="s">
        <v>16616</v>
      </c>
      <c r="E1158" s="801">
        <v>43067</v>
      </c>
      <c r="F1158" s="800" t="s">
        <v>16617</v>
      </c>
      <c r="G1158" s="800" t="s">
        <v>16618</v>
      </c>
      <c r="H1158" s="800" t="s">
        <v>10433</v>
      </c>
      <c r="I1158" s="800" t="s">
        <v>10433</v>
      </c>
      <c r="J1158" s="800" t="s">
        <v>10447</v>
      </c>
      <c r="K1158" s="800">
        <v>1</v>
      </c>
      <c r="L1158" s="802" t="s">
        <v>10398</v>
      </c>
      <c r="M1158" s="802" t="s">
        <v>16619</v>
      </c>
      <c r="N1158" s="802" t="s">
        <v>16620</v>
      </c>
      <c r="O1158" s="802" t="s">
        <v>16621</v>
      </c>
      <c r="P1158" s="807" t="s">
        <v>32</v>
      </c>
    </row>
    <row r="1159" spans="1:16" s="341" customFormat="1" ht="25.5" customHeight="1">
      <c r="A1159" s="806" t="s">
        <v>109</v>
      </c>
      <c r="B1159" s="800" t="s">
        <v>130</v>
      </c>
      <c r="C1159" s="800" t="s">
        <v>130</v>
      </c>
      <c r="D1159" s="800" t="s">
        <v>16622</v>
      </c>
      <c r="E1159" s="801">
        <v>43069</v>
      </c>
      <c r="F1159" s="800" t="s">
        <v>16623</v>
      </c>
      <c r="G1159" s="800" t="s">
        <v>16624</v>
      </c>
      <c r="H1159" s="800" t="s">
        <v>10404</v>
      </c>
      <c r="I1159" s="800" t="s">
        <v>10404</v>
      </c>
      <c r="J1159" s="800" t="s">
        <v>10405</v>
      </c>
      <c r="K1159" s="800">
        <v>1</v>
      </c>
      <c r="L1159" s="802" t="s">
        <v>10398</v>
      </c>
      <c r="M1159" s="802" t="s">
        <v>16625</v>
      </c>
      <c r="N1159" s="802" t="s">
        <v>10808</v>
      </c>
      <c r="O1159" s="802" t="s">
        <v>16626</v>
      </c>
      <c r="P1159" s="807" t="s">
        <v>16627</v>
      </c>
    </row>
    <row r="1160" spans="1:16" s="341" customFormat="1" ht="15" customHeight="1">
      <c r="A1160" s="806" t="s">
        <v>109</v>
      </c>
      <c r="B1160" s="800" t="s">
        <v>130</v>
      </c>
      <c r="C1160" s="800" t="s">
        <v>130</v>
      </c>
      <c r="D1160" s="800" t="s">
        <v>16628</v>
      </c>
      <c r="E1160" s="801">
        <v>43068</v>
      </c>
      <c r="F1160" s="800" t="s">
        <v>16629</v>
      </c>
      <c r="G1160" s="800" t="s">
        <v>16630</v>
      </c>
      <c r="H1160" s="800" t="s">
        <v>10404</v>
      </c>
      <c r="I1160" s="800" t="s">
        <v>10404</v>
      </c>
      <c r="J1160" s="800" t="s">
        <v>10405</v>
      </c>
      <c r="K1160" s="800">
        <v>1</v>
      </c>
      <c r="L1160" s="802" t="s">
        <v>10398</v>
      </c>
      <c r="M1160" s="802" t="s">
        <v>16631</v>
      </c>
      <c r="N1160" s="802" t="s">
        <v>16632</v>
      </c>
      <c r="O1160" s="802" t="s">
        <v>16633</v>
      </c>
      <c r="P1160" s="807" t="s">
        <v>16634</v>
      </c>
    </row>
    <row r="1161" spans="1:16" s="341" customFormat="1" ht="25.5" customHeight="1">
      <c r="A1161" s="806" t="s">
        <v>109</v>
      </c>
      <c r="B1161" s="800" t="s">
        <v>130</v>
      </c>
      <c r="C1161" s="800" t="s">
        <v>130</v>
      </c>
      <c r="D1161" s="800" t="s">
        <v>16635</v>
      </c>
      <c r="E1161" s="801">
        <v>43068</v>
      </c>
      <c r="F1161" s="800" t="s">
        <v>16623</v>
      </c>
      <c r="G1161" s="800" t="s">
        <v>16636</v>
      </c>
      <c r="H1161" s="800" t="s">
        <v>10531</v>
      </c>
      <c r="I1161" s="800" t="s">
        <v>10531</v>
      </c>
      <c r="J1161" s="800" t="s">
        <v>10397</v>
      </c>
      <c r="K1161" s="800">
        <v>1</v>
      </c>
      <c r="L1161" s="802" t="s">
        <v>10398</v>
      </c>
      <c r="M1161" s="802" t="s">
        <v>16637</v>
      </c>
      <c r="N1161" s="802" t="s">
        <v>16638</v>
      </c>
      <c r="O1161" s="802" t="s">
        <v>16633</v>
      </c>
      <c r="P1161" s="807" t="s">
        <v>16634</v>
      </c>
    </row>
    <row r="1162" spans="1:16" s="341" customFormat="1" ht="25.5" customHeight="1">
      <c r="A1162" s="806" t="s">
        <v>109</v>
      </c>
      <c r="B1162" s="800" t="s">
        <v>130</v>
      </c>
      <c r="C1162" s="800" t="s">
        <v>130</v>
      </c>
      <c r="D1162" s="800" t="s">
        <v>16639</v>
      </c>
      <c r="E1162" s="801">
        <v>43068</v>
      </c>
      <c r="F1162" s="800" t="s">
        <v>16623</v>
      </c>
      <c r="G1162" s="800" t="s">
        <v>16640</v>
      </c>
      <c r="H1162" s="800" t="s">
        <v>10396</v>
      </c>
      <c r="I1162" s="800" t="s">
        <v>10396</v>
      </c>
      <c r="J1162" s="800" t="s">
        <v>10397</v>
      </c>
      <c r="K1162" s="800">
        <v>1</v>
      </c>
      <c r="L1162" s="802" t="s">
        <v>10398</v>
      </c>
      <c r="M1162" s="802" t="s">
        <v>16641</v>
      </c>
      <c r="N1162" s="802" t="s">
        <v>16642</v>
      </c>
      <c r="O1162" s="802" t="s">
        <v>16633</v>
      </c>
      <c r="P1162" s="807" t="s">
        <v>16643</v>
      </c>
    </row>
    <row r="1163" spans="1:16" s="341" customFormat="1" ht="25.5" customHeight="1">
      <c r="A1163" s="806" t="s">
        <v>109</v>
      </c>
      <c r="B1163" s="800" t="s">
        <v>130</v>
      </c>
      <c r="C1163" s="800" t="s">
        <v>130</v>
      </c>
      <c r="D1163" s="800" t="s">
        <v>16644</v>
      </c>
      <c r="E1163" s="801">
        <v>43067</v>
      </c>
      <c r="F1163" s="800" t="s">
        <v>16645</v>
      </c>
      <c r="G1163" s="800" t="s">
        <v>16646</v>
      </c>
      <c r="H1163" s="800" t="s">
        <v>10404</v>
      </c>
      <c r="I1163" s="800" t="s">
        <v>10404</v>
      </c>
      <c r="J1163" s="800" t="s">
        <v>10405</v>
      </c>
      <c r="K1163" s="800">
        <v>1</v>
      </c>
      <c r="L1163" s="802" t="s">
        <v>11045</v>
      </c>
      <c r="M1163" s="802" t="s">
        <v>16647</v>
      </c>
      <c r="N1163" s="802" t="s">
        <v>16648</v>
      </c>
      <c r="O1163" s="802" t="s">
        <v>16649</v>
      </c>
      <c r="P1163" s="807" t="s">
        <v>16650</v>
      </c>
    </row>
    <row r="1164" spans="1:16" s="341" customFormat="1" ht="25.5" customHeight="1">
      <c r="A1164" s="806" t="s">
        <v>109</v>
      </c>
      <c r="B1164" s="800" t="s">
        <v>130</v>
      </c>
      <c r="C1164" s="800" t="s">
        <v>130</v>
      </c>
      <c r="D1164" s="800" t="s">
        <v>16651</v>
      </c>
      <c r="E1164" s="801">
        <v>43067</v>
      </c>
      <c r="F1164" s="800" t="s">
        <v>16645</v>
      </c>
      <c r="G1164" s="800" t="s">
        <v>16652</v>
      </c>
      <c r="H1164" s="800" t="s">
        <v>10404</v>
      </c>
      <c r="I1164" s="800" t="s">
        <v>10404</v>
      </c>
      <c r="J1164" s="800" t="s">
        <v>10405</v>
      </c>
      <c r="K1164" s="800">
        <v>1</v>
      </c>
      <c r="L1164" s="802" t="s">
        <v>10398</v>
      </c>
      <c r="M1164" s="802" t="s">
        <v>16653</v>
      </c>
      <c r="N1164" s="802" t="s">
        <v>16654</v>
      </c>
      <c r="O1164" s="802" t="s">
        <v>16655</v>
      </c>
      <c r="P1164" s="807" t="s">
        <v>16656</v>
      </c>
    </row>
    <row r="1165" spans="1:16" s="341" customFormat="1" ht="25.5" customHeight="1">
      <c r="A1165" s="806" t="s">
        <v>109</v>
      </c>
      <c r="B1165" s="800" t="s">
        <v>130</v>
      </c>
      <c r="C1165" s="800" t="s">
        <v>130</v>
      </c>
      <c r="D1165" s="800" t="s">
        <v>16657</v>
      </c>
      <c r="E1165" s="801">
        <v>43067</v>
      </c>
      <c r="F1165" s="800" t="s">
        <v>16645</v>
      </c>
      <c r="G1165" s="800" t="s">
        <v>16658</v>
      </c>
      <c r="H1165" s="800" t="s">
        <v>10404</v>
      </c>
      <c r="I1165" s="800" t="s">
        <v>10404</v>
      </c>
      <c r="J1165" s="800" t="s">
        <v>10405</v>
      </c>
      <c r="K1165" s="800">
        <v>1</v>
      </c>
      <c r="L1165" s="802" t="s">
        <v>10398</v>
      </c>
      <c r="M1165" s="802" t="s">
        <v>16659</v>
      </c>
      <c r="N1165" s="802" t="s">
        <v>16660</v>
      </c>
      <c r="O1165" s="802" t="s">
        <v>16661</v>
      </c>
      <c r="P1165" s="807" t="s">
        <v>16662</v>
      </c>
    </row>
    <row r="1166" spans="1:16" s="341" customFormat="1" ht="25.5" customHeight="1">
      <c r="A1166" s="806" t="s">
        <v>109</v>
      </c>
      <c r="B1166" s="800" t="s">
        <v>130</v>
      </c>
      <c r="C1166" s="800" t="s">
        <v>130</v>
      </c>
      <c r="D1166" s="800" t="s">
        <v>16663</v>
      </c>
      <c r="E1166" s="801">
        <v>43067</v>
      </c>
      <c r="F1166" s="800" t="s">
        <v>9981</v>
      </c>
      <c r="G1166" s="800" t="s">
        <v>16664</v>
      </c>
      <c r="H1166" s="800" t="s">
        <v>10433</v>
      </c>
      <c r="I1166" s="800" t="s">
        <v>10433</v>
      </c>
      <c r="J1166" s="800" t="s">
        <v>10397</v>
      </c>
      <c r="K1166" s="800">
        <v>1</v>
      </c>
      <c r="L1166" s="802" t="s">
        <v>10398</v>
      </c>
      <c r="M1166" s="802" t="s">
        <v>16665</v>
      </c>
      <c r="N1166" s="802" t="s">
        <v>13749</v>
      </c>
      <c r="O1166" s="802" t="s">
        <v>16666</v>
      </c>
      <c r="P1166" s="807" t="s">
        <v>16667</v>
      </c>
    </row>
    <row r="1167" spans="1:16" s="341" customFormat="1" ht="25.5" customHeight="1">
      <c r="A1167" s="806" t="s">
        <v>109</v>
      </c>
      <c r="B1167" s="800" t="s">
        <v>130</v>
      </c>
      <c r="C1167" s="800" t="s">
        <v>130</v>
      </c>
      <c r="D1167" s="800" t="s">
        <v>16668</v>
      </c>
      <c r="E1167" s="801">
        <v>43067</v>
      </c>
      <c r="F1167" s="800" t="s">
        <v>16669</v>
      </c>
      <c r="G1167" s="800" t="s">
        <v>16670</v>
      </c>
      <c r="H1167" s="800" t="s">
        <v>10396</v>
      </c>
      <c r="I1167" s="800" t="s">
        <v>10396</v>
      </c>
      <c r="J1167" s="800" t="s">
        <v>10397</v>
      </c>
      <c r="K1167" s="800">
        <v>1</v>
      </c>
      <c r="L1167" s="802" t="s">
        <v>10398</v>
      </c>
      <c r="M1167" s="802" t="s">
        <v>16671</v>
      </c>
      <c r="N1167" s="802" t="s">
        <v>10514</v>
      </c>
      <c r="O1167" s="802" t="s">
        <v>16672</v>
      </c>
      <c r="P1167" s="807" t="s">
        <v>16673</v>
      </c>
    </row>
    <row r="1168" spans="1:16" s="341" customFormat="1" ht="25.5" customHeight="1">
      <c r="A1168" s="806" t="s">
        <v>109</v>
      </c>
      <c r="B1168" s="800" t="s">
        <v>130</v>
      </c>
      <c r="C1168" s="800" t="s">
        <v>130</v>
      </c>
      <c r="D1168" s="800" t="s">
        <v>16674</v>
      </c>
      <c r="E1168" s="801">
        <v>43067</v>
      </c>
      <c r="F1168" s="800" t="s">
        <v>16623</v>
      </c>
      <c r="G1168" s="800" t="s">
        <v>16675</v>
      </c>
      <c r="H1168" s="800" t="s">
        <v>10404</v>
      </c>
      <c r="I1168" s="800" t="s">
        <v>10404</v>
      </c>
      <c r="J1168" s="800" t="s">
        <v>10405</v>
      </c>
      <c r="K1168" s="800">
        <v>1</v>
      </c>
      <c r="L1168" s="802" t="s">
        <v>10398</v>
      </c>
      <c r="M1168" s="802" t="s">
        <v>16676</v>
      </c>
      <c r="N1168" s="802" t="s">
        <v>14123</v>
      </c>
      <c r="O1168" s="802" t="s">
        <v>16677</v>
      </c>
      <c r="P1168" s="807" t="s">
        <v>32</v>
      </c>
    </row>
    <row r="1169" spans="1:16" s="341" customFormat="1" ht="15" customHeight="1">
      <c r="A1169" s="806" t="s">
        <v>109</v>
      </c>
      <c r="B1169" s="800" t="s">
        <v>130</v>
      </c>
      <c r="C1169" s="800" t="s">
        <v>130</v>
      </c>
      <c r="D1169" s="800" t="s">
        <v>16678</v>
      </c>
      <c r="E1169" s="801">
        <v>43067</v>
      </c>
      <c r="F1169" s="800" t="s">
        <v>16623</v>
      </c>
      <c r="G1169" s="800" t="s">
        <v>16679</v>
      </c>
      <c r="H1169" s="800" t="s">
        <v>10404</v>
      </c>
      <c r="I1169" s="800" t="s">
        <v>10404</v>
      </c>
      <c r="J1169" s="800" t="s">
        <v>10405</v>
      </c>
      <c r="K1169" s="800">
        <v>1</v>
      </c>
      <c r="L1169" s="802" t="s">
        <v>10398</v>
      </c>
      <c r="M1169" s="802" t="s">
        <v>16680</v>
      </c>
      <c r="N1169" s="802" t="s">
        <v>16681</v>
      </c>
      <c r="O1169" s="802" t="s">
        <v>16682</v>
      </c>
      <c r="P1169" s="807" t="s">
        <v>16683</v>
      </c>
    </row>
    <row r="1170" spans="1:16" s="341" customFormat="1" ht="25.5" customHeight="1">
      <c r="A1170" s="806" t="s">
        <v>109</v>
      </c>
      <c r="B1170" s="800" t="s">
        <v>130</v>
      </c>
      <c r="C1170" s="800" t="s">
        <v>130</v>
      </c>
      <c r="D1170" s="800" t="s">
        <v>16684</v>
      </c>
      <c r="E1170" s="801">
        <v>43067</v>
      </c>
      <c r="F1170" s="800" t="s">
        <v>16623</v>
      </c>
      <c r="G1170" s="800" t="s">
        <v>16685</v>
      </c>
      <c r="H1170" s="800" t="s">
        <v>10404</v>
      </c>
      <c r="I1170" s="800" t="s">
        <v>10404</v>
      </c>
      <c r="J1170" s="800" t="s">
        <v>10405</v>
      </c>
      <c r="K1170" s="800">
        <v>1</v>
      </c>
      <c r="L1170" s="802" t="s">
        <v>10398</v>
      </c>
      <c r="M1170" s="802" t="s">
        <v>16686</v>
      </c>
      <c r="N1170" s="802" t="s">
        <v>10848</v>
      </c>
      <c r="O1170" s="802" t="s">
        <v>16687</v>
      </c>
      <c r="P1170" s="807" t="s">
        <v>16688</v>
      </c>
    </row>
    <row r="1171" spans="1:16" s="341" customFormat="1" ht="15" customHeight="1">
      <c r="A1171" s="806" t="s">
        <v>109</v>
      </c>
      <c r="B1171" s="800" t="s">
        <v>130</v>
      </c>
      <c r="C1171" s="800" t="s">
        <v>130</v>
      </c>
      <c r="D1171" s="800" t="s">
        <v>16689</v>
      </c>
      <c r="E1171" s="801">
        <v>43067</v>
      </c>
      <c r="F1171" s="800" t="s">
        <v>16623</v>
      </c>
      <c r="G1171" s="800" t="s">
        <v>16690</v>
      </c>
      <c r="H1171" s="800" t="s">
        <v>10404</v>
      </c>
      <c r="I1171" s="800" t="s">
        <v>10404</v>
      </c>
      <c r="J1171" s="800" t="s">
        <v>10405</v>
      </c>
      <c r="K1171" s="800">
        <v>1</v>
      </c>
      <c r="L1171" s="802" t="s">
        <v>10398</v>
      </c>
      <c r="M1171" s="802" t="s">
        <v>16691</v>
      </c>
      <c r="N1171" s="802" t="s">
        <v>10596</v>
      </c>
      <c r="O1171" s="802" t="s">
        <v>16692</v>
      </c>
      <c r="P1171" s="807" t="s">
        <v>32</v>
      </c>
    </row>
    <row r="1172" spans="1:16" s="341" customFormat="1" ht="25.5" customHeight="1">
      <c r="A1172" s="806" t="s">
        <v>109</v>
      </c>
      <c r="B1172" s="800" t="s">
        <v>130</v>
      </c>
      <c r="C1172" s="800" t="s">
        <v>130</v>
      </c>
      <c r="D1172" s="800" t="s">
        <v>16693</v>
      </c>
      <c r="E1172" s="801">
        <v>43067</v>
      </c>
      <c r="F1172" s="800" t="s">
        <v>9981</v>
      </c>
      <c r="G1172" s="800" t="s">
        <v>16664</v>
      </c>
      <c r="H1172" s="800" t="s">
        <v>10404</v>
      </c>
      <c r="I1172" s="800" t="s">
        <v>10404</v>
      </c>
      <c r="J1172" s="800" t="s">
        <v>10405</v>
      </c>
      <c r="K1172" s="800">
        <v>1</v>
      </c>
      <c r="L1172" s="802" t="s">
        <v>10398</v>
      </c>
      <c r="M1172" s="802" t="s">
        <v>16694</v>
      </c>
      <c r="N1172" s="802" t="s">
        <v>16695</v>
      </c>
      <c r="O1172" s="802" t="s">
        <v>16666</v>
      </c>
      <c r="P1172" s="807" t="s">
        <v>16673</v>
      </c>
    </row>
    <row r="1173" spans="1:16" s="341" customFormat="1" ht="15" customHeight="1">
      <c r="A1173" s="806" t="s">
        <v>109</v>
      </c>
      <c r="B1173" s="800" t="s">
        <v>130</v>
      </c>
      <c r="C1173" s="800" t="s">
        <v>130</v>
      </c>
      <c r="D1173" s="800" t="s">
        <v>16696</v>
      </c>
      <c r="E1173" s="801">
        <v>43068</v>
      </c>
      <c r="F1173" s="800" t="s">
        <v>16629</v>
      </c>
      <c r="G1173" s="800" t="s">
        <v>16697</v>
      </c>
      <c r="H1173" s="800" t="s">
        <v>10396</v>
      </c>
      <c r="I1173" s="800" t="s">
        <v>10396</v>
      </c>
      <c r="J1173" s="800" t="s">
        <v>10397</v>
      </c>
      <c r="K1173" s="800">
        <v>1</v>
      </c>
      <c r="L1173" s="802" t="s">
        <v>10398</v>
      </c>
      <c r="M1173" s="802" t="s">
        <v>16698</v>
      </c>
      <c r="N1173" s="802" t="s">
        <v>16699</v>
      </c>
      <c r="O1173" s="802" t="s">
        <v>16700</v>
      </c>
      <c r="P1173" s="807" t="s">
        <v>16701</v>
      </c>
    </row>
    <row r="1174" spans="1:16" s="341" customFormat="1" ht="25.5" customHeight="1">
      <c r="A1174" s="806" t="s">
        <v>109</v>
      </c>
      <c r="B1174" s="800" t="s">
        <v>130</v>
      </c>
      <c r="C1174" s="800" t="s">
        <v>130</v>
      </c>
      <c r="D1174" s="800" t="s">
        <v>16702</v>
      </c>
      <c r="E1174" s="801">
        <v>43064</v>
      </c>
      <c r="F1174" s="800" t="s">
        <v>16629</v>
      </c>
      <c r="G1174" s="800" t="s">
        <v>16703</v>
      </c>
      <c r="H1174" s="800" t="s">
        <v>10404</v>
      </c>
      <c r="I1174" s="800" t="s">
        <v>10404</v>
      </c>
      <c r="J1174" s="800" t="s">
        <v>10405</v>
      </c>
      <c r="K1174" s="800">
        <v>1</v>
      </c>
      <c r="L1174" s="802" t="s">
        <v>10398</v>
      </c>
      <c r="M1174" s="802" t="s">
        <v>16704</v>
      </c>
      <c r="N1174" s="802" t="s">
        <v>16705</v>
      </c>
      <c r="O1174" s="802" t="s">
        <v>16706</v>
      </c>
      <c r="P1174" s="807" t="s">
        <v>16707</v>
      </c>
    </row>
    <row r="1175" spans="1:16" s="341" customFormat="1" ht="15" customHeight="1">
      <c r="A1175" s="806" t="s">
        <v>109</v>
      </c>
      <c r="B1175" s="800" t="s">
        <v>130</v>
      </c>
      <c r="C1175" s="800" t="s">
        <v>130</v>
      </c>
      <c r="D1175" s="800" t="s">
        <v>16708</v>
      </c>
      <c r="E1175" s="801">
        <v>43068</v>
      </c>
      <c r="F1175" s="800" t="s">
        <v>16709</v>
      </c>
      <c r="G1175" s="800" t="s">
        <v>16710</v>
      </c>
      <c r="H1175" s="800" t="s">
        <v>10404</v>
      </c>
      <c r="I1175" s="800" t="s">
        <v>10404</v>
      </c>
      <c r="J1175" s="800" t="s">
        <v>10405</v>
      </c>
      <c r="K1175" s="800">
        <v>1</v>
      </c>
      <c r="L1175" s="802" t="s">
        <v>10398</v>
      </c>
      <c r="M1175" s="802" t="s">
        <v>16711</v>
      </c>
      <c r="N1175" s="802" t="s">
        <v>16712</v>
      </c>
      <c r="O1175" s="802" t="s">
        <v>16713</v>
      </c>
      <c r="P1175" s="807" t="s">
        <v>16714</v>
      </c>
    </row>
    <row r="1176" spans="1:16" s="341" customFormat="1" ht="25.5" customHeight="1">
      <c r="A1176" s="806" t="s">
        <v>109</v>
      </c>
      <c r="B1176" s="800" t="s">
        <v>130</v>
      </c>
      <c r="C1176" s="800" t="s">
        <v>130</v>
      </c>
      <c r="D1176" s="800" t="s">
        <v>16715</v>
      </c>
      <c r="E1176" s="801">
        <v>43067</v>
      </c>
      <c r="F1176" s="800" t="s">
        <v>16716</v>
      </c>
      <c r="G1176" s="800" t="s">
        <v>16717</v>
      </c>
      <c r="H1176" s="800" t="s">
        <v>10404</v>
      </c>
      <c r="I1176" s="800" t="s">
        <v>10404</v>
      </c>
      <c r="J1176" s="800" t="s">
        <v>10405</v>
      </c>
      <c r="K1176" s="800">
        <v>1</v>
      </c>
      <c r="L1176" s="802" t="s">
        <v>10398</v>
      </c>
      <c r="M1176" s="802" t="s">
        <v>16718</v>
      </c>
      <c r="N1176" s="802" t="s">
        <v>16719</v>
      </c>
      <c r="O1176" s="802" t="s">
        <v>16720</v>
      </c>
      <c r="P1176" s="807" t="s">
        <v>32</v>
      </c>
    </row>
    <row r="1177" spans="1:16" s="341" customFormat="1" ht="25.5" customHeight="1">
      <c r="A1177" s="806" t="s">
        <v>109</v>
      </c>
      <c r="B1177" s="800" t="s">
        <v>130</v>
      </c>
      <c r="C1177" s="800" t="s">
        <v>130</v>
      </c>
      <c r="D1177" s="800" t="s">
        <v>16721</v>
      </c>
      <c r="E1177" s="801">
        <v>43067</v>
      </c>
      <c r="F1177" s="800" t="s">
        <v>16629</v>
      </c>
      <c r="G1177" s="800" t="s">
        <v>16722</v>
      </c>
      <c r="H1177" s="800" t="s">
        <v>10404</v>
      </c>
      <c r="I1177" s="800" t="s">
        <v>10404</v>
      </c>
      <c r="J1177" s="800" t="s">
        <v>10405</v>
      </c>
      <c r="K1177" s="800">
        <v>1</v>
      </c>
      <c r="L1177" s="802" t="s">
        <v>10398</v>
      </c>
      <c r="M1177" s="802" t="s">
        <v>16723</v>
      </c>
      <c r="N1177" s="802" t="s">
        <v>16724</v>
      </c>
      <c r="O1177" s="802" t="s">
        <v>16633</v>
      </c>
      <c r="P1177" s="807" t="s">
        <v>16725</v>
      </c>
    </row>
    <row r="1178" spans="1:16" s="341" customFormat="1" ht="25.5" customHeight="1">
      <c r="A1178" s="806" t="s">
        <v>109</v>
      </c>
      <c r="B1178" s="800" t="s">
        <v>130</v>
      </c>
      <c r="C1178" s="800" t="s">
        <v>130</v>
      </c>
      <c r="D1178" s="800" t="s">
        <v>16726</v>
      </c>
      <c r="E1178" s="801">
        <v>43069</v>
      </c>
      <c r="F1178" s="800" t="s">
        <v>16629</v>
      </c>
      <c r="G1178" s="800" t="s">
        <v>16727</v>
      </c>
      <c r="H1178" s="800" t="s">
        <v>10404</v>
      </c>
      <c r="I1178" s="800" t="s">
        <v>10404</v>
      </c>
      <c r="J1178" s="800" t="s">
        <v>10405</v>
      </c>
      <c r="K1178" s="800">
        <v>1</v>
      </c>
      <c r="L1178" s="802" t="s">
        <v>10398</v>
      </c>
      <c r="M1178" s="802" t="s">
        <v>16728</v>
      </c>
      <c r="N1178" s="802" t="s">
        <v>11786</v>
      </c>
      <c r="O1178" s="802" t="s">
        <v>16729</v>
      </c>
      <c r="P1178" s="807" t="s">
        <v>16730</v>
      </c>
    </row>
    <row r="1179" spans="1:16" s="341" customFormat="1" ht="25.5" customHeight="1">
      <c r="A1179" s="806" t="s">
        <v>109</v>
      </c>
      <c r="B1179" s="800" t="s">
        <v>130</v>
      </c>
      <c r="C1179" s="800" t="s">
        <v>130</v>
      </c>
      <c r="D1179" s="800" t="s">
        <v>16731</v>
      </c>
      <c r="E1179" s="801">
        <v>43068</v>
      </c>
      <c r="F1179" s="800" t="s">
        <v>16732</v>
      </c>
      <c r="G1179" s="800" t="s">
        <v>16733</v>
      </c>
      <c r="H1179" s="800" t="s">
        <v>10404</v>
      </c>
      <c r="I1179" s="800" t="s">
        <v>10404</v>
      </c>
      <c r="J1179" s="800" t="s">
        <v>10405</v>
      </c>
      <c r="K1179" s="800">
        <v>1</v>
      </c>
      <c r="L1179" s="802" t="s">
        <v>10398</v>
      </c>
      <c r="M1179" s="802" t="s">
        <v>16734</v>
      </c>
      <c r="N1179" s="802" t="s">
        <v>16735</v>
      </c>
      <c r="O1179" s="802" t="s">
        <v>13355</v>
      </c>
      <c r="P1179" s="807" t="s">
        <v>16736</v>
      </c>
    </row>
    <row r="1180" spans="1:16" s="341" customFormat="1" ht="25.5" customHeight="1">
      <c r="A1180" s="806" t="s">
        <v>109</v>
      </c>
      <c r="B1180" s="800" t="s">
        <v>130</v>
      </c>
      <c r="C1180" s="800" t="s">
        <v>130</v>
      </c>
      <c r="D1180" s="800" t="s">
        <v>16737</v>
      </c>
      <c r="E1180" s="801">
        <v>43068</v>
      </c>
      <c r="F1180" s="800" t="s">
        <v>16629</v>
      </c>
      <c r="G1180" s="800" t="s">
        <v>16738</v>
      </c>
      <c r="H1180" s="800" t="s">
        <v>10404</v>
      </c>
      <c r="I1180" s="800" t="s">
        <v>10404</v>
      </c>
      <c r="J1180" s="800" t="s">
        <v>10405</v>
      </c>
      <c r="K1180" s="800">
        <v>1</v>
      </c>
      <c r="L1180" s="802" t="s">
        <v>10398</v>
      </c>
      <c r="M1180" s="802" t="s">
        <v>16739</v>
      </c>
      <c r="N1180" s="802" t="s">
        <v>16740</v>
      </c>
      <c r="O1180" s="802" t="s">
        <v>16741</v>
      </c>
      <c r="P1180" s="807" t="s">
        <v>16742</v>
      </c>
    </row>
    <row r="1181" spans="1:16" s="341" customFormat="1" ht="25.5" customHeight="1">
      <c r="A1181" s="806" t="s">
        <v>109</v>
      </c>
      <c r="B1181" s="800" t="s">
        <v>130</v>
      </c>
      <c r="C1181" s="800" t="s">
        <v>130</v>
      </c>
      <c r="D1181" s="800" t="s">
        <v>16743</v>
      </c>
      <c r="E1181" s="801">
        <v>43068</v>
      </c>
      <c r="F1181" s="800" t="s">
        <v>16629</v>
      </c>
      <c r="G1181" s="800" t="s">
        <v>16744</v>
      </c>
      <c r="H1181" s="800" t="s">
        <v>10404</v>
      </c>
      <c r="I1181" s="800" t="s">
        <v>10404</v>
      </c>
      <c r="J1181" s="800" t="s">
        <v>10405</v>
      </c>
      <c r="K1181" s="800">
        <v>1</v>
      </c>
      <c r="L1181" s="802" t="s">
        <v>10398</v>
      </c>
      <c r="M1181" s="802" t="s">
        <v>16745</v>
      </c>
      <c r="N1181" s="802" t="s">
        <v>16746</v>
      </c>
      <c r="O1181" s="802" t="s">
        <v>13355</v>
      </c>
      <c r="P1181" s="807" t="s">
        <v>16747</v>
      </c>
    </row>
    <row r="1182" spans="1:16" s="341" customFormat="1" ht="25.5" customHeight="1">
      <c r="A1182" s="806" t="s">
        <v>109</v>
      </c>
      <c r="B1182" s="800" t="s">
        <v>130</v>
      </c>
      <c r="C1182" s="800" t="s">
        <v>130</v>
      </c>
      <c r="D1182" s="800" t="s">
        <v>16748</v>
      </c>
      <c r="E1182" s="801">
        <v>43068</v>
      </c>
      <c r="F1182" s="800" t="s">
        <v>16629</v>
      </c>
      <c r="G1182" s="800" t="s">
        <v>16749</v>
      </c>
      <c r="H1182" s="800" t="s">
        <v>10404</v>
      </c>
      <c r="I1182" s="800" t="s">
        <v>10404</v>
      </c>
      <c r="J1182" s="800" t="s">
        <v>10405</v>
      </c>
      <c r="K1182" s="800">
        <v>1</v>
      </c>
      <c r="L1182" s="802" t="s">
        <v>11026</v>
      </c>
      <c r="M1182" s="802" t="s">
        <v>16750</v>
      </c>
      <c r="N1182" s="802" t="s">
        <v>16751</v>
      </c>
      <c r="O1182" s="802" t="s">
        <v>16752</v>
      </c>
      <c r="P1182" s="807" t="s">
        <v>16753</v>
      </c>
    </row>
    <row r="1183" spans="1:16" s="341" customFormat="1" ht="25.5" customHeight="1">
      <c r="A1183" s="806" t="s">
        <v>109</v>
      </c>
      <c r="B1183" s="800" t="s">
        <v>130</v>
      </c>
      <c r="C1183" s="800" t="s">
        <v>130</v>
      </c>
      <c r="D1183" s="800" t="s">
        <v>16754</v>
      </c>
      <c r="E1183" s="801">
        <v>43068</v>
      </c>
      <c r="F1183" s="800" t="s">
        <v>16755</v>
      </c>
      <c r="G1183" s="800" t="s">
        <v>16756</v>
      </c>
      <c r="H1183" s="800" t="s">
        <v>10433</v>
      </c>
      <c r="I1183" s="800" t="s">
        <v>10433</v>
      </c>
      <c r="J1183" s="800" t="s">
        <v>10447</v>
      </c>
      <c r="K1183" s="800">
        <v>1</v>
      </c>
      <c r="L1183" s="802" t="s">
        <v>10398</v>
      </c>
      <c r="M1183" s="802" t="s">
        <v>16757</v>
      </c>
      <c r="N1183" s="802" t="s">
        <v>16758</v>
      </c>
      <c r="O1183" s="802" t="s">
        <v>16759</v>
      </c>
      <c r="P1183" s="807" t="s">
        <v>16760</v>
      </c>
    </row>
    <row r="1184" spans="1:16" s="341" customFormat="1" ht="25.5" customHeight="1">
      <c r="A1184" s="806" t="s">
        <v>109</v>
      </c>
      <c r="B1184" s="800" t="s">
        <v>130</v>
      </c>
      <c r="C1184" s="800" t="s">
        <v>130</v>
      </c>
      <c r="D1184" s="800" t="s">
        <v>16761</v>
      </c>
      <c r="E1184" s="801">
        <v>43067</v>
      </c>
      <c r="F1184" s="800" t="s">
        <v>9981</v>
      </c>
      <c r="G1184" s="800" t="s">
        <v>16762</v>
      </c>
      <c r="H1184" s="800" t="s">
        <v>10404</v>
      </c>
      <c r="I1184" s="800" t="s">
        <v>10404</v>
      </c>
      <c r="J1184" s="800" t="s">
        <v>10426</v>
      </c>
      <c r="K1184" s="800">
        <v>1</v>
      </c>
      <c r="L1184" s="802" t="s">
        <v>10398</v>
      </c>
      <c r="M1184" s="802" t="s">
        <v>16763</v>
      </c>
      <c r="N1184" s="802" t="s">
        <v>16764</v>
      </c>
      <c r="O1184" s="802" t="s">
        <v>16765</v>
      </c>
      <c r="P1184" s="807" t="s">
        <v>16766</v>
      </c>
    </row>
    <row r="1185" spans="1:16" s="341" customFormat="1" ht="25.5" customHeight="1">
      <c r="A1185" s="806" t="s">
        <v>109</v>
      </c>
      <c r="B1185" s="800" t="s">
        <v>130</v>
      </c>
      <c r="C1185" s="800" t="s">
        <v>130</v>
      </c>
      <c r="D1185" s="800" t="s">
        <v>16767</v>
      </c>
      <c r="E1185" s="801">
        <v>43067</v>
      </c>
      <c r="F1185" s="800" t="s">
        <v>16623</v>
      </c>
      <c r="G1185" s="800" t="s">
        <v>16768</v>
      </c>
      <c r="H1185" s="800" t="s">
        <v>10404</v>
      </c>
      <c r="I1185" s="800" t="s">
        <v>10404</v>
      </c>
      <c r="J1185" s="800" t="s">
        <v>10426</v>
      </c>
      <c r="K1185" s="800">
        <v>1</v>
      </c>
      <c r="L1185" s="802" t="s">
        <v>10398</v>
      </c>
      <c r="M1185" s="802" t="s">
        <v>16769</v>
      </c>
      <c r="N1185" s="802" t="s">
        <v>16770</v>
      </c>
      <c r="O1185" s="802" t="s">
        <v>15765</v>
      </c>
      <c r="P1185" s="807" t="s">
        <v>16771</v>
      </c>
    </row>
    <row r="1186" spans="1:16" s="341" customFormat="1" ht="25.5" customHeight="1">
      <c r="A1186" s="806" t="s">
        <v>109</v>
      </c>
      <c r="B1186" s="800" t="s">
        <v>130</v>
      </c>
      <c r="C1186" s="800" t="s">
        <v>130</v>
      </c>
      <c r="D1186" s="800" t="s">
        <v>16772</v>
      </c>
      <c r="E1186" s="801">
        <v>43067</v>
      </c>
      <c r="F1186" s="800" t="s">
        <v>9981</v>
      </c>
      <c r="G1186" s="800" t="s">
        <v>16773</v>
      </c>
      <c r="H1186" s="800" t="s">
        <v>10531</v>
      </c>
      <c r="I1186" s="800" t="s">
        <v>10531</v>
      </c>
      <c r="J1186" s="800" t="s">
        <v>10447</v>
      </c>
      <c r="K1186" s="800">
        <v>1</v>
      </c>
      <c r="L1186" s="802" t="s">
        <v>11026</v>
      </c>
      <c r="M1186" s="802" t="s">
        <v>16774</v>
      </c>
      <c r="N1186" s="802" t="s">
        <v>16775</v>
      </c>
      <c r="O1186" s="802" t="s">
        <v>16776</v>
      </c>
      <c r="P1186" s="807" t="s">
        <v>16777</v>
      </c>
    </row>
    <row r="1187" spans="1:16" s="341" customFormat="1" ht="25.5">
      <c r="A1187" s="806" t="s">
        <v>109</v>
      </c>
      <c r="B1187" s="800" t="s">
        <v>130</v>
      </c>
      <c r="C1187" s="800" t="s">
        <v>130</v>
      </c>
      <c r="D1187" s="800" t="s">
        <v>16778</v>
      </c>
      <c r="E1187" s="801">
        <v>43067</v>
      </c>
      <c r="F1187" s="800" t="s">
        <v>16623</v>
      </c>
      <c r="G1187" s="800" t="s">
        <v>16779</v>
      </c>
      <c r="H1187" s="800" t="s">
        <v>10531</v>
      </c>
      <c r="I1187" s="800" t="s">
        <v>10531</v>
      </c>
      <c r="J1187" s="800" t="s">
        <v>10426</v>
      </c>
      <c r="K1187" s="800">
        <v>1</v>
      </c>
      <c r="L1187" s="802" t="s">
        <v>10398</v>
      </c>
      <c r="M1187" s="802" t="s">
        <v>16780</v>
      </c>
      <c r="N1187" s="802" t="s">
        <v>16781</v>
      </c>
      <c r="O1187" s="802" t="s">
        <v>16782</v>
      </c>
      <c r="P1187" s="807" t="s">
        <v>16783</v>
      </c>
    </row>
    <row r="1188" spans="1:16" s="341" customFormat="1" ht="25.5" customHeight="1">
      <c r="A1188" s="806" t="s">
        <v>109</v>
      </c>
      <c r="B1188" s="800" t="s">
        <v>130</v>
      </c>
      <c r="C1188" s="800" t="s">
        <v>130</v>
      </c>
      <c r="D1188" s="800" t="s">
        <v>16784</v>
      </c>
      <c r="E1188" s="801">
        <v>43067</v>
      </c>
      <c r="F1188" s="800" t="s">
        <v>9981</v>
      </c>
      <c r="G1188" s="800" t="s">
        <v>16785</v>
      </c>
      <c r="H1188" s="800" t="s">
        <v>10404</v>
      </c>
      <c r="I1188" s="800" t="s">
        <v>10404</v>
      </c>
      <c r="J1188" s="800" t="s">
        <v>10405</v>
      </c>
      <c r="K1188" s="800">
        <v>1</v>
      </c>
      <c r="L1188" s="802" t="s">
        <v>10398</v>
      </c>
      <c r="M1188" s="802" t="s">
        <v>16786</v>
      </c>
      <c r="N1188" s="802" t="s">
        <v>16787</v>
      </c>
      <c r="O1188" s="802" t="s">
        <v>16788</v>
      </c>
      <c r="P1188" s="807" t="s">
        <v>16789</v>
      </c>
    </row>
    <row r="1189" spans="1:16" s="341" customFormat="1" ht="25.5" customHeight="1">
      <c r="A1189" s="806" t="s">
        <v>109</v>
      </c>
      <c r="B1189" s="800" t="s">
        <v>130</v>
      </c>
      <c r="C1189" s="800" t="s">
        <v>130</v>
      </c>
      <c r="D1189" s="800" t="s">
        <v>16790</v>
      </c>
      <c r="E1189" s="801">
        <v>43067</v>
      </c>
      <c r="F1189" s="800" t="s">
        <v>2885</v>
      </c>
      <c r="G1189" s="800" t="s">
        <v>16791</v>
      </c>
      <c r="H1189" s="800" t="s">
        <v>10404</v>
      </c>
      <c r="I1189" s="800" t="s">
        <v>10404</v>
      </c>
      <c r="J1189" s="800" t="s">
        <v>10426</v>
      </c>
      <c r="K1189" s="800">
        <v>1</v>
      </c>
      <c r="L1189" s="802" t="s">
        <v>10398</v>
      </c>
      <c r="M1189" s="802" t="s">
        <v>16792</v>
      </c>
      <c r="N1189" s="802" t="s">
        <v>16793</v>
      </c>
      <c r="O1189" s="802" t="s">
        <v>16794</v>
      </c>
      <c r="P1189" s="807" t="s">
        <v>16795</v>
      </c>
    </row>
    <row r="1190" spans="1:16" s="341" customFormat="1" ht="25.5" customHeight="1">
      <c r="A1190" s="806" t="s">
        <v>109</v>
      </c>
      <c r="B1190" s="800" t="s">
        <v>130</v>
      </c>
      <c r="C1190" s="800" t="s">
        <v>130</v>
      </c>
      <c r="D1190" s="800" t="s">
        <v>16796</v>
      </c>
      <c r="E1190" s="801">
        <v>43067</v>
      </c>
      <c r="F1190" s="800" t="s">
        <v>135</v>
      </c>
      <c r="G1190" s="800" t="s">
        <v>16797</v>
      </c>
      <c r="H1190" s="800" t="s">
        <v>10396</v>
      </c>
      <c r="I1190" s="800" t="s">
        <v>10396</v>
      </c>
      <c r="J1190" s="800" t="s">
        <v>10447</v>
      </c>
      <c r="K1190" s="800">
        <v>1</v>
      </c>
      <c r="L1190" s="802" t="s">
        <v>10398</v>
      </c>
      <c r="M1190" s="802" t="s">
        <v>16798</v>
      </c>
      <c r="N1190" s="802" t="s">
        <v>14219</v>
      </c>
      <c r="O1190" s="802" t="s">
        <v>16799</v>
      </c>
      <c r="P1190" s="807" t="s">
        <v>16800</v>
      </c>
    </row>
    <row r="1191" spans="1:16" s="341" customFormat="1" ht="15" customHeight="1">
      <c r="A1191" s="806" t="s">
        <v>109</v>
      </c>
      <c r="B1191" s="800" t="s">
        <v>130</v>
      </c>
      <c r="C1191" s="800" t="s">
        <v>130</v>
      </c>
      <c r="D1191" s="800" t="s">
        <v>16801</v>
      </c>
      <c r="E1191" s="801">
        <v>43067</v>
      </c>
      <c r="F1191" s="800" t="s">
        <v>3894</v>
      </c>
      <c r="G1191" s="800" t="s">
        <v>16802</v>
      </c>
      <c r="H1191" s="800" t="s">
        <v>10531</v>
      </c>
      <c r="I1191" s="800" t="s">
        <v>10531</v>
      </c>
      <c r="J1191" s="800" t="s">
        <v>10447</v>
      </c>
      <c r="K1191" s="800">
        <v>1</v>
      </c>
      <c r="L1191" s="802" t="s">
        <v>10398</v>
      </c>
      <c r="M1191" s="802" t="s">
        <v>16803</v>
      </c>
      <c r="N1191" s="802" t="s">
        <v>16129</v>
      </c>
      <c r="O1191" s="802" t="s">
        <v>16804</v>
      </c>
      <c r="P1191" s="807" t="s">
        <v>16805</v>
      </c>
    </row>
    <row r="1192" spans="1:16" s="341" customFormat="1" ht="25.5" customHeight="1">
      <c r="A1192" s="806" t="s">
        <v>109</v>
      </c>
      <c r="B1192" s="800" t="s">
        <v>130</v>
      </c>
      <c r="C1192" s="800" t="s">
        <v>130</v>
      </c>
      <c r="D1192" s="800" t="s">
        <v>16806</v>
      </c>
      <c r="E1192" s="801">
        <v>43067</v>
      </c>
      <c r="F1192" s="800" t="s">
        <v>135</v>
      </c>
      <c r="G1192" s="800" t="s">
        <v>16807</v>
      </c>
      <c r="H1192" s="800" t="s">
        <v>10396</v>
      </c>
      <c r="I1192" s="800" t="s">
        <v>10396</v>
      </c>
      <c r="J1192" s="800" t="s">
        <v>10447</v>
      </c>
      <c r="K1192" s="800">
        <v>1</v>
      </c>
      <c r="L1192" s="802" t="s">
        <v>10398</v>
      </c>
      <c r="M1192" s="802" t="s">
        <v>16808</v>
      </c>
      <c r="N1192" s="802" t="s">
        <v>16809</v>
      </c>
      <c r="O1192" s="802" t="s">
        <v>16810</v>
      </c>
      <c r="P1192" s="807" t="s">
        <v>16811</v>
      </c>
    </row>
    <row r="1193" spans="1:16" s="341" customFormat="1" ht="25.5">
      <c r="A1193" s="806" t="s">
        <v>109</v>
      </c>
      <c r="B1193" s="800" t="s">
        <v>130</v>
      </c>
      <c r="C1193" s="800" t="s">
        <v>130</v>
      </c>
      <c r="D1193" s="800" t="s">
        <v>16812</v>
      </c>
      <c r="E1193" s="801">
        <v>43067</v>
      </c>
      <c r="F1193" s="800" t="s">
        <v>2885</v>
      </c>
      <c r="G1193" s="800" t="s">
        <v>16813</v>
      </c>
      <c r="H1193" s="800" t="s">
        <v>10396</v>
      </c>
      <c r="I1193" s="800" t="s">
        <v>10396</v>
      </c>
      <c r="J1193" s="800" t="s">
        <v>10447</v>
      </c>
      <c r="K1193" s="800">
        <v>1</v>
      </c>
      <c r="L1193" s="802" t="s">
        <v>10398</v>
      </c>
      <c r="M1193" s="802" t="s">
        <v>16814</v>
      </c>
      <c r="N1193" s="802" t="s">
        <v>12181</v>
      </c>
      <c r="O1193" s="802" t="s">
        <v>16815</v>
      </c>
      <c r="P1193" s="807" t="s">
        <v>16816</v>
      </c>
    </row>
    <row r="1194" spans="1:16" s="341" customFormat="1" ht="15" customHeight="1">
      <c r="A1194" s="806" t="s">
        <v>109</v>
      </c>
      <c r="B1194" s="800" t="s">
        <v>130</v>
      </c>
      <c r="C1194" s="800" t="s">
        <v>130</v>
      </c>
      <c r="D1194" s="800" t="s">
        <v>16817</v>
      </c>
      <c r="E1194" s="801">
        <v>43067</v>
      </c>
      <c r="F1194" s="800" t="s">
        <v>16818</v>
      </c>
      <c r="G1194" s="800" t="s">
        <v>16819</v>
      </c>
      <c r="H1194" s="800" t="s">
        <v>10433</v>
      </c>
      <c r="I1194" s="800" t="s">
        <v>10433</v>
      </c>
      <c r="J1194" s="800" t="s">
        <v>10447</v>
      </c>
      <c r="K1194" s="800">
        <v>1</v>
      </c>
      <c r="L1194" s="802" t="s">
        <v>10398</v>
      </c>
      <c r="M1194" s="802" t="s">
        <v>16820</v>
      </c>
      <c r="N1194" s="802" t="s">
        <v>16821</v>
      </c>
      <c r="O1194" s="802" t="s">
        <v>16822</v>
      </c>
      <c r="P1194" s="807" t="s">
        <v>16823</v>
      </c>
    </row>
    <row r="1195" spans="1:16" s="341" customFormat="1" ht="25.5" customHeight="1">
      <c r="A1195" s="806" t="s">
        <v>109</v>
      </c>
      <c r="B1195" s="800" t="s">
        <v>130</v>
      </c>
      <c r="C1195" s="800" t="s">
        <v>130</v>
      </c>
      <c r="D1195" s="800" t="s">
        <v>16824</v>
      </c>
      <c r="E1195" s="801">
        <v>43068</v>
      </c>
      <c r="F1195" s="800" t="s">
        <v>16825</v>
      </c>
      <c r="G1195" s="800" t="s">
        <v>16826</v>
      </c>
      <c r="H1195" s="800" t="s">
        <v>10404</v>
      </c>
      <c r="I1195" s="800" t="s">
        <v>10404</v>
      </c>
      <c r="J1195" s="800" t="s">
        <v>10426</v>
      </c>
      <c r="K1195" s="800">
        <v>1</v>
      </c>
      <c r="L1195" s="802" t="s">
        <v>10398</v>
      </c>
      <c r="M1195" s="802" t="s">
        <v>16827</v>
      </c>
      <c r="N1195" s="802" t="s">
        <v>16828</v>
      </c>
      <c r="O1195" s="802" t="s">
        <v>16829</v>
      </c>
      <c r="P1195" s="807" t="s">
        <v>16830</v>
      </c>
    </row>
    <row r="1196" spans="1:16" s="341" customFormat="1" ht="15" customHeight="1">
      <c r="A1196" s="806" t="s">
        <v>109</v>
      </c>
      <c r="B1196" s="800" t="s">
        <v>130</v>
      </c>
      <c r="C1196" s="800" t="s">
        <v>130</v>
      </c>
      <c r="D1196" s="800" t="s">
        <v>16831</v>
      </c>
      <c r="E1196" s="801">
        <v>43067</v>
      </c>
      <c r="F1196" s="800" t="s">
        <v>16818</v>
      </c>
      <c r="G1196" s="800" t="s">
        <v>16832</v>
      </c>
      <c r="H1196" s="800" t="s">
        <v>10433</v>
      </c>
      <c r="I1196" s="800" t="s">
        <v>10433</v>
      </c>
      <c r="J1196" s="800" t="s">
        <v>10447</v>
      </c>
      <c r="K1196" s="800">
        <v>1</v>
      </c>
      <c r="L1196" s="802" t="s">
        <v>10398</v>
      </c>
      <c r="M1196" s="802" t="s">
        <v>16833</v>
      </c>
      <c r="N1196" s="802" t="s">
        <v>16834</v>
      </c>
      <c r="O1196" s="802" t="s">
        <v>16822</v>
      </c>
      <c r="P1196" s="807" t="s">
        <v>16835</v>
      </c>
    </row>
    <row r="1197" spans="1:16" s="341" customFormat="1" ht="38.25">
      <c r="A1197" s="806" t="s">
        <v>109</v>
      </c>
      <c r="B1197" s="800" t="s">
        <v>130</v>
      </c>
      <c r="C1197" s="800" t="s">
        <v>130</v>
      </c>
      <c r="D1197" s="800" t="s">
        <v>16836</v>
      </c>
      <c r="E1197" s="801">
        <v>43068</v>
      </c>
      <c r="F1197" s="800" t="s">
        <v>16825</v>
      </c>
      <c r="G1197" s="800" t="s">
        <v>16837</v>
      </c>
      <c r="H1197" s="800" t="s">
        <v>10404</v>
      </c>
      <c r="I1197" s="800" t="s">
        <v>10404</v>
      </c>
      <c r="J1197" s="800" t="s">
        <v>10426</v>
      </c>
      <c r="K1197" s="800">
        <v>1</v>
      </c>
      <c r="L1197" s="802" t="s">
        <v>10398</v>
      </c>
      <c r="M1197" s="802" t="s">
        <v>16838</v>
      </c>
      <c r="N1197" s="802" t="s">
        <v>16839</v>
      </c>
      <c r="O1197" s="802" t="s">
        <v>16840</v>
      </c>
      <c r="P1197" s="807" t="s">
        <v>32</v>
      </c>
    </row>
    <row r="1198" spans="1:16" s="341" customFormat="1" ht="38.25">
      <c r="A1198" s="806" t="s">
        <v>109</v>
      </c>
      <c r="B1198" s="800" t="s">
        <v>130</v>
      </c>
      <c r="C1198" s="800" t="s">
        <v>130</v>
      </c>
      <c r="D1198" s="800" t="s">
        <v>16841</v>
      </c>
      <c r="E1198" s="801">
        <v>43067</v>
      </c>
      <c r="F1198" s="800" t="s">
        <v>16818</v>
      </c>
      <c r="G1198" s="800" t="s">
        <v>16832</v>
      </c>
      <c r="H1198" s="800" t="s">
        <v>10433</v>
      </c>
      <c r="I1198" s="800" t="s">
        <v>10433</v>
      </c>
      <c r="J1198" s="800" t="s">
        <v>10447</v>
      </c>
      <c r="K1198" s="800">
        <v>1</v>
      </c>
      <c r="L1198" s="802" t="s">
        <v>10398</v>
      </c>
      <c r="M1198" s="802" t="s">
        <v>16842</v>
      </c>
      <c r="N1198" s="802" t="s">
        <v>16843</v>
      </c>
      <c r="O1198" s="802" t="s">
        <v>16822</v>
      </c>
      <c r="P1198" s="807" t="s">
        <v>32</v>
      </c>
    </row>
    <row r="1199" spans="1:16" s="341" customFormat="1" ht="25.5" customHeight="1">
      <c r="A1199" s="806" t="s">
        <v>109</v>
      </c>
      <c r="B1199" s="800" t="s">
        <v>130</v>
      </c>
      <c r="C1199" s="800" t="s">
        <v>130</v>
      </c>
      <c r="D1199" s="800" t="s">
        <v>16844</v>
      </c>
      <c r="E1199" s="801">
        <v>43068</v>
      </c>
      <c r="F1199" s="800" t="s">
        <v>16825</v>
      </c>
      <c r="G1199" s="800" t="s">
        <v>16845</v>
      </c>
      <c r="H1199" s="800" t="s">
        <v>10396</v>
      </c>
      <c r="I1199" s="800" t="s">
        <v>10396</v>
      </c>
      <c r="J1199" s="800" t="s">
        <v>10447</v>
      </c>
      <c r="K1199" s="800">
        <v>1</v>
      </c>
      <c r="L1199" s="802" t="s">
        <v>10398</v>
      </c>
      <c r="M1199" s="802" t="s">
        <v>16846</v>
      </c>
      <c r="N1199" s="802" t="s">
        <v>16847</v>
      </c>
      <c r="O1199" s="802" t="s">
        <v>16848</v>
      </c>
      <c r="P1199" s="807" t="s">
        <v>16849</v>
      </c>
    </row>
    <row r="1200" spans="1:16" s="341" customFormat="1" ht="25.5" customHeight="1">
      <c r="A1200" s="806" t="s">
        <v>109</v>
      </c>
      <c r="B1200" s="800" t="s">
        <v>130</v>
      </c>
      <c r="C1200" s="800" t="s">
        <v>130</v>
      </c>
      <c r="D1200" s="800" t="s">
        <v>16850</v>
      </c>
      <c r="E1200" s="801">
        <v>43068</v>
      </c>
      <c r="F1200" s="800" t="s">
        <v>16825</v>
      </c>
      <c r="G1200" s="800" t="s">
        <v>16851</v>
      </c>
      <c r="H1200" s="800" t="s">
        <v>10404</v>
      </c>
      <c r="I1200" s="800" t="s">
        <v>10404</v>
      </c>
      <c r="J1200" s="800" t="s">
        <v>10447</v>
      </c>
      <c r="K1200" s="800">
        <v>1</v>
      </c>
      <c r="L1200" s="802" t="s">
        <v>10398</v>
      </c>
      <c r="M1200" s="802" t="s">
        <v>16852</v>
      </c>
      <c r="N1200" s="802" t="s">
        <v>16853</v>
      </c>
      <c r="O1200" s="802" t="s">
        <v>16854</v>
      </c>
      <c r="P1200" s="807" t="s">
        <v>16855</v>
      </c>
    </row>
    <row r="1201" spans="1:16" s="341" customFormat="1" ht="38.25">
      <c r="A1201" s="806" t="s">
        <v>109</v>
      </c>
      <c r="B1201" s="800" t="s">
        <v>130</v>
      </c>
      <c r="C1201" s="800" t="s">
        <v>130</v>
      </c>
      <c r="D1201" s="800" t="s">
        <v>16856</v>
      </c>
      <c r="E1201" s="801">
        <v>43067</v>
      </c>
      <c r="F1201" s="800" t="s">
        <v>16818</v>
      </c>
      <c r="G1201" s="800" t="s">
        <v>16857</v>
      </c>
      <c r="H1201" s="800" t="s">
        <v>10433</v>
      </c>
      <c r="I1201" s="800" t="s">
        <v>10433</v>
      </c>
      <c r="J1201" s="800" t="s">
        <v>10447</v>
      </c>
      <c r="K1201" s="800">
        <v>1</v>
      </c>
      <c r="L1201" s="802" t="s">
        <v>10398</v>
      </c>
      <c r="M1201" s="802" t="s">
        <v>16858</v>
      </c>
      <c r="N1201" s="802" t="s">
        <v>16859</v>
      </c>
      <c r="O1201" s="802" t="s">
        <v>16822</v>
      </c>
      <c r="P1201" s="807" t="s">
        <v>32</v>
      </c>
    </row>
    <row r="1202" spans="1:16" s="341" customFormat="1" ht="25.5" customHeight="1">
      <c r="A1202" s="806" t="s">
        <v>109</v>
      </c>
      <c r="B1202" s="800" t="s">
        <v>130</v>
      </c>
      <c r="C1202" s="800" t="s">
        <v>130</v>
      </c>
      <c r="D1202" s="800" t="s">
        <v>16860</v>
      </c>
      <c r="E1202" s="801">
        <v>43068</v>
      </c>
      <c r="F1202" s="800" t="s">
        <v>16825</v>
      </c>
      <c r="G1202" s="800" t="s">
        <v>16861</v>
      </c>
      <c r="H1202" s="800" t="s">
        <v>10404</v>
      </c>
      <c r="I1202" s="800" t="s">
        <v>10404</v>
      </c>
      <c r="J1202" s="800" t="s">
        <v>10447</v>
      </c>
      <c r="K1202" s="800">
        <v>1</v>
      </c>
      <c r="L1202" s="802" t="s">
        <v>10398</v>
      </c>
      <c r="M1202" s="802" t="s">
        <v>16862</v>
      </c>
      <c r="N1202" s="802" t="s">
        <v>16863</v>
      </c>
      <c r="O1202" s="802" t="s">
        <v>16864</v>
      </c>
      <c r="P1202" s="807" t="s">
        <v>16865</v>
      </c>
    </row>
    <row r="1203" spans="1:16" s="341" customFormat="1" ht="25.5">
      <c r="A1203" s="806" t="s">
        <v>109</v>
      </c>
      <c r="B1203" s="800" t="s">
        <v>130</v>
      </c>
      <c r="C1203" s="800" t="s">
        <v>130</v>
      </c>
      <c r="D1203" s="800" t="s">
        <v>16866</v>
      </c>
      <c r="E1203" s="801">
        <v>43070</v>
      </c>
      <c r="F1203" s="800" t="s">
        <v>16867</v>
      </c>
      <c r="G1203" s="800" t="s">
        <v>16868</v>
      </c>
      <c r="H1203" s="800" t="s">
        <v>10396</v>
      </c>
      <c r="I1203" s="800" t="s">
        <v>10396</v>
      </c>
      <c r="J1203" s="800" t="s">
        <v>4342</v>
      </c>
      <c r="K1203" s="800">
        <v>1</v>
      </c>
      <c r="L1203" s="802" t="s">
        <v>10398</v>
      </c>
      <c r="M1203" s="802" t="s">
        <v>16869</v>
      </c>
      <c r="N1203" s="802" t="s">
        <v>16870</v>
      </c>
      <c r="O1203" s="802" t="s">
        <v>16871</v>
      </c>
      <c r="P1203" s="807" t="s">
        <v>16872</v>
      </c>
    </row>
    <row r="1204" spans="1:16" s="341" customFormat="1" ht="25.5" customHeight="1">
      <c r="A1204" s="806" t="s">
        <v>109</v>
      </c>
      <c r="B1204" s="800" t="s">
        <v>130</v>
      </c>
      <c r="C1204" s="800" t="s">
        <v>130</v>
      </c>
      <c r="D1204" s="800" t="s">
        <v>16873</v>
      </c>
      <c r="E1204" s="801">
        <v>43067</v>
      </c>
      <c r="F1204" s="800" t="s">
        <v>16818</v>
      </c>
      <c r="G1204" s="800" t="s">
        <v>16874</v>
      </c>
      <c r="H1204" s="800" t="s">
        <v>10433</v>
      </c>
      <c r="I1204" s="800" t="s">
        <v>10433</v>
      </c>
      <c r="J1204" s="800" t="s">
        <v>10447</v>
      </c>
      <c r="K1204" s="800">
        <v>1</v>
      </c>
      <c r="L1204" s="802" t="s">
        <v>10398</v>
      </c>
      <c r="M1204" s="802" t="s">
        <v>16875</v>
      </c>
      <c r="N1204" s="802" t="s">
        <v>16876</v>
      </c>
      <c r="O1204" s="802" t="s">
        <v>16877</v>
      </c>
      <c r="P1204" s="807" t="s">
        <v>32</v>
      </c>
    </row>
    <row r="1205" spans="1:16" s="341" customFormat="1" ht="25.5" customHeight="1">
      <c r="A1205" s="806" t="s">
        <v>109</v>
      </c>
      <c r="B1205" s="800" t="s">
        <v>130</v>
      </c>
      <c r="C1205" s="800" t="s">
        <v>130</v>
      </c>
      <c r="D1205" s="800" t="s">
        <v>16878</v>
      </c>
      <c r="E1205" s="801">
        <v>43068</v>
      </c>
      <c r="F1205" s="800" t="s">
        <v>16879</v>
      </c>
      <c r="G1205" s="800" t="s">
        <v>16880</v>
      </c>
      <c r="H1205" s="800" t="s">
        <v>10404</v>
      </c>
      <c r="I1205" s="800" t="s">
        <v>10404</v>
      </c>
      <c r="J1205" s="800" t="s">
        <v>10426</v>
      </c>
      <c r="K1205" s="800">
        <v>1</v>
      </c>
      <c r="L1205" s="802" t="s">
        <v>10398</v>
      </c>
      <c r="M1205" s="802" t="s">
        <v>16881</v>
      </c>
      <c r="N1205" s="802" t="s">
        <v>16882</v>
      </c>
      <c r="O1205" s="802" t="s">
        <v>16864</v>
      </c>
      <c r="P1205" s="807" t="s">
        <v>16883</v>
      </c>
    </row>
    <row r="1206" spans="1:16" s="341" customFormat="1" ht="25.5" customHeight="1">
      <c r="A1206" s="806" t="s">
        <v>109</v>
      </c>
      <c r="B1206" s="800" t="s">
        <v>130</v>
      </c>
      <c r="C1206" s="800" t="s">
        <v>130</v>
      </c>
      <c r="D1206" s="800" t="s">
        <v>16884</v>
      </c>
      <c r="E1206" s="801">
        <v>43067</v>
      </c>
      <c r="F1206" s="800" t="s">
        <v>16818</v>
      </c>
      <c r="G1206" s="800" t="s">
        <v>16885</v>
      </c>
      <c r="H1206" s="800" t="s">
        <v>10433</v>
      </c>
      <c r="I1206" s="800" t="s">
        <v>10433</v>
      </c>
      <c r="J1206" s="800" t="s">
        <v>10447</v>
      </c>
      <c r="K1206" s="800">
        <v>1</v>
      </c>
      <c r="L1206" s="802" t="s">
        <v>10398</v>
      </c>
      <c r="M1206" s="802" t="s">
        <v>16886</v>
      </c>
      <c r="N1206" s="802" t="s">
        <v>16887</v>
      </c>
      <c r="O1206" s="802" t="s">
        <v>16888</v>
      </c>
      <c r="P1206" s="807" t="s">
        <v>16889</v>
      </c>
    </row>
    <row r="1207" spans="1:16" s="341" customFormat="1" ht="25.5" customHeight="1">
      <c r="A1207" s="806" t="s">
        <v>109</v>
      </c>
      <c r="B1207" s="800" t="s">
        <v>130</v>
      </c>
      <c r="C1207" s="800" t="s">
        <v>130</v>
      </c>
      <c r="D1207" s="800" t="s">
        <v>16890</v>
      </c>
      <c r="E1207" s="801">
        <v>43068</v>
      </c>
      <c r="F1207" s="800" t="s">
        <v>16825</v>
      </c>
      <c r="G1207" s="800" t="s">
        <v>16891</v>
      </c>
      <c r="H1207" s="800" t="s">
        <v>10404</v>
      </c>
      <c r="I1207" s="800" t="s">
        <v>10404</v>
      </c>
      <c r="J1207" s="800" t="s">
        <v>10426</v>
      </c>
      <c r="K1207" s="800">
        <v>1</v>
      </c>
      <c r="L1207" s="802" t="s">
        <v>10398</v>
      </c>
      <c r="M1207" s="802" t="s">
        <v>16892</v>
      </c>
      <c r="N1207" s="802" t="s">
        <v>16893</v>
      </c>
      <c r="O1207" s="802" t="s">
        <v>16894</v>
      </c>
      <c r="P1207" s="807" t="s">
        <v>16895</v>
      </c>
    </row>
    <row r="1208" spans="1:16" s="341" customFormat="1" ht="25.5" customHeight="1">
      <c r="A1208" s="806" t="s">
        <v>109</v>
      </c>
      <c r="B1208" s="800" t="s">
        <v>130</v>
      </c>
      <c r="C1208" s="800" t="s">
        <v>130</v>
      </c>
      <c r="D1208" s="800" t="s">
        <v>16896</v>
      </c>
      <c r="E1208" s="801">
        <v>43068</v>
      </c>
      <c r="F1208" s="800" t="s">
        <v>16825</v>
      </c>
      <c r="G1208" s="800" t="s">
        <v>16897</v>
      </c>
      <c r="H1208" s="800" t="s">
        <v>10404</v>
      </c>
      <c r="I1208" s="800" t="s">
        <v>10404</v>
      </c>
      <c r="J1208" s="800" t="s">
        <v>10447</v>
      </c>
      <c r="K1208" s="800">
        <v>1</v>
      </c>
      <c r="L1208" s="802" t="s">
        <v>10398</v>
      </c>
      <c r="M1208" s="802" t="s">
        <v>16898</v>
      </c>
      <c r="N1208" s="802" t="s">
        <v>16899</v>
      </c>
      <c r="O1208" s="802" t="s">
        <v>16900</v>
      </c>
      <c r="P1208" s="807" t="s">
        <v>16901</v>
      </c>
    </row>
    <row r="1209" spans="1:16" s="341" customFormat="1" ht="15" customHeight="1">
      <c r="A1209" s="806" t="s">
        <v>109</v>
      </c>
      <c r="B1209" s="800" t="s">
        <v>130</v>
      </c>
      <c r="C1209" s="800" t="s">
        <v>130</v>
      </c>
      <c r="D1209" s="800" t="s">
        <v>16902</v>
      </c>
      <c r="E1209" s="801">
        <v>43068</v>
      </c>
      <c r="F1209" s="800" t="s">
        <v>16825</v>
      </c>
      <c r="G1209" s="800" t="s">
        <v>16903</v>
      </c>
      <c r="H1209" s="800" t="s">
        <v>10531</v>
      </c>
      <c r="I1209" s="800" t="s">
        <v>10531</v>
      </c>
      <c r="J1209" s="800" t="s">
        <v>10447</v>
      </c>
      <c r="K1209" s="800">
        <v>1</v>
      </c>
      <c r="L1209" s="802" t="s">
        <v>10398</v>
      </c>
      <c r="M1209" s="802" t="s">
        <v>16904</v>
      </c>
      <c r="N1209" s="802" t="s">
        <v>16905</v>
      </c>
      <c r="O1209" s="802" t="s">
        <v>16906</v>
      </c>
      <c r="P1209" s="807" t="s">
        <v>16907</v>
      </c>
    </row>
    <row r="1210" spans="1:16" s="341" customFormat="1" ht="25.5" customHeight="1">
      <c r="A1210" s="806" t="s">
        <v>109</v>
      </c>
      <c r="B1210" s="800" t="s">
        <v>130</v>
      </c>
      <c r="C1210" s="800" t="s">
        <v>130</v>
      </c>
      <c r="D1210" s="800" t="s">
        <v>16908</v>
      </c>
      <c r="E1210" s="801">
        <v>43068</v>
      </c>
      <c r="F1210" s="800" t="s">
        <v>16825</v>
      </c>
      <c r="G1210" s="800" t="s">
        <v>16909</v>
      </c>
      <c r="H1210" s="800" t="s">
        <v>10396</v>
      </c>
      <c r="I1210" s="800" t="s">
        <v>10396</v>
      </c>
      <c r="J1210" s="800" t="s">
        <v>10447</v>
      </c>
      <c r="K1210" s="800">
        <v>1</v>
      </c>
      <c r="L1210" s="802" t="s">
        <v>10398</v>
      </c>
      <c r="M1210" s="802" t="s">
        <v>16910</v>
      </c>
      <c r="N1210" s="802" t="s">
        <v>16911</v>
      </c>
      <c r="O1210" s="802" t="s">
        <v>16912</v>
      </c>
      <c r="P1210" s="807" t="s">
        <v>16913</v>
      </c>
    </row>
    <row r="1211" spans="1:16" s="341" customFormat="1" ht="25.5" customHeight="1">
      <c r="A1211" s="806" t="s">
        <v>109</v>
      </c>
      <c r="B1211" s="800" t="s">
        <v>130</v>
      </c>
      <c r="C1211" s="800" t="s">
        <v>130</v>
      </c>
      <c r="D1211" s="800" t="s">
        <v>16914</v>
      </c>
      <c r="E1211" s="801">
        <v>43068</v>
      </c>
      <c r="F1211" s="800" t="s">
        <v>16825</v>
      </c>
      <c r="G1211" s="800" t="s">
        <v>16915</v>
      </c>
      <c r="H1211" s="800" t="s">
        <v>10404</v>
      </c>
      <c r="I1211" s="800" t="s">
        <v>10404</v>
      </c>
      <c r="J1211" s="800" t="s">
        <v>10426</v>
      </c>
      <c r="K1211" s="800">
        <v>1</v>
      </c>
      <c r="L1211" s="802" t="s">
        <v>10398</v>
      </c>
      <c r="M1211" s="802" t="s">
        <v>16916</v>
      </c>
      <c r="N1211" s="802" t="s">
        <v>16917</v>
      </c>
      <c r="O1211" s="802" t="s">
        <v>16918</v>
      </c>
      <c r="P1211" s="807" t="s">
        <v>16643</v>
      </c>
    </row>
    <row r="1212" spans="1:16" s="341" customFormat="1" ht="15" customHeight="1">
      <c r="A1212" s="806" t="s">
        <v>109</v>
      </c>
      <c r="B1212" s="800" t="s">
        <v>130</v>
      </c>
      <c r="C1212" s="800" t="s">
        <v>130</v>
      </c>
      <c r="D1212" s="800" t="s">
        <v>16919</v>
      </c>
      <c r="E1212" s="801">
        <v>43068</v>
      </c>
      <c r="F1212" s="800" t="s">
        <v>16825</v>
      </c>
      <c r="G1212" s="800" t="s">
        <v>16920</v>
      </c>
      <c r="H1212" s="800" t="s">
        <v>10404</v>
      </c>
      <c r="I1212" s="800" t="s">
        <v>10404</v>
      </c>
      <c r="J1212" s="800" t="s">
        <v>10426</v>
      </c>
      <c r="K1212" s="800">
        <v>1</v>
      </c>
      <c r="L1212" s="802" t="s">
        <v>10398</v>
      </c>
      <c r="M1212" s="802" t="s">
        <v>16921</v>
      </c>
      <c r="N1212" s="802" t="s">
        <v>11945</v>
      </c>
      <c r="O1212" s="802" t="s">
        <v>16922</v>
      </c>
      <c r="P1212" s="807" t="s">
        <v>16923</v>
      </c>
    </row>
    <row r="1213" spans="1:16" s="341" customFormat="1" ht="38.25" customHeight="1">
      <c r="A1213" s="806" t="s">
        <v>109</v>
      </c>
      <c r="B1213" s="800" t="s">
        <v>130</v>
      </c>
      <c r="C1213" s="800" t="s">
        <v>130</v>
      </c>
      <c r="D1213" s="800" t="s">
        <v>16924</v>
      </c>
      <c r="E1213" s="801">
        <v>43068</v>
      </c>
      <c r="F1213" s="800" t="s">
        <v>16825</v>
      </c>
      <c r="G1213" s="800" t="s">
        <v>16925</v>
      </c>
      <c r="H1213" s="800" t="s">
        <v>10404</v>
      </c>
      <c r="I1213" s="800" t="s">
        <v>10404</v>
      </c>
      <c r="J1213" s="800" t="s">
        <v>10426</v>
      </c>
      <c r="K1213" s="800">
        <v>1</v>
      </c>
      <c r="L1213" s="802" t="s">
        <v>10398</v>
      </c>
      <c r="M1213" s="802" t="s">
        <v>16926</v>
      </c>
      <c r="N1213" s="802" t="s">
        <v>16927</v>
      </c>
      <c r="O1213" s="802" t="s">
        <v>16928</v>
      </c>
      <c r="P1213" s="807" t="s">
        <v>16929</v>
      </c>
    </row>
    <row r="1214" spans="1:16" s="341" customFormat="1" ht="25.5" customHeight="1">
      <c r="A1214" s="806" t="s">
        <v>109</v>
      </c>
      <c r="B1214" s="800" t="s">
        <v>130</v>
      </c>
      <c r="C1214" s="800" t="s">
        <v>130</v>
      </c>
      <c r="D1214" s="800" t="s">
        <v>16930</v>
      </c>
      <c r="E1214" s="801">
        <v>43068</v>
      </c>
      <c r="F1214" s="800" t="s">
        <v>16825</v>
      </c>
      <c r="G1214" s="800" t="s">
        <v>16931</v>
      </c>
      <c r="H1214" s="800" t="s">
        <v>10404</v>
      </c>
      <c r="I1214" s="800" t="s">
        <v>10404</v>
      </c>
      <c r="J1214" s="800" t="s">
        <v>10426</v>
      </c>
      <c r="K1214" s="800">
        <v>1</v>
      </c>
      <c r="L1214" s="802" t="s">
        <v>10398</v>
      </c>
      <c r="M1214" s="802" t="s">
        <v>16932</v>
      </c>
      <c r="N1214" s="802" t="s">
        <v>16933</v>
      </c>
      <c r="O1214" s="802" t="s">
        <v>16934</v>
      </c>
      <c r="P1214" s="807" t="s">
        <v>16935</v>
      </c>
    </row>
    <row r="1215" spans="1:16" s="341" customFormat="1" ht="25.5" customHeight="1">
      <c r="A1215" s="806" t="s">
        <v>109</v>
      </c>
      <c r="B1215" s="800" t="s">
        <v>130</v>
      </c>
      <c r="C1215" s="800" t="s">
        <v>130</v>
      </c>
      <c r="D1215" s="800" t="s">
        <v>16936</v>
      </c>
      <c r="E1215" s="801">
        <v>43068</v>
      </c>
      <c r="F1215" s="800" t="s">
        <v>16825</v>
      </c>
      <c r="G1215" s="800" t="s">
        <v>16937</v>
      </c>
      <c r="H1215" s="800" t="s">
        <v>10404</v>
      </c>
      <c r="I1215" s="800" t="s">
        <v>10404</v>
      </c>
      <c r="J1215" s="800" t="s">
        <v>10426</v>
      </c>
      <c r="K1215" s="800">
        <v>1</v>
      </c>
      <c r="L1215" s="802" t="s">
        <v>10398</v>
      </c>
      <c r="M1215" s="802" t="s">
        <v>16938</v>
      </c>
      <c r="N1215" s="802" t="s">
        <v>16085</v>
      </c>
      <c r="O1215" s="802" t="s">
        <v>16939</v>
      </c>
      <c r="P1215" s="807" t="s">
        <v>16940</v>
      </c>
    </row>
    <row r="1216" spans="1:16" s="341" customFormat="1" ht="25.5" customHeight="1">
      <c r="A1216" s="806" t="s">
        <v>109</v>
      </c>
      <c r="B1216" s="800" t="s">
        <v>130</v>
      </c>
      <c r="C1216" s="800" t="s">
        <v>130</v>
      </c>
      <c r="D1216" s="800" t="s">
        <v>16941</v>
      </c>
      <c r="E1216" s="801">
        <v>43068</v>
      </c>
      <c r="F1216" s="800" t="s">
        <v>16825</v>
      </c>
      <c r="G1216" s="800" t="s">
        <v>16942</v>
      </c>
      <c r="H1216" s="800" t="s">
        <v>10404</v>
      </c>
      <c r="I1216" s="800" t="s">
        <v>10404</v>
      </c>
      <c r="J1216" s="800" t="s">
        <v>10447</v>
      </c>
      <c r="K1216" s="800">
        <v>1</v>
      </c>
      <c r="L1216" s="802" t="s">
        <v>10398</v>
      </c>
      <c r="M1216" s="802" t="s">
        <v>16943</v>
      </c>
      <c r="N1216" s="802" t="s">
        <v>12229</v>
      </c>
      <c r="O1216" s="802" t="s">
        <v>16944</v>
      </c>
      <c r="P1216" s="807" t="s">
        <v>16945</v>
      </c>
    </row>
    <row r="1217" spans="1:16" s="341" customFormat="1" ht="25.5" customHeight="1">
      <c r="A1217" s="806" t="s">
        <v>109</v>
      </c>
      <c r="B1217" s="800" t="s">
        <v>130</v>
      </c>
      <c r="C1217" s="800" t="s">
        <v>130</v>
      </c>
      <c r="D1217" s="800" t="s">
        <v>16946</v>
      </c>
      <c r="E1217" s="801">
        <v>43020</v>
      </c>
      <c r="F1217" s="800" t="s">
        <v>15800</v>
      </c>
      <c r="G1217" s="800" t="s">
        <v>16947</v>
      </c>
      <c r="H1217" s="800" t="s">
        <v>10433</v>
      </c>
      <c r="I1217" s="800" t="s">
        <v>10433</v>
      </c>
      <c r="J1217" s="800" t="s">
        <v>10447</v>
      </c>
      <c r="K1217" s="800">
        <v>1</v>
      </c>
      <c r="L1217" s="802" t="s">
        <v>10398</v>
      </c>
      <c r="M1217" s="802" t="s">
        <v>16948</v>
      </c>
      <c r="N1217" s="802" t="s">
        <v>16949</v>
      </c>
      <c r="O1217" s="802" t="s">
        <v>16950</v>
      </c>
      <c r="P1217" s="807" t="s">
        <v>16951</v>
      </c>
    </row>
    <row r="1218" spans="1:16" s="341" customFormat="1" ht="25.5" customHeight="1">
      <c r="A1218" s="806" t="s">
        <v>109</v>
      </c>
      <c r="B1218" s="800" t="s">
        <v>130</v>
      </c>
      <c r="C1218" s="800" t="s">
        <v>130</v>
      </c>
      <c r="D1218" s="800" t="s">
        <v>16952</v>
      </c>
      <c r="E1218" s="801">
        <v>43019</v>
      </c>
      <c r="F1218" s="800" t="s">
        <v>15800</v>
      </c>
      <c r="G1218" s="800" t="s">
        <v>16953</v>
      </c>
      <c r="H1218" s="800" t="s">
        <v>10531</v>
      </c>
      <c r="I1218" s="800" t="s">
        <v>10531</v>
      </c>
      <c r="J1218" s="800" t="s">
        <v>10447</v>
      </c>
      <c r="K1218" s="800">
        <v>1</v>
      </c>
      <c r="L1218" s="802" t="s">
        <v>10398</v>
      </c>
      <c r="M1218" s="802" t="s">
        <v>16954</v>
      </c>
      <c r="N1218" s="802" t="s">
        <v>16705</v>
      </c>
      <c r="O1218" s="802" t="s">
        <v>16955</v>
      </c>
      <c r="P1218" s="807" t="s">
        <v>16956</v>
      </c>
    </row>
    <row r="1219" spans="1:16" s="341" customFormat="1" ht="25.5" customHeight="1">
      <c r="A1219" s="806" t="s">
        <v>109</v>
      </c>
      <c r="B1219" s="800" t="s">
        <v>130</v>
      </c>
      <c r="C1219" s="800" t="s">
        <v>130</v>
      </c>
      <c r="D1219" s="800" t="s">
        <v>16957</v>
      </c>
      <c r="E1219" s="801">
        <v>43019</v>
      </c>
      <c r="F1219" s="800" t="s">
        <v>15800</v>
      </c>
      <c r="G1219" s="800" t="s">
        <v>16958</v>
      </c>
      <c r="H1219" s="800" t="s">
        <v>10531</v>
      </c>
      <c r="I1219" s="800" t="s">
        <v>10531</v>
      </c>
      <c r="J1219" s="800" t="s">
        <v>10447</v>
      </c>
      <c r="K1219" s="800">
        <v>1</v>
      </c>
      <c r="L1219" s="802" t="s">
        <v>10398</v>
      </c>
      <c r="M1219" s="802" t="s">
        <v>16959</v>
      </c>
      <c r="N1219" s="802" t="s">
        <v>16960</v>
      </c>
      <c r="O1219" s="802" t="s">
        <v>16961</v>
      </c>
      <c r="P1219" s="807" t="s">
        <v>16962</v>
      </c>
    </row>
    <row r="1220" spans="1:16" s="341" customFormat="1" ht="38.25" customHeight="1">
      <c r="A1220" s="806" t="s">
        <v>109</v>
      </c>
      <c r="B1220" s="800" t="s">
        <v>130</v>
      </c>
      <c r="C1220" s="800" t="s">
        <v>130</v>
      </c>
      <c r="D1220" s="800" t="s">
        <v>16963</v>
      </c>
      <c r="E1220" s="801">
        <v>43021</v>
      </c>
      <c r="F1220" s="800" t="s">
        <v>15751</v>
      </c>
      <c r="G1220" s="800" t="s">
        <v>16964</v>
      </c>
      <c r="H1220" s="800" t="s">
        <v>10433</v>
      </c>
      <c r="I1220" s="800" t="s">
        <v>10433</v>
      </c>
      <c r="J1220" s="800" t="s">
        <v>10447</v>
      </c>
      <c r="K1220" s="800">
        <v>1</v>
      </c>
      <c r="L1220" s="802" t="s">
        <v>10398</v>
      </c>
      <c r="M1220" s="802" t="s">
        <v>16965</v>
      </c>
      <c r="N1220" s="802" t="s">
        <v>16966</v>
      </c>
      <c r="O1220" s="802" t="s">
        <v>16967</v>
      </c>
      <c r="P1220" s="807" t="s">
        <v>16968</v>
      </c>
    </row>
    <row r="1221" spans="1:16" s="341" customFormat="1" ht="25.5" customHeight="1">
      <c r="A1221" s="806" t="s">
        <v>109</v>
      </c>
      <c r="B1221" s="800" t="s">
        <v>130</v>
      </c>
      <c r="C1221" s="800" t="s">
        <v>130</v>
      </c>
      <c r="D1221" s="800" t="s">
        <v>16969</v>
      </c>
      <c r="E1221" s="801">
        <v>43019</v>
      </c>
      <c r="F1221" s="800" t="s">
        <v>15800</v>
      </c>
      <c r="G1221" s="800" t="s">
        <v>16970</v>
      </c>
      <c r="H1221" s="800" t="s">
        <v>10531</v>
      </c>
      <c r="I1221" s="800" t="s">
        <v>10531</v>
      </c>
      <c r="J1221" s="800" t="s">
        <v>10447</v>
      </c>
      <c r="K1221" s="800">
        <v>1</v>
      </c>
      <c r="L1221" s="802" t="s">
        <v>10398</v>
      </c>
      <c r="M1221" s="802" t="s">
        <v>16971</v>
      </c>
      <c r="N1221" s="802" t="s">
        <v>13250</v>
      </c>
      <c r="O1221" s="802" t="s">
        <v>16972</v>
      </c>
      <c r="P1221" s="807" t="s">
        <v>16962</v>
      </c>
    </row>
    <row r="1222" spans="1:16" s="341" customFormat="1" ht="25.5" customHeight="1">
      <c r="A1222" s="806" t="s">
        <v>109</v>
      </c>
      <c r="B1222" s="800" t="s">
        <v>4469</v>
      </c>
      <c r="C1222" s="800" t="s">
        <v>10392</v>
      </c>
      <c r="D1222" s="800" t="s">
        <v>16973</v>
      </c>
      <c r="E1222" s="801">
        <v>43070</v>
      </c>
      <c r="F1222" s="800" t="s">
        <v>16974</v>
      </c>
      <c r="G1222" s="800" t="s">
        <v>16975</v>
      </c>
      <c r="H1222" s="800" t="s">
        <v>10404</v>
      </c>
      <c r="I1222" s="800" t="s">
        <v>10404</v>
      </c>
      <c r="J1222" s="800" t="s">
        <v>10397</v>
      </c>
      <c r="K1222" s="800">
        <v>1</v>
      </c>
      <c r="L1222" s="802" t="s">
        <v>10398</v>
      </c>
      <c r="M1222" s="802" t="s">
        <v>32</v>
      </c>
      <c r="N1222" s="802" t="s">
        <v>16976</v>
      </c>
      <c r="O1222" s="802" t="s">
        <v>16977</v>
      </c>
      <c r="P1222" s="807" t="s">
        <v>16978</v>
      </c>
    </row>
    <row r="1223" spans="1:16" s="341" customFormat="1" ht="25.5" customHeight="1">
      <c r="A1223" s="806" t="s">
        <v>109</v>
      </c>
      <c r="B1223" s="800" t="s">
        <v>4469</v>
      </c>
      <c r="C1223" s="800" t="s">
        <v>4474</v>
      </c>
      <c r="D1223" s="800" t="s">
        <v>16979</v>
      </c>
      <c r="E1223" s="801">
        <v>43062</v>
      </c>
      <c r="F1223" s="800" t="s">
        <v>16980</v>
      </c>
      <c r="G1223" s="800" t="s">
        <v>16981</v>
      </c>
      <c r="H1223" s="800" t="s">
        <v>10404</v>
      </c>
      <c r="I1223" s="800" t="s">
        <v>10404</v>
      </c>
      <c r="J1223" s="800" t="s">
        <v>10405</v>
      </c>
      <c r="K1223" s="800">
        <v>1</v>
      </c>
      <c r="L1223" s="802" t="s">
        <v>10398</v>
      </c>
      <c r="M1223" s="802" t="s">
        <v>16982</v>
      </c>
      <c r="N1223" s="802" t="s">
        <v>16983</v>
      </c>
      <c r="O1223" s="802" t="s">
        <v>16984</v>
      </c>
      <c r="P1223" s="807" t="s">
        <v>16985</v>
      </c>
    </row>
    <row r="1224" spans="1:16" s="341" customFormat="1" ht="25.5" customHeight="1">
      <c r="A1224" s="806" t="s">
        <v>109</v>
      </c>
      <c r="B1224" s="800" t="s">
        <v>4469</v>
      </c>
      <c r="C1224" s="800" t="s">
        <v>4474</v>
      </c>
      <c r="D1224" s="800" t="s">
        <v>16986</v>
      </c>
      <c r="E1224" s="801">
        <v>43062</v>
      </c>
      <c r="F1224" s="800" t="s">
        <v>16980</v>
      </c>
      <c r="G1224" s="800" t="s">
        <v>16987</v>
      </c>
      <c r="H1224" s="800" t="s">
        <v>10396</v>
      </c>
      <c r="I1224" s="800" t="s">
        <v>10396</v>
      </c>
      <c r="J1224" s="800" t="s">
        <v>10397</v>
      </c>
      <c r="K1224" s="800">
        <v>1</v>
      </c>
      <c r="L1224" s="802" t="s">
        <v>10398</v>
      </c>
      <c r="M1224" s="802" t="s">
        <v>16988</v>
      </c>
      <c r="N1224" s="802" t="s">
        <v>16989</v>
      </c>
      <c r="O1224" s="802" t="s">
        <v>16990</v>
      </c>
      <c r="P1224" s="807" t="s">
        <v>16991</v>
      </c>
    </row>
    <row r="1225" spans="1:16" s="341" customFormat="1" ht="25.5" customHeight="1">
      <c r="A1225" s="806" t="s">
        <v>109</v>
      </c>
      <c r="B1225" s="800" t="s">
        <v>4469</v>
      </c>
      <c r="C1225" s="800" t="s">
        <v>4474</v>
      </c>
      <c r="D1225" s="800" t="s">
        <v>16992</v>
      </c>
      <c r="E1225" s="801">
        <v>43062</v>
      </c>
      <c r="F1225" s="800" t="s">
        <v>16980</v>
      </c>
      <c r="G1225" s="800" t="s">
        <v>16993</v>
      </c>
      <c r="H1225" s="800" t="s">
        <v>10396</v>
      </c>
      <c r="I1225" s="800" t="s">
        <v>10396</v>
      </c>
      <c r="J1225" s="800" t="s">
        <v>10397</v>
      </c>
      <c r="K1225" s="800">
        <v>1</v>
      </c>
      <c r="L1225" s="802" t="s">
        <v>10398</v>
      </c>
      <c r="M1225" s="802" t="s">
        <v>16994</v>
      </c>
      <c r="N1225" s="802" t="s">
        <v>16995</v>
      </c>
      <c r="O1225" s="802" t="s">
        <v>16996</v>
      </c>
      <c r="P1225" s="807" t="s">
        <v>32</v>
      </c>
    </row>
    <row r="1226" spans="1:16" s="341" customFormat="1" ht="25.5" customHeight="1">
      <c r="A1226" s="806" t="s">
        <v>109</v>
      </c>
      <c r="B1226" s="800" t="s">
        <v>4469</v>
      </c>
      <c r="C1226" s="800" t="s">
        <v>1484</v>
      </c>
      <c r="D1226" s="800" t="s">
        <v>16997</v>
      </c>
      <c r="E1226" s="801">
        <v>43035</v>
      </c>
      <c r="F1226" s="800" t="s">
        <v>6326</v>
      </c>
      <c r="G1226" s="800" t="s">
        <v>16998</v>
      </c>
      <c r="H1226" s="800" t="s">
        <v>10433</v>
      </c>
      <c r="I1226" s="800" t="s">
        <v>10433</v>
      </c>
      <c r="J1226" s="800" t="s">
        <v>4342</v>
      </c>
      <c r="K1226" s="800">
        <v>1</v>
      </c>
      <c r="L1226" s="802" t="s">
        <v>10398</v>
      </c>
      <c r="M1226" s="802" t="s">
        <v>16999</v>
      </c>
      <c r="N1226" s="802" t="s">
        <v>17000</v>
      </c>
      <c r="O1226" s="802" t="s">
        <v>17001</v>
      </c>
      <c r="P1226" s="807" t="s">
        <v>17002</v>
      </c>
    </row>
    <row r="1227" spans="1:16" s="341" customFormat="1" ht="25.5" customHeight="1">
      <c r="A1227" s="806" t="s">
        <v>109</v>
      </c>
      <c r="B1227" s="800" t="s">
        <v>4469</v>
      </c>
      <c r="C1227" s="800" t="s">
        <v>1484</v>
      </c>
      <c r="D1227" s="800" t="s">
        <v>17003</v>
      </c>
      <c r="E1227" s="801">
        <v>43035</v>
      </c>
      <c r="F1227" s="800" t="s">
        <v>6115</v>
      </c>
      <c r="G1227" s="800" t="s">
        <v>17004</v>
      </c>
      <c r="H1227" s="800" t="s">
        <v>10433</v>
      </c>
      <c r="I1227" s="800" t="s">
        <v>10433</v>
      </c>
      <c r="J1227" s="800" t="s">
        <v>4342</v>
      </c>
      <c r="K1227" s="800">
        <v>1</v>
      </c>
      <c r="L1227" s="802" t="s">
        <v>10398</v>
      </c>
      <c r="M1227" s="802" t="s">
        <v>17005</v>
      </c>
      <c r="N1227" s="802" t="s">
        <v>17006</v>
      </c>
      <c r="O1227" s="802" t="s">
        <v>17007</v>
      </c>
      <c r="P1227" s="807" t="s">
        <v>17008</v>
      </c>
    </row>
    <row r="1228" spans="1:16" s="341" customFormat="1" ht="25.5" customHeight="1">
      <c r="A1228" s="806" t="s">
        <v>109</v>
      </c>
      <c r="B1228" s="800" t="s">
        <v>4469</v>
      </c>
      <c r="C1228" s="800" t="s">
        <v>1484</v>
      </c>
      <c r="D1228" s="800" t="s">
        <v>17009</v>
      </c>
      <c r="E1228" s="801">
        <v>43035</v>
      </c>
      <c r="F1228" s="800" t="s">
        <v>17010</v>
      </c>
      <c r="G1228" s="800" t="s">
        <v>17011</v>
      </c>
      <c r="H1228" s="800" t="s">
        <v>10531</v>
      </c>
      <c r="I1228" s="800" t="s">
        <v>10531</v>
      </c>
      <c r="J1228" s="800" t="s">
        <v>10397</v>
      </c>
      <c r="K1228" s="800">
        <v>1</v>
      </c>
      <c r="L1228" s="802" t="s">
        <v>10398</v>
      </c>
      <c r="M1228" s="802" t="s">
        <v>17012</v>
      </c>
      <c r="N1228" s="802" t="s">
        <v>17013</v>
      </c>
      <c r="O1228" s="802" t="s">
        <v>17014</v>
      </c>
      <c r="P1228" s="807" t="s">
        <v>17015</v>
      </c>
    </row>
    <row r="1229" spans="1:16" s="341" customFormat="1" ht="25.5" customHeight="1">
      <c r="A1229" s="806" t="s">
        <v>109</v>
      </c>
      <c r="B1229" s="800" t="s">
        <v>4469</v>
      </c>
      <c r="C1229" s="800" t="s">
        <v>1484</v>
      </c>
      <c r="D1229" s="800" t="s">
        <v>17016</v>
      </c>
      <c r="E1229" s="801">
        <v>43070</v>
      </c>
      <c r="F1229" s="800" t="s">
        <v>32</v>
      </c>
      <c r="G1229" s="800" t="s">
        <v>17017</v>
      </c>
      <c r="H1229" s="800" t="s">
        <v>10396</v>
      </c>
      <c r="I1229" s="800" t="s">
        <v>10396</v>
      </c>
      <c r="J1229" s="800" t="s">
        <v>10397</v>
      </c>
      <c r="K1229" s="800">
        <v>1</v>
      </c>
      <c r="L1229" s="802" t="s">
        <v>10398</v>
      </c>
      <c r="M1229" s="802" t="s">
        <v>17018</v>
      </c>
      <c r="N1229" s="802" t="s">
        <v>17019</v>
      </c>
      <c r="O1229" s="802" t="s">
        <v>17020</v>
      </c>
      <c r="P1229" s="807" t="s">
        <v>17021</v>
      </c>
    </row>
    <row r="1230" spans="1:16" s="341" customFormat="1" ht="15" customHeight="1">
      <c r="A1230" s="806" t="s">
        <v>109</v>
      </c>
      <c r="B1230" s="800" t="s">
        <v>4469</v>
      </c>
      <c r="C1230" s="800" t="s">
        <v>1484</v>
      </c>
      <c r="D1230" s="800" t="s">
        <v>17022</v>
      </c>
      <c r="E1230" s="801">
        <v>43070</v>
      </c>
      <c r="F1230" s="800" t="s">
        <v>17023</v>
      </c>
      <c r="G1230" s="800" t="s">
        <v>17024</v>
      </c>
      <c r="H1230" s="800" t="s">
        <v>10404</v>
      </c>
      <c r="I1230" s="800" t="s">
        <v>10404</v>
      </c>
      <c r="J1230" s="800" t="s">
        <v>10405</v>
      </c>
      <c r="K1230" s="800">
        <v>1</v>
      </c>
      <c r="L1230" s="802" t="s">
        <v>10398</v>
      </c>
      <c r="M1230" s="802" t="s">
        <v>17025</v>
      </c>
      <c r="N1230" s="802" t="s">
        <v>17026</v>
      </c>
      <c r="O1230" s="802" t="s">
        <v>10401</v>
      </c>
      <c r="P1230" s="807" t="s">
        <v>17027</v>
      </c>
    </row>
    <row r="1231" spans="1:16" s="341" customFormat="1" ht="15" customHeight="1">
      <c r="A1231" s="806" t="s">
        <v>109</v>
      </c>
      <c r="B1231" s="800" t="s">
        <v>4469</v>
      </c>
      <c r="C1231" s="800" t="s">
        <v>1484</v>
      </c>
      <c r="D1231" s="800" t="s">
        <v>17028</v>
      </c>
      <c r="E1231" s="801">
        <v>43070</v>
      </c>
      <c r="F1231" s="800" t="s">
        <v>17029</v>
      </c>
      <c r="G1231" s="800" t="s">
        <v>17030</v>
      </c>
      <c r="H1231" s="800" t="s">
        <v>10396</v>
      </c>
      <c r="I1231" s="800" t="s">
        <v>10396</v>
      </c>
      <c r="J1231" s="800" t="s">
        <v>10405</v>
      </c>
      <c r="K1231" s="800">
        <v>1</v>
      </c>
      <c r="L1231" s="802" t="s">
        <v>10398</v>
      </c>
      <c r="M1231" s="802" t="s">
        <v>17031</v>
      </c>
      <c r="N1231" s="802" t="s">
        <v>14542</v>
      </c>
      <c r="O1231" s="802" t="s">
        <v>17032</v>
      </c>
      <c r="P1231" s="807" t="s">
        <v>17033</v>
      </c>
    </row>
    <row r="1232" spans="1:16" s="341" customFormat="1" ht="25.5" customHeight="1">
      <c r="A1232" s="806" t="s">
        <v>109</v>
      </c>
      <c r="B1232" s="800" t="s">
        <v>4469</v>
      </c>
      <c r="C1232" s="800" t="s">
        <v>1484</v>
      </c>
      <c r="D1232" s="800" t="s">
        <v>17034</v>
      </c>
      <c r="E1232" s="801">
        <v>43070</v>
      </c>
      <c r="F1232" s="800" t="s">
        <v>17029</v>
      </c>
      <c r="G1232" s="800" t="s">
        <v>17030</v>
      </c>
      <c r="H1232" s="800" t="s">
        <v>10404</v>
      </c>
      <c r="I1232" s="800" t="s">
        <v>10404</v>
      </c>
      <c r="J1232" s="800" t="s">
        <v>10405</v>
      </c>
      <c r="K1232" s="800">
        <v>1</v>
      </c>
      <c r="L1232" s="802" t="s">
        <v>10398</v>
      </c>
      <c r="M1232" s="802" t="s">
        <v>17035</v>
      </c>
      <c r="N1232" s="802" t="s">
        <v>17036</v>
      </c>
      <c r="O1232" s="802" t="s">
        <v>17037</v>
      </c>
      <c r="P1232" s="807" t="s">
        <v>17038</v>
      </c>
    </row>
    <row r="1233" spans="1:16" s="341" customFormat="1" ht="15" customHeight="1">
      <c r="A1233" s="806" t="s">
        <v>109</v>
      </c>
      <c r="B1233" s="800" t="s">
        <v>4469</v>
      </c>
      <c r="C1233" s="800" t="s">
        <v>1484</v>
      </c>
      <c r="D1233" s="800" t="s">
        <v>17039</v>
      </c>
      <c r="E1233" s="801">
        <v>43070</v>
      </c>
      <c r="F1233" s="800" t="s">
        <v>32</v>
      </c>
      <c r="G1233" s="800" t="s">
        <v>17040</v>
      </c>
      <c r="H1233" s="800" t="s">
        <v>10404</v>
      </c>
      <c r="I1233" s="800" t="s">
        <v>10404</v>
      </c>
      <c r="J1233" s="800" t="s">
        <v>10405</v>
      </c>
      <c r="K1233" s="800">
        <v>1</v>
      </c>
      <c r="L1233" s="802" t="s">
        <v>10398</v>
      </c>
      <c r="M1233" s="802" t="s">
        <v>17041</v>
      </c>
      <c r="N1233" s="802" t="s">
        <v>17042</v>
      </c>
      <c r="O1233" s="802" t="s">
        <v>17043</v>
      </c>
      <c r="P1233" s="807" t="s">
        <v>17044</v>
      </c>
    </row>
    <row r="1234" spans="1:16" s="341" customFormat="1" ht="25.5" customHeight="1">
      <c r="A1234" s="806" t="s">
        <v>109</v>
      </c>
      <c r="B1234" s="800" t="s">
        <v>4469</v>
      </c>
      <c r="C1234" s="800" t="s">
        <v>1484</v>
      </c>
      <c r="D1234" s="800" t="s">
        <v>17045</v>
      </c>
      <c r="E1234" s="801">
        <v>43070</v>
      </c>
      <c r="F1234" s="800" t="s">
        <v>17046</v>
      </c>
      <c r="G1234" s="800" t="s">
        <v>17047</v>
      </c>
      <c r="H1234" s="800" t="s">
        <v>10396</v>
      </c>
      <c r="I1234" s="800" t="s">
        <v>10396</v>
      </c>
      <c r="J1234" s="800" t="s">
        <v>4342</v>
      </c>
      <c r="K1234" s="800">
        <v>1</v>
      </c>
      <c r="L1234" s="802" t="s">
        <v>10398</v>
      </c>
      <c r="M1234" s="802" t="s">
        <v>17048</v>
      </c>
      <c r="N1234" s="802" t="s">
        <v>17049</v>
      </c>
      <c r="O1234" s="802" t="s">
        <v>17037</v>
      </c>
      <c r="P1234" s="807" t="s">
        <v>17050</v>
      </c>
    </row>
    <row r="1235" spans="1:16" s="341" customFormat="1" ht="15" customHeight="1">
      <c r="A1235" s="806" t="s">
        <v>109</v>
      </c>
      <c r="B1235" s="800" t="s">
        <v>4469</v>
      </c>
      <c r="C1235" s="800" t="s">
        <v>1484</v>
      </c>
      <c r="D1235" s="800" t="s">
        <v>17051</v>
      </c>
      <c r="E1235" s="801">
        <v>43070</v>
      </c>
      <c r="F1235" s="800" t="s">
        <v>1570</v>
      </c>
      <c r="G1235" s="800" t="s">
        <v>17052</v>
      </c>
      <c r="H1235" s="800" t="s">
        <v>10396</v>
      </c>
      <c r="I1235" s="800" t="s">
        <v>10396</v>
      </c>
      <c r="J1235" s="800" t="s">
        <v>10397</v>
      </c>
      <c r="K1235" s="800">
        <v>1</v>
      </c>
      <c r="L1235" s="802" t="s">
        <v>10398</v>
      </c>
      <c r="M1235" s="802" t="s">
        <v>17053</v>
      </c>
      <c r="N1235" s="802" t="s">
        <v>17054</v>
      </c>
      <c r="O1235" s="802" t="s">
        <v>17055</v>
      </c>
      <c r="P1235" s="807" t="s">
        <v>17056</v>
      </c>
    </row>
    <row r="1236" spans="1:16" s="341" customFormat="1" ht="15" customHeight="1">
      <c r="A1236" s="806" t="s">
        <v>109</v>
      </c>
      <c r="B1236" s="800" t="s">
        <v>4469</v>
      </c>
      <c r="C1236" s="800" t="s">
        <v>1484</v>
      </c>
      <c r="D1236" s="800" t="s">
        <v>17057</v>
      </c>
      <c r="E1236" s="801">
        <v>43070</v>
      </c>
      <c r="F1236" s="800" t="s">
        <v>1570</v>
      </c>
      <c r="G1236" s="800" t="s">
        <v>17058</v>
      </c>
      <c r="H1236" s="800" t="s">
        <v>10396</v>
      </c>
      <c r="I1236" s="800" t="s">
        <v>10396</v>
      </c>
      <c r="J1236" s="800" t="s">
        <v>10397</v>
      </c>
      <c r="K1236" s="800">
        <v>1</v>
      </c>
      <c r="L1236" s="802" t="s">
        <v>10398</v>
      </c>
      <c r="M1236" s="802" t="s">
        <v>17059</v>
      </c>
      <c r="N1236" s="802" t="s">
        <v>17060</v>
      </c>
      <c r="O1236" s="802" t="s">
        <v>17055</v>
      </c>
      <c r="P1236" s="807" t="s">
        <v>17061</v>
      </c>
    </row>
    <row r="1237" spans="1:16" s="341" customFormat="1" ht="15" customHeight="1">
      <c r="A1237" s="806" t="s">
        <v>109</v>
      </c>
      <c r="B1237" s="800" t="s">
        <v>4469</v>
      </c>
      <c r="C1237" s="800" t="s">
        <v>1484</v>
      </c>
      <c r="D1237" s="800" t="s">
        <v>17062</v>
      </c>
      <c r="E1237" s="801">
        <v>43070</v>
      </c>
      <c r="F1237" s="800" t="s">
        <v>1570</v>
      </c>
      <c r="G1237" s="800" t="s">
        <v>17063</v>
      </c>
      <c r="H1237" s="800" t="s">
        <v>10531</v>
      </c>
      <c r="I1237" s="800" t="s">
        <v>10531</v>
      </c>
      <c r="J1237" s="800" t="s">
        <v>10447</v>
      </c>
      <c r="K1237" s="800">
        <v>1</v>
      </c>
      <c r="L1237" s="802" t="s">
        <v>10398</v>
      </c>
      <c r="M1237" s="802" t="s">
        <v>17064</v>
      </c>
      <c r="N1237" s="802" t="s">
        <v>17065</v>
      </c>
      <c r="O1237" s="802" t="s">
        <v>17066</v>
      </c>
      <c r="P1237" s="807" t="s">
        <v>17067</v>
      </c>
    </row>
    <row r="1238" spans="1:16" s="341" customFormat="1" ht="15" customHeight="1">
      <c r="A1238" s="806" t="s">
        <v>109</v>
      </c>
      <c r="B1238" s="800" t="s">
        <v>4469</v>
      </c>
      <c r="C1238" s="800" t="s">
        <v>1484</v>
      </c>
      <c r="D1238" s="800" t="s">
        <v>17068</v>
      </c>
      <c r="E1238" s="801">
        <v>43070</v>
      </c>
      <c r="F1238" s="800" t="s">
        <v>1570</v>
      </c>
      <c r="G1238" s="800" t="s">
        <v>17069</v>
      </c>
      <c r="H1238" s="800" t="s">
        <v>10531</v>
      </c>
      <c r="I1238" s="800" t="s">
        <v>10531</v>
      </c>
      <c r="J1238" s="800" t="s">
        <v>10397</v>
      </c>
      <c r="K1238" s="800">
        <v>1</v>
      </c>
      <c r="L1238" s="802" t="s">
        <v>10398</v>
      </c>
      <c r="M1238" s="802" t="s">
        <v>17070</v>
      </c>
      <c r="N1238" s="802" t="s">
        <v>17071</v>
      </c>
      <c r="O1238" s="802" t="s">
        <v>17055</v>
      </c>
      <c r="P1238" s="807" t="s">
        <v>17056</v>
      </c>
    </row>
    <row r="1239" spans="1:16" s="341" customFormat="1" ht="15" customHeight="1">
      <c r="A1239" s="806" t="s">
        <v>109</v>
      </c>
      <c r="B1239" s="800" t="s">
        <v>4469</v>
      </c>
      <c r="C1239" s="800" t="s">
        <v>1484</v>
      </c>
      <c r="D1239" s="800" t="s">
        <v>17072</v>
      </c>
      <c r="E1239" s="801">
        <v>43070</v>
      </c>
      <c r="F1239" s="800" t="s">
        <v>17073</v>
      </c>
      <c r="G1239" s="800" t="s">
        <v>17074</v>
      </c>
      <c r="H1239" s="800" t="s">
        <v>10531</v>
      </c>
      <c r="I1239" s="800" t="s">
        <v>10531</v>
      </c>
      <c r="J1239" s="800" t="s">
        <v>10397</v>
      </c>
      <c r="K1239" s="800">
        <v>1</v>
      </c>
      <c r="L1239" s="802" t="s">
        <v>10398</v>
      </c>
      <c r="M1239" s="802" t="s">
        <v>17075</v>
      </c>
      <c r="N1239" s="802" t="s">
        <v>17076</v>
      </c>
      <c r="O1239" s="802" t="s">
        <v>17077</v>
      </c>
      <c r="P1239" s="807" t="s">
        <v>17078</v>
      </c>
    </row>
    <row r="1240" spans="1:16" s="341" customFormat="1" ht="15" customHeight="1">
      <c r="A1240" s="806" t="s">
        <v>109</v>
      </c>
      <c r="B1240" s="800" t="s">
        <v>4469</v>
      </c>
      <c r="C1240" s="800" t="s">
        <v>1484</v>
      </c>
      <c r="D1240" s="800" t="s">
        <v>17079</v>
      </c>
      <c r="E1240" s="801">
        <v>43070</v>
      </c>
      <c r="F1240" s="800" t="s">
        <v>17073</v>
      </c>
      <c r="G1240" s="800" t="s">
        <v>17080</v>
      </c>
      <c r="H1240" s="800" t="s">
        <v>10396</v>
      </c>
      <c r="I1240" s="800" t="s">
        <v>10396</v>
      </c>
      <c r="J1240" s="800" t="s">
        <v>10397</v>
      </c>
      <c r="K1240" s="800">
        <v>1</v>
      </c>
      <c r="L1240" s="802" t="s">
        <v>10398</v>
      </c>
      <c r="M1240" s="802" t="s">
        <v>17081</v>
      </c>
      <c r="N1240" s="802" t="s">
        <v>17082</v>
      </c>
      <c r="O1240" s="802" t="s">
        <v>17083</v>
      </c>
      <c r="P1240" s="807" t="s">
        <v>17084</v>
      </c>
    </row>
    <row r="1241" spans="1:16" s="341" customFormat="1" ht="15" customHeight="1">
      <c r="A1241" s="806" t="s">
        <v>109</v>
      </c>
      <c r="B1241" s="800" t="s">
        <v>4469</v>
      </c>
      <c r="C1241" s="800" t="s">
        <v>1484</v>
      </c>
      <c r="D1241" s="800" t="s">
        <v>17085</v>
      </c>
      <c r="E1241" s="801">
        <v>43070</v>
      </c>
      <c r="F1241" s="800" t="s">
        <v>17086</v>
      </c>
      <c r="G1241" s="800" t="s">
        <v>17087</v>
      </c>
      <c r="H1241" s="800" t="s">
        <v>10404</v>
      </c>
      <c r="I1241" s="800" t="s">
        <v>10404</v>
      </c>
      <c r="J1241" s="800" t="s">
        <v>10405</v>
      </c>
      <c r="K1241" s="800">
        <v>1</v>
      </c>
      <c r="L1241" s="802" t="s">
        <v>10398</v>
      </c>
      <c r="M1241" s="802" t="s">
        <v>17088</v>
      </c>
      <c r="N1241" s="802" t="s">
        <v>17089</v>
      </c>
      <c r="O1241" s="802" t="s">
        <v>17090</v>
      </c>
      <c r="P1241" s="807" t="s">
        <v>17091</v>
      </c>
    </row>
    <row r="1242" spans="1:16" s="341" customFormat="1" ht="15" customHeight="1">
      <c r="A1242" s="806" t="s">
        <v>109</v>
      </c>
      <c r="B1242" s="800" t="s">
        <v>4469</v>
      </c>
      <c r="C1242" s="800" t="s">
        <v>1484</v>
      </c>
      <c r="D1242" s="800" t="s">
        <v>17092</v>
      </c>
      <c r="E1242" s="801">
        <v>43070</v>
      </c>
      <c r="F1242" s="800" t="s">
        <v>17093</v>
      </c>
      <c r="G1242" s="800" t="s">
        <v>17094</v>
      </c>
      <c r="H1242" s="800" t="s">
        <v>10531</v>
      </c>
      <c r="I1242" s="800" t="s">
        <v>10531</v>
      </c>
      <c r="J1242" s="800" t="s">
        <v>10447</v>
      </c>
      <c r="K1242" s="800">
        <v>1</v>
      </c>
      <c r="L1242" s="802" t="s">
        <v>10398</v>
      </c>
      <c r="M1242" s="802" t="s">
        <v>17095</v>
      </c>
      <c r="N1242" s="802" t="s">
        <v>17096</v>
      </c>
      <c r="O1242" s="802" t="s">
        <v>17097</v>
      </c>
      <c r="P1242" s="807" t="s">
        <v>17098</v>
      </c>
    </row>
    <row r="1243" spans="1:16" s="341" customFormat="1" ht="15" customHeight="1">
      <c r="A1243" s="806" t="s">
        <v>109</v>
      </c>
      <c r="B1243" s="800" t="s">
        <v>304</v>
      </c>
      <c r="C1243" s="800" t="s">
        <v>304</v>
      </c>
      <c r="D1243" s="800" t="s">
        <v>17099</v>
      </c>
      <c r="E1243" s="801">
        <v>43042</v>
      </c>
      <c r="F1243" s="800" t="s">
        <v>17100</v>
      </c>
      <c r="G1243" s="800" t="s">
        <v>17101</v>
      </c>
      <c r="H1243" s="800" t="s">
        <v>10404</v>
      </c>
      <c r="I1243" s="800" t="s">
        <v>10404</v>
      </c>
      <c r="J1243" s="800" t="s">
        <v>10405</v>
      </c>
      <c r="K1243" s="800">
        <v>1</v>
      </c>
      <c r="L1243" s="802" t="s">
        <v>10398</v>
      </c>
      <c r="M1243" s="802" t="s">
        <v>17102</v>
      </c>
      <c r="N1243" s="802" t="s">
        <v>17103</v>
      </c>
      <c r="O1243" s="802" t="s">
        <v>17104</v>
      </c>
      <c r="P1243" s="807" t="s">
        <v>17105</v>
      </c>
    </row>
    <row r="1244" spans="1:16" s="341" customFormat="1" ht="25.5" customHeight="1">
      <c r="A1244" s="806" t="s">
        <v>109</v>
      </c>
      <c r="B1244" s="800" t="s">
        <v>304</v>
      </c>
      <c r="C1244" s="800" t="s">
        <v>304</v>
      </c>
      <c r="D1244" s="800" t="s">
        <v>17106</v>
      </c>
      <c r="E1244" s="801">
        <v>43040</v>
      </c>
      <c r="F1244" s="800" t="s">
        <v>17107</v>
      </c>
      <c r="G1244" s="800" t="s">
        <v>17108</v>
      </c>
      <c r="H1244" s="800" t="s">
        <v>10396</v>
      </c>
      <c r="I1244" s="800" t="s">
        <v>10396</v>
      </c>
      <c r="J1244" s="800" t="s">
        <v>10447</v>
      </c>
      <c r="K1244" s="800">
        <v>1</v>
      </c>
      <c r="L1244" s="802" t="s">
        <v>10398</v>
      </c>
      <c r="M1244" s="802" t="s">
        <v>17109</v>
      </c>
      <c r="N1244" s="802" t="s">
        <v>17110</v>
      </c>
      <c r="O1244" s="802" t="s">
        <v>17111</v>
      </c>
      <c r="P1244" s="807" t="s">
        <v>32</v>
      </c>
    </row>
    <row r="1245" spans="1:16" s="341" customFormat="1" ht="25.5" customHeight="1">
      <c r="A1245" s="806" t="s">
        <v>109</v>
      </c>
      <c r="B1245" s="800" t="s">
        <v>304</v>
      </c>
      <c r="C1245" s="800" t="s">
        <v>304</v>
      </c>
      <c r="D1245" s="800" t="s">
        <v>17112</v>
      </c>
      <c r="E1245" s="801">
        <v>43041</v>
      </c>
      <c r="F1245" s="800" t="s">
        <v>17113</v>
      </c>
      <c r="G1245" s="800" t="s">
        <v>17114</v>
      </c>
      <c r="H1245" s="800" t="s">
        <v>10404</v>
      </c>
      <c r="I1245" s="800" t="s">
        <v>10404</v>
      </c>
      <c r="J1245" s="800" t="s">
        <v>10405</v>
      </c>
      <c r="K1245" s="800">
        <v>1</v>
      </c>
      <c r="L1245" s="802" t="s">
        <v>10398</v>
      </c>
      <c r="M1245" s="802" t="s">
        <v>17115</v>
      </c>
      <c r="N1245" s="802" t="s">
        <v>17116</v>
      </c>
      <c r="O1245" s="802" t="s">
        <v>17117</v>
      </c>
      <c r="P1245" s="807" t="s">
        <v>17118</v>
      </c>
    </row>
    <row r="1246" spans="1:16" s="341" customFormat="1" ht="25.5" customHeight="1">
      <c r="A1246" s="806" t="s">
        <v>109</v>
      </c>
      <c r="B1246" s="800" t="s">
        <v>304</v>
      </c>
      <c r="C1246" s="800" t="s">
        <v>304</v>
      </c>
      <c r="D1246" s="800" t="s">
        <v>17119</v>
      </c>
      <c r="E1246" s="801">
        <v>43041</v>
      </c>
      <c r="F1246" s="800" t="s">
        <v>17120</v>
      </c>
      <c r="G1246" s="800" t="s">
        <v>17121</v>
      </c>
      <c r="H1246" s="800" t="s">
        <v>10404</v>
      </c>
      <c r="I1246" s="800" t="s">
        <v>10404</v>
      </c>
      <c r="J1246" s="800" t="s">
        <v>10405</v>
      </c>
      <c r="K1246" s="800">
        <v>1</v>
      </c>
      <c r="L1246" s="802" t="s">
        <v>10398</v>
      </c>
      <c r="M1246" s="802" t="s">
        <v>17122</v>
      </c>
      <c r="N1246" s="802" t="s">
        <v>10855</v>
      </c>
      <c r="O1246" s="802" t="s">
        <v>17123</v>
      </c>
      <c r="P1246" s="807" t="s">
        <v>17124</v>
      </c>
    </row>
    <row r="1247" spans="1:16" s="341" customFormat="1" ht="15" customHeight="1">
      <c r="A1247" s="806" t="s">
        <v>109</v>
      </c>
      <c r="B1247" s="800" t="s">
        <v>304</v>
      </c>
      <c r="C1247" s="800" t="s">
        <v>304</v>
      </c>
      <c r="D1247" s="800" t="s">
        <v>17125</v>
      </c>
      <c r="E1247" s="801">
        <v>43041</v>
      </c>
      <c r="F1247" s="800" t="s">
        <v>32</v>
      </c>
      <c r="G1247" s="800" t="s">
        <v>17126</v>
      </c>
      <c r="H1247" s="800" t="s">
        <v>10531</v>
      </c>
      <c r="I1247" s="800" t="s">
        <v>10531</v>
      </c>
      <c r="J1247" s="800" t="s">
        <v>4342</v>
      </c>
      <c r="K1247" s="800">
        <v>1</v>
      </c>
      <c r="L1247" s="802" t="s">
        <v>10398</v>
      </c>
      <c r="M1247" s="802" t="s">
        <v>17127</v>
      </c>
      <c r="N1247" s="802" t="s">
        <v>17128</v>
      </c>
      <c r="O1247" s="802" t="s">
        <v>11761</v>
      </c>
      <c r="P1247" s="807" t="s">
        <v>17129</v>
      </c>
    </row>
    <row r="1248" spans="1:16" s="341" customFormat="1" ht="25.5" customHeight="1">
      <c r="A1248" s="806" t="s">
        <v>109</v>
      </c>
      <c r="B1248" s="800" t="s">
        <v>304</v>
      </c>
      <c r="C1248" s="800" t="s">
        <v>304</v>
      </c>
      <c r="D1248" s="800" t="s">
        <v>17130</v>
      </c>
      <c r="E1248" s="801">
        <v>43041</v>
      </c>
      <c r="F1248" s="800" t="s">
        <v>17131</v>
      </c>
      <c r="G1248" s="800" t="s">
        <v>17132</v>
      </c>
      <c r="H1248" s="800" t="s">
        <v>10531</v>
      </c>
      <c r="I1248" s="800" t="s">
        <v>10531</v>
      </c>
      <c r="J1248" s="800" t="s">
        <v>10397</v>
      </c>
      <c r="K1248" s="800">
        <v>1</v>
      </c>
      <c r="L1248" s="802" t="s">
        <v>10398</v>
      </c>
      <c r="M1248" s="802" t="s">
        <v>17133</v>
      </c>
      <c r="N1248" s="802" t="s">
        <v>17134</v>
      </c>
      <c r="O1248" s="802" t="s">
        <v>17135</v>
      </c>
      <c r="P1248" s="807" t="s">
        <v>17136</v>
      </c>
    </row>
    <row r="1249" spans="1:16" s="341" customFormat="1" ht="25.5" customHeight="1">
      <c r="A1249" s="806" t="s">
        <v>109</v>
      </c>
      <c r="B1249" s="800" t="s">
        <v>304</v>
      </c>
      <c r="C1249" s="800" t="s">
        <v>332</v>
      </c>
      <c r="D1249" s="800" t="s">
        <v>17137</v>
      </c>
      <c r="E1249" s="801">
        <v>43041</v>
      </c>
      <c r="F1249" s="800" t="s">
        <v>4606</v>
      </c>
      <c r="G1249" s="800" t="s">
        <v>17138</v>
      </c>
      <c r="H1249" s="800" t="s">
        <v>10404</v>
      </c>
      <c r="I1249" s="800" t="s">
        <v>10404</v>
      </c>
      <c r="J1249" s="800" t="s">
        <v>10426</v>
      </c>
      <c r="K1249" s="800">
        <v>1</v>
      </c>
      <c r="L1249" s="802" t="s">
        <v>10398</v>
      </c>
      <c r="M1249" s="802" t="s">
        <v>17139</v>
      </c>
      <c r="N1249" s="802" t="s">
        <v>17140</v>
      </c>
      <c r="O1249" s="802" t="s">
        <v>17141</v>
      </c>
      <c r="P1249" s="807" t="s">
        <v>17142</v>
      </c>
    </row>
    <row r="1250" spans="1:16" s="341" customFormat="1" ht="15" customHeight="1">
      <c r="A1250" s="806" t="s">
        <v>109</v>
      </c>
      <c r="B1250" s="800" t="s">
        <v>304</v>
      </c>
      <c r="C1250" s="800" t="s">
        <v>4520</v>
      </c>
      <c r="D1250" s="800" t="s">
        <v>17143</v>
      </c>
      <c r="E1250" s="801">
        <v>43060</v>
      </c>
      <c r="F1250" s="800" t="s">
        <v>17144</v>
      </c>
      <c r="G1250" s="800" t="s">
        <v>32</v>
      </c>
      <c r="H1250" s="800" t="s">
        <v>10404</v>
      </c>
      <c r="I1250" s="800" t="s">
        <v>10404</v>
      </c>
      <c r="J1250" s="800" t="s">
        <v>10405</v>
      </c>
      <c r="K1250" s="800">
        <v>1</v>
      </c>
      <c r="L1250" s="802" t="s">
        <v>10398</v>
      </c>
      <c r="M1250" s="802" t="s">
        <v>17145</v>
      </c>
      <c r="N1250" s="802" t="s">
        <v>17146</v>
      </c>
      <c r="O1250" s="802" t="s">
        <v>17147</v>
      </c>
      <c r="P1250" s="807" t="s">
        <v>32</v>
      </c>
    </row>
    <row r="1251" spans="1:16" s="341" customFormat="1" ht="15" customHeight="1">
      <c r="A1251" s="806" t="s">
        <v>109</v>
      </c>
      <c r="B1251" s="800" t="s">
        <v>304</v>
      </c>
      <c r="C1251" s="800" t="s">
        <v>4520</v>
      </c>
      <c r="D1251" s="800" t="s">
        <v>17148</v>
      </c>
      <c r="E1251" s="801">
        <v>43060</v>
      </c>
      <c r="F1251" s="800" t="s">
        <v>5899</v>
      </c>
      <c r="G1251" s="800" t="s">
        <v>17149</v>
      </c>
      <c r="H1251" s="800" t="s">
        <v>10396</v>
      </c>
      <c r="I1251" s="800" t="s">
        <v>10396</v>
      </c>
      <c r="J1251" s="800" t="s">
        <v>10405</v>
      </c>
      <c r="K1251" s="800">
        <v>1</v>
      </c>
      <c r="L1251" s="802" t="s">
        <v>10398</v>
      </c>
      <c r="M1251" s="802" t="s">
        <v>17150</v>
      </c>
      <c r="N1251" s="802" t="s">
        <v>17151</v>
      </c>
      <c r="O1251" s="802" t="s">
        <v>17152</v>
      </c>
      <c r="P1251" s="807" t="s">
        <v>17153</v>
      </c>
    </row>
    <row r="1252" spans="1:16" s="341" customFormat="1" ht="25.5" customHeight="1">
      <c r="A1252" s="806" t="s">
        <v>109</v>
      </c>
      <c r="B1252" s="800" t="s">
        <v>304</v>
      </c>
      <c r="C1252" s="800" t="s">
        <v>4415</v>
      </c>
      <c r="D1252" s="800" t="s">
        <v>17154</v>
      </c>
      <c r="E1252" s="801">
        <v>43041</v>
      </c>
      <c r="F1252" s="800" t="s">
        <v>17155</v>
      </c>
      <c r="G1252" s="800" t="s">
        <v>17156</v>
      </c>
      <c r="H1252" s="800" t="s">
        <v>10404</v>
      </c>
      <c r="I1252" s="800" t="s">
        <v>10404</v>
      </c>
      <c r="J1252" s="800" t="s">
        <v>10405</v>
      </c>
      <c r="K1252" s="800">
        <v>1</v>
      </c>
      <c r="L1252" s="802" t="s">
        <v>10398</v>
      </c>
      <c r="M1252" s="802" t="s">
        <v>17157</v>
      </c>
      <c r="N1252" s="802" t="s">
        <v>17158</v>
      </c>
      <c r="O1252" s="802" t="s">
        <v>17159</v>
      </c>
      <c r="P1252" s="807" t="s">
        <v>17160</v>
      </c>
    </row>
    <row r="1253" spans="1:16" s="341" customFormat="1" ht="25.5" customHeight="1">
      <c r="A1253" s="806" t="s">
        <v>109</v>
      </c>
      <c r="B1253" s="800" t="s">
        <v>304</v>
      </c>
      <c r="C1253" s="800" t="s">
        <v>4415</v>
      </c>
      <c r="D1253" s="800" t="s">
        <v>17161</v>
      </c>
      <c r="E1253" s="801">
        <v>43041</v>
      </c>
      <c r="F1253" s="800" t="s">
        <v>17155</v>
      </c>
      <c r="G1253" s="800" t="s">
        <v>17162</v>
      </c>
      <c r="H1253" s="800" t="s">
        <v>10404</v>
      </c>
      <c r="I1253" s="800" t="s">
        <v>10404</v>
      </c>
      <c r="J1253" s="800" t="s">
        <v>10405</v>
      </c>
      <c r="K1253" s="800">
        <v>1</v>
      </c>
      <c r="L1253" s="802" t="s">
        <v>10398</v>
      </c>
      <c r="M1253" s="802" t="s">
        <v>17163</v>
      </c>
      <c r="N1253" s="802" t="s">
        <v>10945</v>
      </c>
      <c r="O1253" s="802" t="s">
        <v>17164</v>
      </c>
      <c r="P1253" s="807" t="s">
        <v>17165</v>
      </c>
    </row>
    <row r="1254" spans="1:16" s="341" customFormat="1" ht="15" customHeight="1">
      <c r="A1254" s="806" t="s">
        <v>109</v>
      </c>
      <c r="B1254" s="800" t="s">
        <v>304</v>
      </c>
      <c r="C1254" s="800" t="s">
        <v>4415</v>
      </c>
      <c r="D1254" s="800" t="s">
        <v>17166</v>
      </c>
      <c r="E1254" s="801">
        <v>43041</v>
      </c>
      <c r="F1254" s="800" t="s">
        <v>17155</v>
      </c>
      <c r="G1254" s="800" t="s">
        <v>17167</v>
      </c>
      <c r="H1254" s="800" t="s">
        <v>10404</v>
      </c>
      <c r="I1254" s="800" t="s">
        <v>10404</v>
      </c>
      <c r="J1254" s="800" t="s">
        <v>10405</v>
      </c>
      <c r="K1254" s="800">
        <v>1</v>
      </c>
      <c r="L1254" s="802" t="s">
        <v>10398</v>
      </c>
      <c r="M1254" s="802" t="s">
        <v>17168</v>
      </c>
      <c r="N1254" s="802" t="s">
        <v>16695</v>
      </c>
      <c r="O1254" s="802" t="s">
        <v>17169</v>
      </c>
      <c r="P1254" s="807" t="s">
        <v>17170</v>
      </c>
    </row>
    <row r="1255" spans="1:16" s="341" customFormat="1" ht="15" customHeight="1">
      <c r="A1255" s="806" t="s">
        <v>109</v>
      </c>
      <c r="B1255" s="800" t="s">
        <v>304</v>
      </c>
      <c r="C1255" s="800" t="s">
        <v>4415</v>
      </c>
      <c r="D1255" s="800" t="s">
        <v>17171</v>
      </c>
      <c r="E1255" s="801">
        <v>43041</v>
      </c>
      <c r="F1255" s="800" t="s">
        <v>17155</v>
      </c>
      <c r="G1255" s="800" t="s">
        <v>17172</v>
      </c>
      <c r="H1255" s="800" t="s">
        <v>10396</v>
      </c>
      <c r="I1255" s="800" t="s">
        <v>10396</v>
      </c>
      <c r="J1255" s="800" t="s">
        <v>10397</v>
      </c>
      <c r="K1255" s="800">
        <v>1</v>
      </c>
      <c r="L1255" s="802" t="s">
        <v>10398</v>
      </c>
      <c r="M1255" s="802" t="s">
        <v>17173</v>
      </c>
      <c r="N1255" s="802" t="s">
        <v>17042</v>
      </c>
      <c r="O1255" s="802" t="s">
        <v>17174</v>
      </c>
      <c r="P1255" s="807" t="s">
        <v>17175</v>
      </c>
    </row>
    <row r="1256" spans="1:16" s="341" customFormat="1" ht="15" customHeight="1">
      <c r="A1256" s="806" t="s">
        <v>109</v>
      </c>
      <c r="B1256" s="800" t="s">
        <v>304</v>
      </c>
      <c r="C1256" s="800" t="s">
        <v>4415</v>
      </c>
      <c r="D1256" s="800" t="s">
        <v>17176</v>
      </c>
      <c r="E1256" s="801">
        <v>43041</v>
      </c>
      <c r="F1256" s="800" t="s">
        <v>17177</v>
      </c>
      <c r="G1256" s="800" t="s">
        <v>32</v>
      </c>
      <c r="H1256" s="800" t="s">
        <v>10404</v>
      </c>
      <c r="I1256" s="800" t="s">
        <v>10404</v>
      </c>
      <c r="J1256" s="800" t="s">
        <v>10447</v>
      </c>
      <c r="K1256" s="800">
        <v>1</v>
      </c>
      <c r="L1256" s="802" t="s">
        <v>10398</v>
      </c>
      <c r="M1256" s="802" t="s">
        <v>17178</v>
      </c>
      <c r="N1256" s="802" t="s">
        <v>17179</v>
      </c>
      <c r="O1256" s="802" t="s">
        <v>15205</v>
      </c>
      <c r="P1256" s="807" t="s">
        <v>17180</v>
      </c>
    </row>
    <row r="1257" spans="1:16" s="341" customFormat="1" ht="15" customHeight="1">
      <c r="A1257" s="806" t="s">
        <v>109</v>
      </c>
      <c r="B1257" s="800" t="s">
        <v>304</v>
      </c>
      <c r="C1257" s="800" t="s">
        <v>4415</v>
      </c>
      <c r="D1257" s="800" t="s">
        <v>17181</v>
      </c>
      <c r="E1257" s="801">
        <v>43041</v>
      </c>
      <c r="F1257" s="800" t="s">
        <v>17177</v>
      </c>
      <c r="G1257" s="800" t="s">
        <v>17182</v>
      </c>
      <c r="H1257" s="800" t="s">
        <v>10396</v>
      </c>
      <c r="I1257" s="800" t="s">
        <v>10396</v>
      </c>
      <c r="J1257" s="800" t="s">
        <v>10397</v>
      </c>
      <c r="K1257" s="800">
        <v>1</v>
      </c>
      <c r="L1257" s="802" t="s">
        <v>10398</v>
      </c>
      <c r="M1257" s="802" t="s">
        <v>17183</v>
      </c>
      <c r="N1257" s="802" t="s">
        <v>17184</v>
      </c>
      <c r="O1257" s="802" t="s">
        <v>17185</v>
      </c>
      <c r="P1257" s="807" t="s">
        <v>17186</v>
      </c>
    </row>
    <row r="1258" spans="1:16" s="341" customFormat="1" ht="15" customHeight="1">
      <c r="A1258" s="806" t="s">
        <v>109</v>
      </c>
      <c r="B1258" s="800" t="s">
        <v>304</v>
      </c>
      <c r="C1258" s="800" t="s">
        <v>4415</v>
      </c>
      <c r="D1258" s="800" t="s">
        <v>17187</v>
      </c>
      <c r="E1258" s="801">
        <v>43041</v>
      </c>
      <c r="F1258" s="800" t="s">
        <v>17177</v>
      </c>
      <c r="G1258" s="800" t="s">
        <v>17188</v>
      </c>
      <c r="H1258" s="800" t="s">
        <v>10404</v>
      </c>
      <c r="I1258" s="800" t="s">
        <v>10404</v>
      </c>
      <c r="J1258" s="800" t="s">
        <v>10426</v>
      </c>
      <c r="K1258" s="800">
        <v>1</v>
      </c>
      <c r="L1258" s="802" t="s">
        <v>10398</v>
      </c>
      <c r="M1258" s="802" t="s">
        <v>17189</v>
      </c>
      <c r="N1258" s="802" t="s">
        <v>17190</v>
      </c>
      <c r="O1258" s="802" t="s">
        <v>17191</v>
      </c>
      <c r="P1258" s="807" t="s">
        <v>17192</v>
      </c>
    </row>
    <row r="1259" spans="1:16" s="341" customFormat="1" ht="15" customHeight="1">
      <c r="A1259" s="806" t="s">
        <v>109</v>
      </c>
      <c r="B1259" s="800" t="s">
        <v>304</v>
      </c>
      <c r="C1259" s="800" t="s">
        <v>4415</v>
      </c>
      <c r="D1259" s="800" t="s">
        <v>17193</v>
      </c>
      <c r="E1259" s="801">
        <v>43041</v>
      </c>
      <c r="F1259" s="800" t="s">
        <v>17194</v>
      </c>
      <c r="G1259" s="800" t="s">
        <v>17195</v>
      </c>
      <c r="H1259" s="800" t="s">
        <v>10396</v>
      </c>
      <c r="I1259" s="800" t="s">
        <v>10396</v>
      </c>
      <c r="J1259" s="800" t="s">
        <v>10447</v>
      </c>
      <c r="K1259" s="800">
        <v>1</v>
      </c>
      <c r="L1259" s="802" t="s">
        <v>10398</v>
      </c>
      <c r="M1259" s="802" t="s">
        <v>17196</v>
      </c>
      <c r="N1259" s="802" t="s">
        <v>17197</v>
      </c>
      <c r="O1259" s="802" t="s">
        <v>17198</v>
      </c>
      <c r="P1259" s="807" t="s">
        <v>17199</v>
      </c>
    </row>
    <row r="1260" spans="1:16" s="341" customFormat="1" ht="15" customHeight="1">
      <c r="A1260" s="806" t="s">
        <v>109</v>
      </c>
      <c r="B1260" s="800" t="s">
        <v>304</v>
      </c>
      <c r="C1260" s="800" t="s">
        <v>4415</v>
      </c>
      <c r="D1260" s="800" t="s">
        <v>17200</v>
      </c>
      <c r="E1260" s="801">
        <v>43041</v>
      </c>
      <c r="F1260" s="800" t="s">
        <v>17177</v>
      </c>
      <c r="G1260" s="800" t="s">
        <v>17201</v>
      </c>
      <c r="H1260" s="800" t="s">
        <v>10396</v>
      </c>
      <c r="I1260" s="800" t="s">
        <v>10396</v>
      </c>
      <c r="J1260" s="800" t="s">
        <v>10405</v>
      </c>
      <c r="K1260" s="800">
        <v>1</v>
      </c>
      <c r="L1260" s="802" t="s">
        <v>10398</v>
      </c>
      <c r="M1260" s="802" t="s">
        <v>17202</v>
      </c>
      <c r="N1260" s="802" t="s">
        <v>13065</v>
      </c>
      <c r="O1260" s="802" t="s">
        <v>17203</v>
      </c>
      <c r="P1260" s="807" t="s">
        <v>17204</v>
      </c>
    </row>
    <row r="1261" spans="1:16" s="341" customFormat="1" ht="15" customHeight="1">
      <c r="A1261" s="806" t="s">
        <v>109</v>
      </c>
      <c r="B1261" s="800" t="s">
        <v>58</v>
      </c>
      <c r="C1261" s="800" t="s">
        <v>4431</v>
      </c>
      <c r="D1261" s="800" t="s">
        <v>17205</v>
      </c>
      <c r="E1261" s="801">
        <v>43032</v>
      </c>
      <c r="F1261" s="800" t="s">
        <v>17206</v>
      </c>
      <c r="G1261" s="800" t="s">
        <v>17207</v>
      </c>
      <c r="H1261" s="800" t="s">
        <v>10433</v>
      </c>
      <c r="I1261" s="800" t="s">
        <v>10433</v>
      </c>
      <c r="J1261" s="800" t="s">
        <v>10397</v>
      </c>
      <c r="K1261" s="800">
        <v>1</v>
      </c>
      <c r="L1261" s="802" t="s">
        <v>10398</v>
      </c>
      <c r="M1261" s="802" t="s">
        <v>17208</v>
      </c>
      <c r="N1261" s="802" t="s">
        <v>17209</v>
      </c>
      <c r="O1261" s="802" t="s">
        <v>17210</v>
      </c>
      <c r="P1261" s="807" t="s">
        <v>17211</v>
      </c>
    </row>
    <row r="1262" spans="1:16" s="341" customFormat="1" ht="15" customHeight="1">
      <c r="A1262" s="806" t="s">
        <v>109</v>
      </c>
      <c r="B1262" s="800" t="s">
        <v>58</v>
      </c>
      <c r="C1262" s="800" t="s">
        <v>4431</v>
      </c>
      <c r="D1262" s="800" t="s">
        <v>17212</v>
      </c>
      <c r="E1262" s="801">
        <v>43032</v>
      </c>
      <c r="F1262" s="800" t="s">
        <v>17206</v>
      </c>
      <c r="G1262" s="800" t="s">
        <v>17213</v>
      </c>
      <c r="H1262" s="800" t="s">
        <v>10396</v>
      </c>
      <c r="I1262" s="800" t="s">
        <v>10396</v>
      </c>
      <c r="J1262" s="800" t="s">
        <v>10397</v>
      </c>
      <c r="K1262" s="800">
        <v>1</v>
      </c>
      <c r="L1262" s="802" t="s">
        <v>10398</v>
      </c>
      <c r="M1262" s="802" t="s">
        <v>17214</v>
      </c>
      <c r="N1262" s="802" t="s">
        <v>10496</v>
      </c>
      <c r="O1262" s="802" t="s">
        <v>17215</v>
      </c>
      <c r="P1262" s="807" t="s">
        <v>17216</v>
      </c>
    </row>
    <row r="1263" spans="1:16" s="341" customFormat="1" ht="15" customHeight="1">
      <c r="A1263" s="806" t="s">
        <v>109</v>
      </c>
      <c r="B1263" s="800" t="s">
        <v>58</v>
      </c>
      <c r="C1263" s="800" t="s">
        <v>4431</v>
      </c>
      <c r="D1263" s="800" t="s">
        <v>17217</v>
      </c>
      <c r="E1263" s="801">
        <v>43032</v>
      </c>
      <c r="F1263" s="800" t="s">
        <v>17218</v>
      </c>
      <c r="G1263" s="800" t="s">
        <v>17219</v>
      </c>
      <c r="H1263" s="800" t="s">
        <v>10433</v>
      </c>
      <c r="I1263" s="800" t="s">
        <v>10433</v>
      </c>
      <c r="J1263" s="800" t="s">
        <v>10447</v>
      </c>
      <c r="K1263" s="800">
        <v>1</v>
      </c>
      <c r="L1263" s="802" t="s">
        <v>10605</v>
      </c>
      <c r="M1263" s="802" t="s">
        <v>32</v>
      </c>
      <c r="N1263" s="802" t="s">
        <v>17220</v>
      </c>
      <c r="O1263" s="802" t="s">
        <v>17221</v>
      </c>
      <c r="P1263" s="807" t="s">
        <v>17222</v>
      </c>
    </row>
    <row r="1264" spans="1:16" s="341" customFormat="1" ht="15" customHeight="1">
      <c r="A1264" s="806" t="s">
        <v>109</v>
      </c>
      <c r="B1264" s="800" t="s">
        <v>58</v>
      </c>
      <c r="C1264" s="800" t="s">
        <v>4431</v>
      </c>
      <c r="D1264" s="800" t="s">
        <v>17223</v>
      </c>
      <c r="E1264" s="801">
        <v>43032</v>
      </c>
      <c r="F1264" s="800" t="s">
        <v>17218</v>
      </c>
      <c r="G1264" s="800" t="s">
        <v>17224</v>
      </c>
      <c r="H1264" s="800" t="s">
        <v>10396</v>
      </c>
      <c r="I1264" s="800" t="s">
        <v>10396</v>
      </c>
      <c r="J1264" s="800" t="s">
        <v>10397</v>
      </c>
      <c r="K1264" s="800">
        <v>1</v>
      </c>
      <c r="L1264" s="802" t="s">
        <v>10398</v>
      </c>
      <c r="M1264" s="802" t="s">
        <v>17225</v>
      </c>
      <c r="N1264" s="802" t="s">
        <v>10782</v>
      </c>
      <c r="O1264" s="802" t="s">
        <v>17226</v>
      </c>
      <c r="P1264" s="807" t="s">
        <v>17227</v>
      </c>
    </row>
    <row r="1265" spans="1:16" s="341" customFormat="1" ht="15" customHeight="1">
      <c r="A1265" s="806" t="s">
        <v>109</v>
      </c>
      <c r="B1265" s="800" t="s">
        <v>58</v>
      </c>
      <c r="C1265" s="800" t="s">
        <v>4431</v>
      </c>
      <c r="D1265" s="800" t="s">
        <v>17228</v>
      </c>
      <c r="E1265" s="801">
        <v>43032</v>
      </c>
      <c r="F1265" s="800" t="s">
        <v>17218</v>
      </c>
      <c r="G1265" s="800" t="s">
        <v>17229</v>
      </c>
      <c r="H1265" s="800" t="s">
        <v>10404</v>
      </c>
      <c r="I1265" s="800" t="s">
        <v>10404</v>
      </c>
      <c r="J1265" s="800" t="s">
        <v>10405</v>
      </c>
      <c r="K1265" s="800">
        <v>1</v>
      </c>
      <c r="L1265" s="802" t="s">
        <v>10398</v>
      </c>
      <c r="M1265" s="802" t="s">
        <v>17230</v>
      </c>
      <c r="N1265" s="802" t="s">
        <v>14140</v>
      </c>
      <c r="O1265" s="802" t="s">
        <v>17231</v>
      </c>
      <c r="P1265" s="807" t="s">
        <v>17232</v>
      </c>
    </row>
    <row r="1266" spans="1:16" s="341" customFormat="1" ht="15" customHeight="1">
      <c r="A1266" s="806" t="s">
        <v>109</v>
      </c>
      <c r="B1266" s="800" t="s">
        <v>58</v>
      </c>
      <c r="C1266" s="800" t="s">
        <v>4431</v>
      </c>
      <c r="D1266" s="800" t="s">
        <v>17233</v>
      </c>
      <c r="E1266" s="801">
        <v>43032</v>
      </c>
      <c r="F1266" s="800" t="s">
        <v>17234</v>
      </c>
      <c r="G1266" s="800" t="s">
        <v>17235</v>
      </c>
      <c r="H1266" s="800" t="s">
        <v>10396</v>
      </c>
      <c r="I1266" s="800" t="s">
        <v>10396</v>
      </c>
      <c r="J1266" s="800" t="s">
        <v>10397</v>
      </c>
      <c r="K1266" s="800">
        <v>1</v>
      </c>
      <c r="L1266" s="802" t="s">
        <v>10398</v>
      </c>
      <c r="M1266" s="802" t="s">
        <v>17236</v>
      </c>
      <c r="N1266" s="802" t="s">
        <v>17237</v>
      </c>
      <c r="O1266" s="802" t="s">
        <v>17238</v>
      </c>
      <c r="P1266" s="807" t="s">
        <v>17239</v>
      </c>
    </row>
    <row r="1267" spans="1:16" s="341" customFormat="1" ht="15" customHeight="1">
      <c r="A1267" s="806" t="s">
        <v>109</v>
      </c>
      <c r="B1267" s="800" t="s">
        <v>58</v>
      </c>
      <c r="C1267" s="800" t="s">
        <v>4431</v>
      </c>
      <c r="D1267" s="800" t="s">
        <v>17240</v>
      </c>
      <c r="E1267" s="801">
        <v>43032</v>
      </c>
      <c r="F1267" s="800" t="s">
        <v>17218</v>
      </c>
      <c r="G1267" s="800" t="s">
        <v>17241</v>
      </c>
      <c r="H1267" s="800" t="s">
        <v>10396</v>
      </c>
      <c r="I1267" s="800" t="s">
        <v>10396</v>
      </c>
      <c r="J1267" s="800" t="s">
        <v>10397</v>
      </c>
      <c r="K1267" s="800">
        <v>1</v>
      </c>
      <c r="L1267" s="802" t="s">
        <v>11026</v>
      </c>
      <c r="M1267" s="802" t="s">
        <v>17242</v>
      </c>
      <c r="N1267" s="802" t="s">
        <v>17243</v>
      </c>
      <c r="O1267" s="802" t="s">
        <v>17244</v>
      </c>
      <c r="P1267" s="807" t="s">
        <v>17245</v>
      </c>
    </row>
    <row r="1268" spans="1:16" s="341" customFormat="1" ht="15" customHeight="1">
      <c r="A1268" s="806" t="s">
        <v>109</v>
      </c>
      <c r="B1268" s="800" t="s">
        <v>58</v>
      </c>
      <c r="C1268" s="800" t="s">
        <v>4431</v>
      </c>
      <c r="D1268" s="800" t="s">
        <v>17246</v>
      </c>
      <c r="E1268" s="801">
        <v>43032</v>
      </c>
      <c r="F1268" s="800" t="s">
        <v>17234</v>
      </c>
      <c r="G1268" s="800" t="s">
        <v>17247</v>
      </c>
      <c r="H1268" s="800" t="s">
        <v>10396</v>
      </c>
      <c r="I1268" s="800" t="s">
        <v>10396</v>
      </c>
      <c r="J1268" s="800" t="s">
        <v>10397</v>
      </c>
      <c r="K1268" s="800">
        <v>1</v>
      </c>
      <c r="L1268" s="802" t="s">
        <v>11026</v>
      </c>
      <c r="M1268" s="802" t="s">
        <v>17248</v>
      </c>
      <c r="N1268" s="802" t="s">
        <v>10520</v>
      </c>
      <c r="O1268" s="802" t="s">
        <v>17249</v>
      </c>
      <c r="P1268" s="807" t="s">
        <v>17250</v>
      </c>
    </row>
    <row r="1269" spans="1:16" s="341" customFormat="1" ht="15" customHeight="1">
      <c r="A1269" s="806" t="s">
        <v>109</v>
      </c>
      <c r="B1269" s="800" t="s">
        <v>58</v>
      </c>
      <c r="C1269" s="800" t="s">
        <v>4431</v>
      </c>
      <c r="D1269" s="800" t="s">
        <v>17251</v>
      </c>
      <c r="E1269" s="801">
        <v>43032</v>
      </c>
      <c r="F1269" s="800" t="s">
        <v>17218</v>
      </c>
      <c r="G1269" s="800" t="s">
        <v>32</v>
      </c>
      <c r="H1269" s="800" t="s">
        <v>10404</v>
      </c>
      <c r="I1269" s="800" t="s">
        <v>10404</v>
      </c>
      <c r="J1269" s="800" t="s">
        <v>10405</v>
      </c>
      <c r="K1269" s="800">
        <v>1</v>
      </c>
      <c r="L1269" s="802" t="s">
        <v>10398</v>
      </c>
      <c r="M1269" s="802" t="s">
        <v>17252</v>
      </c>
      <c r="N1269" s="802" t="s">
        <v>15380</v>
      </c>
      <c r="O1269" s="802" t="s">
        <v>17253</v>
      </c>
      <c r="P1269" s="807" t="s">
        <v>32</v>
      </c>
    </row>
    <row r="1270" spans="1:16" s="341" customFormat="1" ht="15" customHeight="1">
      <c r="A1270" s="806" t="s">
        <v>109</v>
      </c>
      <c r="B1270" s="800" t="s">
        <v>58</v>
      </c>
      <c r="C1270" s="800" t="s">
        <v>4431</v>
      </c>
      <c r="D1270" s="800" t="s">
        <v>17254</v>
      </c>
      <c r="E1270" s="801">
        <v>43031</v>
      </c>
      <c r="F1270" s="800" t="s">
        <v>17218</v>
      </c>
      <c r="G1270" s="800" t="s">
        <v>17255</v>
      </c>
      <c r="H1270" s="800" t="s">
        <v>10433</v>
      </c>
      <c r="I1270" s="800" t="s">
        <v>10433</v>
      </c>
      <c r="J1270" s="800" t="s">
        <v>10397</v>
      </c>
      <c r="K1270" s="800">
        <v>1</v>
      </c>
      <c r="L1270" s="802" t="s">
        <v>10398</v>
      </c>
      <c r="M1270" s="802" t="s">
        <v>17256</v>
      </c>
      <c r="N1270" s="802" t="s">
        <v>17257</v>
      </c>
      <c r="O1270" s="802" t="s">
        <v>17258</v>
      </c>
      <c r="P1270" s="807" t="s">
        <v>17259</v>
      </c>
    </row>
    <row r="1271" spans="1:16" s="341" customFormat="1" ht="25.5" customHeight="1">
      <c r="A1271" s="806" t="s">
        <v>109</v>
      </c>
      <c r="B1271" s="800" t="s">
        <v>58</v>
      </c>
      <c r="C1271" s="800" t="s">
        <v>4431</v>
      </c>
      <c r="D1271" s="800" t="s">
        <v>17260</v>
      </c>
      <c r="E1271" s="801">
        <v>43032</v>
      </c>
      <c r="F1271" s="800" t="s">
        <v>17218</v>
      </c>
      <c r="G1271" s="800" t="s">
        <v>17261</v>
      </c>
      <c r="H1271" s="800" t="s">
        <v>10531</v>
      </c>
      <c r="I1271" s="800" t="s">
        <v>10531</v>
      </c>
      <c r="J1271" s="800" t="s">
        <v>10447</v>
      </c>
      <c r="K1271" s="800">
        <v>1</v>
      </c>
      <c r="L1271" s="802" t="s">
        <v>10398</v>
      </c>
      <c r="M1271" s="802" t="s">
        <v>17262</v>
      </c>
      <c r="N1271" s="802" t="s">
        <v>10945</v>
      </c>
      <c r="O1271" s="802" t="s">
        <v>17215</v>
      </c>
      <c r="P1271" s="807" t="s">
        <v>17263</v>
      </c>
    </row>
    <row r="1272" spans="1:16" s="341" customFormat="1" ht="25.5" customHeight="1">
      <c r="A1272" s="806" t="s">
        <v>109</v>
      </c>
      <c r="B1272" s="800" t="s">
        <v>58</v>
      </c>
      <c r="C1272" s="800" t="s">
        <v>4431</v>
      </c>
      <c r="D1272" s="800" t="s">
        <v>17264</v>
      </c>
      <c r="E1272" s="801">
        <v>43032</v>
      </c>
      <c r="F1272" s="800" t="s">
        <v>17218</v>
      </c>
      <c r="G1272" s="800" t="s">
        <v>17265</v>
      </c>
      <c r="H1272" s="800" t="s">
        <v>10433</v>
      </c>
      <c r="I1272" s="800" t="s">
        <v>10433</v>
      </c>
      <c r="J1272" s="800" t="s">
        <v>10447</v>
      </c>
      <c r="K1272" s="800">
        <v>1</v>
      </c>
      <c r="L1272" s="802" t="s">
        <v>11026</v>
      </c>
      <c r="M1272" s="802" t="s">
        <v>17266</v>
      </c>
      <c r="N1272" s="802" t="s">
        <v>17267</v>
      </c>
      <c r="O1272" s="802" t="s">
        <v>16397</v>
      </c>
      <c r="P1272" s="807" t="s">
        <v>17268</v>
      </c>
    </row>
    <row r="1273" spans="1:16" s="341" customFormat="1" ht="25.5" customHeight="1">
      <c r="A1273" s="806" t="s">
        <v>109</v>
      </c>
      <c r="B1273" s="800" t="s">
        <v>58</v>
      </c>
      <c r="C1273" s="800" t="s">
        <v>4431</v>
      </c>
      <c r="D1273" s="800" t="s">
        <v>17269</v>
      </c>
      <c r="E1273" s="801">
        <v>43032</v>
      </c>
      <c r="F1273" s="800" t="s">
        <v>17234</v>
      </c>
      <c r="G1273" s="800" t="s">
        <v>17270</v>
      </c>
      <c r="H1273" s="800" t="s">
        <v>10396</v>
      </c>
      <c r="I1273" s="800" t="s">
        <v>10396</v>
      </c>
      <c r="J1273" s="800" t="s">
        <v>10397</v>
      </c>
      <c r="K1273" s="800">
        <v>1</v>
      </c>
      <c r="L1273" s="802" t="s">
        <v>10398</v>
      </c>
      <c r="M1273" s="802" t="s">
        <v>17271</v>
      </c>
      <c r="N1273" s="802" t="s">
        <v>17272</v>
      </c>
      <c r="O1273" s="802" t="s">
        <v>17273</v>
      </c>
      <c r="P1273" s="807" t="s">
        <v>17274</v>
      </c>
    </row>
    <row r="1274" spans="1:16" s="341" customFormat="1" ht="25.5" customHeight="1">
      <c r="A1274" s="806" t="s">
        <v>109</v>
      </c>
      <c r="B1274" s="800" t="s">
        <v>58</v>
      </c>
      <c r="C1274" s="800" t="s">
        <v>4431</v>
      </c>
      <c r="D1274" s="800" t="s">
        <v>17275</v>
      </c>
      <c r="E1274" s="801">
        <v>43040</v>
      </c>
      <c r="F1274" s="800" t="s">
        <v>17276</v>
      </c>
      <c r="G1274" s="800" t="s">
        <v>17277</v>
      </c>
      <c r="H1274" s="800" t="s">
        <v>10404</v>
      </c>
      <c r="I1274" s="800" t="s">
        <v>10404</v>
      </c>
      <c r="J1274" s="800" t="s">
        <v>10405</v>
      </c>
      <c r="K1274" s="800">
        <v>1</v>
      </c>
      <c r="L1274" s="802" t="s">
        <v>11026</v>
      </c>
      <c r="M1274" s="802" t="s">
        <v>17278</v>
      </c>
      <c r="N1274" s="802" t="s">
        <v>17279</v>
      </c>
      <c r="O1274" s="802" t="s">
        <v>17280</v>
      </c>
      <c r="P1274" s="807" t="s">
        <v>17281</v>
      </c>
    </row>
    <row r="1275" spans="1:16" s="341" customFormat="1" ht="15" customHeight="1">
      <c r="A1275" s="806" t="s">
        <v>109</v>
      </c>
      <c r="B1275" s="800" t="s">
        <v>58</v>
      </c>
      <c r="C1275" s="800" t="s">
        <v>4431</v>
      </c>
      <c r="D1275" s="800" t="s">
        <v>17282</v>
      </c>
      <c r="E1275" s="801">
        <v>43040</v>
      </c>
      <c r="F1275" s="800" t="s">
        <v>17276</v>
      </c>
      <c r="G1275" s="800" t="s">
        <v>17283</v>
      </c>
      <c r="H1275" s="800" t="s">
        <v>10433</v>
      </c>
      <c r="I1275" s="800" t="s">
        <v>10433</v>
      </c>
      <c r="J1275" s="800" t="s">
        <v>10397</v>
      </c>
      <c r="K1275" s="800">
        <v>1</v>
      </c>
      <c r="L1275" s="802" t="s">
        <v>10398</v>
      </c>
      <c r="M1275" s="802" t="s">
        <v>17284</v>
      </c>
      <c r="N1275" s="802" t="s">
        <v>17285</v>
      </c>
      <c r="O1275" s="802" t="s">
        <v>17286</v>
      </c>
      <c r="P1275" s="807" t="s">
        <v>17287</v>
      </c>
    </row>
    <row r="1276" spans="1:16" s="341" customFormat="1" ht="15" customHeight="1">
      <c r="A1276" s="806" t="s">
        <v>109</v>
      </c>
      <c r="B1276" s="800" t="s">
        <v>58</v>
      </c>
      <c r="C1276" s="800" t="s">
        <v>4431</v>
      </c>
      <c r="D1276" s="800" t="s">
        <v>17288</v>
      </c>
      <c r="E1276" s="801">
        <v>43040</v>
      </c>
      <c r="F1276" s="800" t="s">
        <v>17289</v>
      </c>
      <c r="G1276" s="800" t="s">
        <v>17290</v>
      </c>
      <c r="H1276" s="800" t="s">
        <v>10396</v>
      </c>
      <c r="I1276" s="800" t="s">
        <v>10396</v>
      </c>
      <c r="J1276" s="800" t="s">
        <v>10397</v>
      </c>
      <c r="K1276" s="800">
        <v>1</v>
      </c>
      <c r="L1276" s="802" t="s">
        <v>10398</v>
      </c>
      <c r="M1276" s="802" t="s">
        <v>17291</v>
      </c>
      <c r="N1276" s="802" t="s">
        <v>17292</v>
      </c>
      <c r="O1276" s="802" t="s">
        <v>17293</v>
      </c>
      <c r="P1276" s="807" t="s">
        <v>17294</v>
      </c>
    </row>
    <row r="1277" spans="1:16" s="341" customFormat="1" ht="15" customHeight="1">
      <c r="A1277" s="806" t="s">
        <v>109</v>
      </c>
      <c r="B1277" s="800" t="s">
        <v>58</v>
      </c>
      <c r="C1277" s="800" t="s">
        <v>4431</v>
      </c>
      <c r="D1277" s="800" t="s">
        <v>17295</v>
      </c>
      <c r="E1277" s="801">
        <v>43040</v>
      </c>
      <c r="F1277" s="800" t="s">
        <v>17289</v>
      </c>
      <c r="G1277" s="800" t="s">
        <v>17296</v>
      </c>
      <c r="H1277" s="800" t="s">
        <v>10433</v>
      </c>
      <c r="I1277" s="800" t="s">
        <v>10433</v>
      </c>
      <c r="J1277" s="800" t="s">
        <v>10397</v>
      </c>
      <c r="K1277" s="800">
        <v>1</v>
      </c>
      <c r="L1277" s="802" t="s">
        <v>10398</v>
      </c>
      <c r="M1277" s="802" t="s">
        <v>17297</v>
      </c>
      <c r="N1277" s="802" t="s">
        <v>17298</v>
      </c>
      <c r="O1277" s="802" t="s">
        <v>17299</v>
      </c>
      <c r="P1277" s="807" t="s">
        <v>17300</v>
      </c>
    </row>
    <row r="1278" spans="1:16" s="341" customFormat="1" ht="15" customHeight="1">
      <c r="A1278" s="806" t="s">
        <v>109</v>
      </c>
      <c r="B1278" s="800" t="s">
        <v>58</v>
      </c>
      <c r="C1278" s="800" t="s">
        <v>4431</v>
      </c>
      <c r="D1278" s="800" t="s">
        <v>17301</v>
      </c>
      <c r="E1278" s="801">
        <v>43040</v>
      </c>
      <c r="F1278" s="800" t="s">
        <v>17276</v>
      </c>
      <c r="G1278" s="800" t="s">
        <v>17302</v>
      </c>
      <c r="H1278" s="800" t="s">
        <v>10404</v>
      </c>
      <c r="I1278" s="800" t="s">
        <v>10404</v>
      </c>
      <c r="J1278" s="800" t="s">
        <v>10405</v>
      </c>
      <c r="K1278" s="800">
        <v>1</v>
      </c>
      <c r="L1278" s="802" t="s">
        <v>10398</v>
      </c>
      <c r="M1278" s="802" t="s">
        <v>17303</v>
      </c>
      <c r="N1278" s="802" t="s">
        <v>17304</v>
      </c>
      <c r="O1278" s="802" t="s">
        <v>17305</v>
      </c>
      <c r="P1278" s="807" t="s">
        <v>17306</v>
      </c>
    </row>
    <row r="1279" spans="1:16" s="341" customFormat="1" ht="15" customHeight="1">
      <c r="A1279" s="806" t="s">
        <v>109</v>
      </c>
      <c r="B1279" s="800" t="s">
        <v>58</v>
      </c>
      <c r="C1279" s="800" t="s">
        <v>4431</v>
      </c>
      <c r="D1279" s="800" t="s">
        <v>17307</v>
      </c>
      <c r="E1279" s="801">
        <v>43040</v>
      </c>
      <c r="F1279" s="800" t="s">
        <v>17308</v>
      </c>
      <c r="G1279" s="800" t="s">
        <v>17309</v>
      </c>
      <c r="H1279" s="800" t="s">
        <v>10404</v>
      </c>
      <c r="I1279" s="800" t="s">
        <v>10404</v>
      </c>
      <c r="J1279" s="800" t="s">
        <v>10447</v>
      </c>
      <c r="K1279" s="800">
        <v>1</v>
      </c>
      <c r="L1279" s="802" t="s">
        <v>10398</v>
      </c>
      <c r="M1279" s="802" t="s">
        <v>17310</v>
      </c>
      <c r="N1279" s="802" t="s">
        <v>17311</v>
      </c>
      <c r="O1279" s="802" t="s">
        <v>17312</v>
      </c>
      <c r="P1279" s="807" t="s">
        <v>17313</v>
      </c>
    </row>
    <row r="1280" spans="1:16" s="341" customFormat="1" ht="15" customHeight="1">
      <c r="A1280" s="806" t="s">
        <v>109</v>
      </c>
      <c r="B1280" s="800" t="s">
        <v>58</v>
      </c>
      <c r="C1280" s="800" t="s">
        <v>4431</v>
      </c>
      <c r="D1280" s="800" t="s">
        <v>17314</v>
      </c>
      <c r="E1280" s="801">
        <v>43040</v>
      </c>
      <c r="F1280" s="800" t="s">
        <v>17308</v>
      </c>
      <c r="G1280" s="800" t="s">
        <v>17315</v>
      </c>
      <c r="H1280" s="800" t="s">
        <v>10396</v>
      </c>
      <c r="I1280" s="800" t="s">
        <v>10396</v>
      </c>
      <c r="J1280" s="800" t="s">
        <v>10397</v>
      </c>
      <c r="K1280" s="800">
        <v>1</v>
      </c>
      <c r="L1280" s="802" t="s">
        <v>10398</v>
      </c>
      <c r="M1280" s="802" t="s">
        <v>17316</v>
      </c>
      <c r="N1280" s="802" t="s">
        <v>17317</v>
      </c>
      <c r="O1280" s="802" t="s">
        <v>17318</v>
      </c>
      <c r="P1280" s="807" t="s">
        <v>17319</v>
      </c>
    </row>
    <row r="1281" spans="1:16" s="341" customFormat="1" ht="15" customHeight="1">
      <c r="A1281" s="806" t="s">
        <v>109</v>
      </c>
      <c r="B1281" s="800" t="s">
        <v>58</v>
      </c>
      <c r="C1281" s="800" t="s">
        <v>4431</v>
      </c>
      <c r="D1281" s="800" t="s">
        <v>17320</v>
      </c>
      <c r="E1281" s="801">
        <v>43040</v>
      </c>
      <c r="F1281" s="800" t="s">
        <v>17308</v>
      </c>
      <c r="G1281" s="800" t="s">
        <v>17321</v>
      </c>
      <c r="H1281" s="800" t="s">
        <v>10396</v>
      </c>
      <c r="I1281" s="800" t="s">
        <v>10396</v>
      </c>
      <c r="J1281" s="800" t="s">
        <v>10447</v>
      </c>
      <c r="K1281" s="800">
        <v>1</v>
      </c>
      <c r="L1281" s="802" t="s">
        <v>10398</v>
      </c>
      <c r="M1281" s="802" t="s">
        <v>17322</v>
      </c>
      <c r="N1281" s="802" t="s">
        <v>17323</v>
      </c>
      <c r="O1281" s="802" t="s">
        <v>17324</v>
      </c>
      <c r="P1281" s="807" t="s">
        <v>17325</v>
      </c>
    </row>
    <row r="1282" spans="1:16" s="341" customFormat="1" ht="15" customHeight="1">
      <c r="A1282" s="806" t="s">
        <v>109</v>
      </c>
      <c r="B1282" s="800" t="s">
        <v>58</v>
      </c>
      <c r="C1282" s="800" t="s">
        <v>4431</v>
      </c>
      <c r="D1282" s="800" t="s">
        <v>17326</v>
      </c>
      <c r="E1282" s="801">
        <v>43040</v>
      </c>
      <c r="F1282" s="800" t="s">
        <v>17308</v>
      </c>
      <c r="G1282" s="800" t="s">
        <v>17327</v>
      </c>
      <c r="H1282" s="800" t="s">
        <v>10396</v>
      </c>
      <c r="I1282" s="800" t="s">
        <v>10396</v>
      </c>
      <c r="J1282" s="800" t="s">
        <v>10447</v>
      </c>
      <c r="K1282" s="800">
        <v>1</v>
      </c>
      <c r="L1282" s="802" t="s">
        <v>11026</v>
      </c>
      <c r="M1282" s="802" t="s">
        <v>17328</v>
      </c>
      <c r="N1282" s="802" t="s">
        <v>17329</v>
      </c>
      <c r="O1282" s="802" t="s">
        <v>17330</v>
      </c>
      <c r="P1282" s="807" t="s">
        <v>17331</v>
      </c>
    </row>
    <row r="1283" spans="1:16" s="341" customFormat="1" ht="15" customHeight="1">
      <c r="A1283" s="806" t="s">
        <v>109</v>
      </c>
      <c r="B1283" s="800" t="s">
        <v>58</v>
      </c>
      <c r="C1283" s="800" t="s">
        <v>4431</v>
      </c>
      <c r="D1283" s="800" t="s">
        <v>17332</v>
      </c>
      <c r="E1283" s="801">
        <v>43040</v>
      </c>
      <c r="F1283" s="800" t="s">
        <v>17308</v>
      </c>
      <c r="G1283" s="800" t="s">
        <v>17333</v>
      </c>
      <c r="H1283" s="800" t="s">
        <v>10433</v>
      </c>
      <c r="I1283" s="800" t="s">
        <v>10433</v>
      </c>
      <c r="J1283" s="800" t="s">
        <v>10447</v>
      </c>
      <c r="K1283" s="800">
        <v>1</v>
      </c>
      <c r="L1283" s="802" t="s">
        <v>11026</v>
      </c>
      <c r="M1283" s="802" t="s">
        <v>32</v>
      </c>
      <c r="N1283" s="802" t="s">
        <v>11684</v>
      </c>
      <c r="O1283" s="802" t="s">
        <v>17334</v>
      </c>
      <c r="P1283" s="807" t="s">
        <v>17335</v>
      </c>
    </row>
    <row r="1284" spans="1:16" s="341" customFormat="1" ht="15" customHeight="1">
      <c r="A1284" s="806" t="s">
        <v>109</v>
      </c>
      <c r="B1284" s="800" t="s">
        <v>58</v>
      </c>
      <c r="C1284" s="800" t="s">
        <v>4431</v>
      </c>
      <c r="D1284" s="800" t="s">
        <v>17336</v>
      </c>
      <c r="E1284" s="801">
        <v>43040</v>
      </c>
      <c r="F1284" s="800" t="s">
        <v>17308</v>
      </c>
      <c r="G1284" s="800" t="s">
        <v>17337</v>
      </c>
      <c r="H1284" s="800" t="s">
        <v>10433</v>
      </c>
      <c r="I1284" s="800" t="s">
        <v>10433</v>
      </c>
      <c r="J1284" s="800" t="s">
        <v>10447</v>
      </c>
      <c r="K1284" s="800">
        <v>1</v>
      </c>
      <c r="L1284" s="802" t="s">
        <v>10398</v>
      </c>
      <c r="M1284" s="802" t="s">
        <v>17338</v>
      </c>
      <c r="N1284" s="802" t="s">
        <v>17339</v>
      </c>
      <c r="O1284" s="802" t="s">
        <v>17340</v>
      </c>
      <c r="P1284" s="807" t="s">
        <v>17341</v>
      </c>
    </row>
    <row r="1285" spans="1:16" s="341" customFormat="1" ht="15" customHeight="1">
      <c r="A1285" s="806" t="s">
        <v>109</v>
      </c>
      <c r="B1285" s="800" t="s">
        <v>58</v>
      </c>
      <c r="C1285" s="800" t="s">
        <v>4431</v>
      </c>
      <c r="D1285" s="800" t="s">
        <v>17342</v>
      </c>
      <c r="E1285" s="801">
        <v>43040</v>
      </c>
      <c r="F1285" s="800" t="s">
        <v>17308</v>
      </c>
      <c r="G1285" s="800" t="s">
        <v>17343</v>
      </c>
      <c r="H1285" s="800" t="s">
        <v>10404</v>
      </c>
      <c r="I1285" s="800" t="s">
        <v>10404</v>
      </c>
      <c r="J1285" s="800" t="s">
        <v>10447</v>
      </c>
      <c r="K1285" s="800">
        <v>1</v>
      </c>
      <c r="L1285" s="802" t="s">
        <v>10398</v>
      </c>
      <c r="M1285" s="802" t="s">
        <v>17344</v>
      </c>
      <c r="N1285" s="802" t="s">
        <v>17345</v>
      </c>
      <c r="O1285" s="802" t="s">
        <v>17318</v>
      </c>
      <c r="P1285" s="807" t="s">
        <v>17346</v>
      </c>
    </row>
    <row r="1286" spans="1:16" s="341" customFormat="1" ht="25.5" customHeight="1">
      <c r="A1286" s="806" t="s">
        <v>109</v>
      </c>
      <c r="B1286" s="800" t="s">
        <v>58</v>
      </c>
      <c r="C1286" s="800" t="s">
        <v>4431</v>
      </c>
      <c r="D1286" s="800" t="s">
        <v>17347</v>
      </c>
      <c r="E1286" s="801">
        <v>43040</v>
      </c>
      <c r="F1286" s="800" t="s">
        <v>17348</v>
      </c>
      <c r="G1286" s="800" t="s">
        <v>17349</v>
      </c>
      <c r="H1286" s="800" t="s">
        <v>10396</v>
      </c>
      <c r="I1286" s="800" t="s">
        <v>10396</v>
      </c>
      <c r="J1286" s="800" t="s">
        <v>10447</v>
      </c>
      <c r="K1286" s="800">
        <v>1</v>
      </c>
      <c r="L1286" s="802" t="s">
        <v>10398</v>
      </c>
      <c r="M1286" s="802" t="s">
        <v>17350</v>
      </c>
      <c r="N1286" s="802" t="s">
        <v>17351</v>
      </c>
      <c r="O1286" s="802" t="s">
        <v>17352</v>
      </c>
      <c r="P1286" s="807" t="s">
        <v>32</v>
      </c>
    </row>
    <row r="1287" spans="1:16" s="341" customFormat="1" ht="15" customHeight="1">
      <c r="A1287" s="806" t="s">
        <v>109</v>
      </c>
      <c r="B1287" s="800" t="s">
        <v>58</v>
      </c>
      <c r="C1287" s="800" t="s">
        <v>4431</v>
      </c>
      <c r="D1287" s="800" t="s">
        <v>17353</v>
      </c>
      <c r="E1287" s="801">
        <v>43040</v>
      </c>
      <c r="F1287" s="800" t="s">
        <v>3831</v>
      </c>
      <c r="G1287" s="800" t="s">
        <v>17354</v>
      </c>
      <c r="H1287" s="800" t="s">
        <v>10396</v>
      </c>
      <c r="I1287" s="800" t="s">
        <v>10396</v>
      </c>
      <c r="J1287" s="800" t="s">
        <v>10397</v>
      </c>
      <c r="K1287" s="800">
        <v>1</v>
      </c>
      <c r="L1287" s="802" t="s">
        <v>10398</v>
      </c>
      <c r="M1287" s="802" t="s">
        <v>32</v>
      </c>
      <c r="N1287" s="802" t="s">
        <v>11290</v>
      </c>
      <c r="O1287" s="802" t="s">
        <v>17355</v>
      </c>
      <c r="P1287" s="807" t="s">
        <v>17356</v>
      </c>
    </row>
    <row r="1288" spans="1:16" s="341" customFormat="1" ht="25.5" customHeight="1">
      <c r="A1288" s="806" t="s">
        <v>109</v>
      </c>
      <c r="B1288" s="800" t="s">
        <v>705</v>
      </c>
      <c r="C1288" s="800" t="s">
        <v>17357</v>
      </c>
      <c r="D1288" s="800" t="s">
        <v>17358</v>
      </c>
      <c r="E1288" s="801">
        <v>43019</v>
      </c>
      <c r="F1288" s="800" t="s">
        <v>783</v>
      </c>
      <c r="G1288" s="800" t="s">
        <v>17359</v>
      </c>
      <c r="H1288" s="800" t="s">
        <v>10433</v>
      </c>
      <c r="I1288" s="800" t="s">
        <v>10433</v>
      </c>
      <c r="J1288" s="800" t="s">
        <v>10447</v>
      </c>
      <c r="K1288" s="800">
        <v>1</v>
      </c>
      <c r="L1288" s="802" t="s">
        <v>10398</v>
      </c>
      <c r="M1288" s="802" t="s">
        <v>17360</v>
      </c>
      <c r="N1288" s="802" t="s">
        <v>17361</v>
      </c>
      <c r="O1288" s="802" t="s">
        <v>17362</v>
      </c>
      <c r="P1288" s="807" t="s">
        <v>17363</v>
      </c>
    </row>
    <row r="1289" spans="1:16" s="341" customFormat="1" ht="15" customHeight="1">
      <c r="A1289" s="806" t="s">
        <v>109</v>
      </c>
      <c r="B1289" s="800" t="s">
        <v>705</v>
      </c>
      <c r="C1289" s="800" t="s">
        <v>17357</v>
      </c>
      <c r="D1289" s="800" t="s">
        <v>17364</v>
      </c>
      <c r="E1289" s="801">
        <v>43018</v>
      </c>
      <c r="F1289" s="800" t="s">
        <v>17365</v>
      </c>
      <c r="G1289" s="800" t="s">
        <v>17366</v>
      </c>
      <c r="H1289" s="800" t="s">
        <v>10531</v>
      </c>
      <c r="I1289" s="800" t="s">
        <v>10531</v>
      </c>
      <c r="J1289" s="800" t="s">
        <v>10397</v>
      </c>
      <c r="K1289" s="800">
        <v>1</v>
      </c>
      <c r="L1289" s="802" t="s">
        <v>10398</v>
      </c>
      <c r="M1289" s="802" t="s">
        <v>17367</v>
      </c>
      <c r="N1289" s="802" t="s">
        <v>17368</v>
      </c>
      <c r="O1289" s="802" t="s">
        <v>17369</v>
      </c>
      <c r="P1289" s="807" t="s">
        <v>17370</v>
      </c>
    </row>
    <row r="1290" spans="1:16" s="341" customFormat="1" ht="15" customHeight="1">
      <c r="A1290" s="806" t="s">
        <v>109</v>
      </c>
      <c r="B1290" s="800" t="s">
        <v>705</v>
      </c>
      <c r="C1290" s="800" t="s">
        <v>705</v>
      </c>
      <c r="D1290" s="800" t="s">
        <v>17371</v>
      </c>
      <c r="E1290" s="801">
        <v>43017</v>
      </c>
      <c r="F1290" s="800" t="s">
        <v>32</v>
      </c>
      <c r="G1290" s="800" t="s">
        <v>17372</v>
      </c>
      <c r="H1290" s="800" t="s">
        <v>10433</v>
      </c>
      <c r="I1290" s="800" t="s">
        <v>10433</v>
      </c>
      <c r="J1290" s="800" t="s">
        <v>4342</v>
      </c>
      <c r="K1290" s="800">
        <v>1</v>
      </c>
      <c r="L1290" s="802" t="s">
        <v>10398</v>
      </c>
      <c r="M1290" s="802" t="s">
        <v>17373</v>
      </c>
      <c r="N1290" s="802" t="s">
        <v>17374</v>
      </c>
      <c r="O1290" s="802" t="s">
        <v>17375</v>
      </c>
      <c r="P1290" s="807" t="s">
        <v>17376</v>
      </c>
    </row>
    <row r="1291" spans="1:16" s="341" customFormat="1" ht="25.5" customHeight="1">
      <c r="A1291" s="806" t="s">
        <v>109</v>
      </c>
      <c r="B1291" s="800" t="s">
        <v>705</v>
      </c>
      <c r="C1291" s="800" t="s">
        <v>705</v>
      </c>
      <c r="D1291" s="800" t="s">
        <v>17377</v>
      </c>
      <c r="E1291" s="801">
        <v>43019</v>
      </c>
      <c r="F1291" s="800" t="s">
        <v>6115</v>
      </c>
      <c r="G1291" s="800" t="s">
        <v>17378</v>
      </c>
      <c r="H1291" s="800" t="s">
        <v>10531</v>
      </c>
      <c r="I1291" s="800" t="s">
        <v>10531</v>
      </c>
      <c r="J1291" s="800" t="s">
        <v>10397</v>
      </c>
      <c r="K1291" s="800">
        <v>1</v>
      </c>
      <c r="L1291" s="802" t="s">
        <v>10605</v>
      </c>
      <c r="M1291" s="802" t="s">
        <v>32</v>
      </c>
      <c r="N1291" s="802" t="s">
        <v>11245</v>
      </c>
      <c r="O1291" s="802" t="s">
        <v>17379</v>
      </c>
      <c r="P1291" s="807" t="s">
        <v>17380</v>
      </c>
    </row>
    <row r="1292" spans="1:16" s="341" customFormat="1" ht="25.5" customHeight="1">
      <c r="A1292" s="806" t="s">
        <v>109</v>
      </c>
      <c r="B1292" s="800" t="s">
        <v>705</v>
      </c>
      <c r="C1292" s="800" t="s">
        <v>705</v>
      </c>
      <c r="D1292" s="800" t="s">
        <v>17381</v>
      </c>
      <c r="E1292" s="801">
        <v>43019</v>
      </c>
      <c r="F1292" s="800" t="s">
        <v>6115</v>
      </c>
      <c r="G1292" s="800" t="s">
        <v>17382</v>
      </c>
      <c r="H1292" s="800" t="s">
        <v>10404</v>
      </c>
      <c r="I1292" s="800" t="s">
        <v>10404</v>
      </c>
      <c r="J1292" s="800" t="s">
        <v>10664</v>
      </c>
      <c r="K1292" s="800">
        <v>1</v>
      </c>
      <c r="L1292" s="802" t="s">
        <v>10605</v>
      </c>
      <c r="M1292" s="802" t="s">
        <v>32</v>
      </c>
      <c r="N1292" s="802" t="s">
        <v>17383</v>
      </c>
      <c r="O1292" s="802" t="s">
        <v>17384</v>
      </c>
      <c r="P1292" s="807" t="s">
        <v>17385</v>
      </c>
    </row>
    <row r="1293" spans="1:16" s="341" customFormat="1" ht="25.5" customHeight="1">
      <c r="A1293" s="806" t="s">
        <v>109</v>
      </c>
      <c r="B1293" s="800" t="s">
        <v>705</v>
      </c>
      <c r="C1293" s="800" t="s">
        <v>705</v>
      </c>
      <c r="D1293" s="800" t="s">
        <v>17386</v>
      </c>
      <c r="E1293" s="801">
        <v>43019</v>
      </c>
      <c r="F1293" s="800" t="s">
        <v>6115</v>
      </c>
      <c r="G1293" s="800" t="s">
        <v>17387</v>
      </c>
      <c r="H1293" s="800" t="s">
        <v>10404</v>
      </c>
      <c r="I1293" s="800" t="s">
        <v>10404</v>
      </c>
      <c r="J1293" s="800" t="s">
        <v>10426</v>
      </c>
      <c r="K1293" s="800">
        <v>1</v>
      </c>
      <c r="L1293" s="802" t="s">
        <v>10398</v>
      </c>
      <c r="M1293" s="802" t="s">
        <v>17388</v>
      </c>
      <c r="N1293" s="802" t="s">
        <v>17389</v>
      </c>
      <c r="O1293" s="802" t="s">
        <v>17390</v>
      </c>
      <c r="P1293" s="807" t="s">
        <v>17391</v>
      </c>
    </row>
    <row r="1294" spans="1:16" s="341" customFormat="1" ht="25.5" customHeight="1">
      <c r="A1294" s="806" t="s">
        <v>109</v>
      </c>
      <c r="B1294" s="800" t="s">
        <v>705</v>
      </c>
      <c r="C1294" s="800" t="s">
        <v>705</v>
      </c>
      <c r="D1294" s="800" t="s">
        <v>17392</v>
      </c>
      <c r="E1294" s="801">
        <v>43018</v>
      </c>
      <c r="F1294" s="800" t="s">
        <v>6115</v>
      </c>
      <c r="G1294" s="800" t="s">
        <v>17393</v>
      </c>
      <c r="H1294" s="800" t="s">
        <v>10531</v>
      </c>
      <c r="I1294" s="800" t="s">
        <v>10531</v>
      </c>
      <c r="J1294" s="800" t="s">
        <v>10397</v>
      </c>
      <c r="K1294" s="800">
        <v>1</v>
      </c>
      <c r="L1294" s="802" t="s">
        <v>10398</v>
      </c>
      <c r="M1294" s="802" t="s">
        <v>17394</v>
      </c>
      <c r="N1294" s="802" t="s">
        <v>15420</v>
      </c>
      <c r="O1294" s="802" t="s">
        <v>17395</v>
      </c>
      <c r="P1294" s="807" t="s">
        <v>17396</v>
      </c>
    </row>
    <row r="1295" spans="1:16" s="341" customFormat="1" ht="15" customHeight="1">
      <c r="A1295" s="806" t="s">
        <v>109</v>
      </c>
      <c r="B1295" s="800" t="s">
        <v>705</v>
      </c>
      <c r="C1295" s="800" t="s">
        <v>705</v>
      </c>
      <c r="D1295" s="800" t="s">
        <v>17397</v>
      </c>
      <c r="E1295" s="801">
        <v>43014</v>
      </c>
      <c r="F1295" s="800" t="s">
        <v>6115</v>
      </c>
      <c r="G1295" s="800" t="s">
        <v>17398</v>
      </c>
      <c r="H1295" s="800" t="s">
        <v>10531</v>
      </c>
      <c r="I1295" s="800" t="s">
        <v>10531</v>
      </c>
      <c r="J1295" s="800" t="s">
        <v>10397</v>
      </c>
      <c r="K1295" s="800">
        <v>1</v>
      </c>
      <c r="L1295" s="802" t="s">
        <v>10398</v>
      </c>
      <c r="M1295" s="802" t="s">
        <v>17399</v>
      </c>
      <c r="N1295" s="802" t="s">
        <v>16374</v>
      </c>
      <c r="O1295" s="802" t="s">
        <v>17400</v>
      </c>
      <c r="P1295" s="807" t="s">
        <v>17401</v>
      </c>
    </row>
    <row r="1296" spans="1:16" s="341" customFormat="1" ht="15" customHeight="1">
      <c r="A1296" s="806" t="s">
        <v>109</v>
      </c>
      <c r="B1296" s="800" t="s">
        <v>705</v>
      </c>
      <c r="C1296" s="800" t="s">
        <v>705</v>
      </c>
      <c r="D1296" s="800" t="s">
        <v>17402</v>
      </c>
      <c r="E1296" s="801">
        <v>43017</v>
      </c>
      <c r="F1296" s="800" t="s">
        <v>17403</v>
      </c>
      <c r="G1296" s="800" t="s">
        <v>17404</v>
      </c>
      <c r="H1296" s="800" t="s">
        <v>10433</v>
      </c>
      <c r="I1296" s="800" t="s">
        <v>10433</v>
      </c>
      <c r="J1296" s="800" t="s">
        <v>4342</v>
      </c>
      <c r="K1296" s="800">
        <v>1</v>
      </c>
      <c r="L1296" s="802" t="s">
        <v>10398</v>
      </c>
      <c r="M1296" s="802" t="s">
        <v>17405</v>
      </c>
      <c r="N1296" s="802" t="s">
        <v>17406</v>
      </c>
      <c r="O1296" s="802" t="s">
        <v>17407</v>
      </c>
      <c r="P1296" s="807" t="s">
        <v>17408</v>
      </c>
    </row>
    <row r="1297" spans="1:16" s="341" customFormat="1" ht="25.5" customHeight="1">
      <c r="A1297" s="806" t="s">
        <v>109</v>
      </c>
      <c r="B1297" s="800" t="s">
        <v>705</v>
      </c>
      <c r="C1297" s="800" t="s">
        <v>705</v>
      </c>
      <c r="D1297" s="800" t="s">
        <v>17409</v>
      </c>
      <c r="E1297" s="801">
        <v>43018</v>
      </c>
      <c r="F1297" s="800" t="s">
        <v>17403</v>
      </c>
      <c r="G1297" s="800" t="s">
        <v>17410</v>
      </c>
      <c r="H1297" s="800" t="s">
        <v>10404</v>
      </c>
      <c r="I1297" s="800" t="s">
        <v>10404</v>
      </c>
      <c r="J1297" s="800" t="s">
        <v>10664</v>
      </c>
      <c r="K1297" s="800">
        <v>1</v>
      </c>
      <c r="L1297" s="802" t="s">
        <v>10398</v>
      </c>
      <c r="M1297" s="802" t="s">
        <v>17411</v>
      </c>
      <c r="N1297" s="802" t="s">
        <v>13037</v>
      </c>
      <c r="O1297" s="802" t="s">
        <v>17412</v>
      </c>
      <c r="P1297" s="807" t="s">
        <v>17413</v>
      </c>
    </row>
    <row r="1298" spans="1:16" s="341" customFormat="1" ht="25.5" customHeight="1">
      <c r="A1298" s="806" t="s">
        <v>109</v>
      </c>
      <c r="B1298" s="800" t="s">
        <v>705</v>
      </c>
      <c r="C1298" s="800" t="s">
        <v>705</v>
      </c>
      <c r="D1298" s="800" t="s">
        <v>17414</v>
      </c>
      <c r="E1298" s="801">
        <v>43019</v>
      </c>
      <c r="F1298" s="800" t="s">
        <v>17403</v>
      </c>
      <c r="G1298" s="800" t="s">
        <v>17415</v>
      </c>
      <c r="H1298" s="800" t="s">
        <v>10433</v>
      </c>
      <c r="I1298" s="800" t="s">
        <v>10433</v>
      </c>
      <c r="J1298" s="800" t="s">
        <v>4342</v>
      </c>
      <c r="K1298" s="800">
        <v>1</v>
      </c>
      <c r="L1298" s="802" t="s">
        <v>10398</v>
      </c>
      <c r="M1298" s="802" t="s">
        <v>17416</v>
      </c>
      <c r="N1298" s="802" t="s">
        <v>17417</v>
      </c>
      <c r="O1298" s="802" t="s">
        <v>17418</v>
      </c>
      <c r="P1298" s="807" t="s">
        <v>17419</v>
      </c>
    </row>
    <row r="1299" spans="1:16" s="341" customFormat="1" ht="25.5" customHeight="1">
      <c r="A1299" s="806" t="s">
        <v>109</v>
      </c>
      <c r="B1299" s="800" t="s">
        <v>705</v>
      </c>
      <c r="C1299" s="800" t="s">
        <v>705</v>
      </c>
      <c r="D1299" s="800" t="s">
        <v>17420</v>
      </c>
      <c r="E1299" s="801">
        <v>43018</v>
      </c>
      <c r="F1299" s="800" t="s">
        <v>17421</v>
      </c>
      <c r="G1299" s="800" t="s">
        <v>17422</v>
      </c>
      <c r="H1299" s="800" t="s">
        <v>10433</v>
      </c>
      <c r="I1299" s="800" t="s">
        <v>10433</v>
      </c>
      <c r="J1299" s="800" t="s">
        <v>10447</v>
      </c>
      <c r="K1299" s="800">
        <v>1</v>
      </c>
      <c r="L1299" s="802" t="s">
        <v>10398</v>
      </c>
      <c r="M1299" s="802" t="s">
        <v>17423</v>
      </c>
      <c r="N1299" s="802" t="s">
        <v>17424</v>
      </c>
      <c r="O1299" s="802" t="s">
        <v>17425</v>
      </c>
      <c r="P1299" s="807" t="s">
        <v>17426</v>
      </c>
    </row>
    <row r="1300" spans="1:16" s="341" customFormat="1" ht="25.5" customHeight="1">
      <c r="A1300" s="806" t="s">
        <v>109</v>
      </c>
      <c r="B1300" s="800" t="s">
        <v>705</v>
      </c>
      <c r="C1300" s="800" t="s">
        <v>705</v>
      </c>
      <c r="D1300" s="800" t="s">
        <v>17427</v>
      </c>
      <c r="E1300" s="801">
        <v>43018</v>
      </c>
      <c r="F1300" s="800" t="s">
        <v>17421</v>
      </c>
      <c r="G1300" s="800" t="s">
        <v>32</v>
      </c>
      <c r="H1300" s="800" t="s">
        <v>10433</v>
      </c>
      <c r="I1300" s="800" t="s">
        <v>10433</v>
      </c>
      <c r="J1300" s="800" t="s">
        <v>10447</v>
      </c>
      <c r="K1300" s="800">
        <v>1</v>
      </c>
      <c r="L1300" s="802" t="s">
        <v>10398</v>
      </c>
      <c r="M1300" s="802" t="s">
        <v>17428</v>
      </c>
      <c r="N1300" s="802" t="s">
        <v>10705</v>
      </c>
      <c r="O1300" s="802" t="s">
        <v>17429</v>
      </c>
      <c r="P1300" s="807" t="s">
        <v>17430</v>
      </c>
    </row>
    <row r="1301" spans="1:16" s="341" customFormat="1" ht="25.5" customHeight="1">
      <c r="A1301" s="806" t="s">
        <v>109</v>
      </c>
      <c r="B1301" s="800" t="s">
        <v>705</v>
      </c>
      <c r="C1301" s="800" t="s">
        <v>705</v>
      </c>
      <c r="D1301" s="800" t="s">
        <v>17431</v>
      </c>
      <c r="E1301" s="801">
        <v>43018</v>
      </c>
      <c r="F1301" s="800" t="s">
        <v>17421</v>
      </c>
      <c r="G1301" s="800" t="s">
        <v>17432</v>
      </c>
      <c r="H1301" s="800" t="s">
        <v>10531</v>
      </c>
      <c r="I1301" s="800" t="s">
        <v>10531</v>
      </c>
      <c r="J1301" s="800" t="s">
        <v>10447</v>
      </c>
      <c r="K1301" s="800">
        <v>1</v>
      </c>
      <c r="L1301" s="802" t="s">
        <v>10398</v>
      </c>
      <c r="M1301" s="802" t="s">
        <v>17433</v>
      </c>
      <c r="N1301" s="802" t="s">
        <v>17434</v>
      </c>
      <c r="O1301" s="802" t="s">
        <v>17435</v>
      </c>
      <c r="P1301" s="807" t="s">
        <v>17436</v>
      </c>
    </row>
    <row r="1302" spans="1:16" s="341" customFormat="1" ht="25.5" customHeight="1">
      <c r="A1302" s="806" t="s">
        <v>109</v>
      </c>
      <c r="B1302" s="800" t="s">
        <v>705</v>
      </c>
      <c r="C1302" s="800" t="s">
        <v>705</v>
      </c>
      <c r="D1302" s="800" t="s">
        <v>17437</v>
      </c>
      <c r="E1302" s="801">
        <v>43018</v>
      </c>
      <c r="F1302" s="800" t="s">
        <v>17403</v>
      </c>
      <c r="G1302" s="800" t="s">
        <v>17438</v>
      </c>
      <c r="H1302" s="800" t="s">
        <v>10531</v>
      </c>
      <c r="I1302" s="800" t="s">
        <v>10531</v>
      </c>
      <c r="J1302" s="800" t="s">
        <v>10397</v>
      </c>
      <c r="K1302" s="800">
        <v>1</v>
      </c>
      <c r="L1302" s="802" t="s">
        <v>10398</v>
      </c>
      <c r="M1302" s="802" t="s">
        <v>17439</v>
      </c>
      <c r="N1302" s="802" t="s">
        <v>10571</v>
      </c>
      <c r="O1302" s="802" t="s">
        <v>17440</v>
      </c>
      <c r="P1302" s="807" t="s">
        <v>17441</v>
      </c>
    </row>
    <row r="1303" spans="1:16" s="341" customFormat="1" ht="25.5" customHeight="1">
      <c r="A1303" s="806" t="s">
        <v>109</v>
      </c>
      <c r="B1303" s="800" t="s">
        <v>705</v>
      </c>
      <c r="C1303" s="800" t="s">
        <v>705</v>
      </c>
      <c r="D1303" s="800" t="s">
        <v>17442</v>
      </c>
      <c r="E1303" s="801">
        <v>43013</v>
      </c>
      <c r="F1303" s="800" t="s">
        <v>17443</v>
      </c>
      <c r="G1303" s="800" t="s">
        <v>17444</v>
      </c>
      <c r="H1303" s="800" t="s">
        <v>10531</v>
      </c>
      <c r="I1303" s="800" t="s">
        <v>10531</v>
      </c>
      <c r="J1303" s="800" t="s">
        <v>10664</v>
      </c>
      <c r="K1303" s="800">
        <v>1</v>
      </c>
      <c r="L1303" s="802" t="s">
        <v>10398</v>
      </c>
      <c r="M1303" s="802" t="s">
        <v>17445</v>
      </c>
      <c r="N1303" s="802" t="s">
        <v>17446</v>
      </c>
      <c r="O1303" s="802" t="s">
        <v>17447</v>
      </c>
      <c r="P1303" s="807" t="s">
        <v>32</v>
      </c>
    </row>
    <row r="1304" spans="1:16" s="341" customFormat="1" ht="25.5" customHeight="1">
      <c r="A1304" s="806" t="s">
        <v>109</v>
      </c>
      <c r="B1304" s="800" t="s">
        <v>705</v>
      </c>
      <c r="C1304" s="800" t="s">
        <v>705</v>
      </c>
      <c r="D1304" s="800" t="s">
        <v>17448</v>
      </c>
      <c r="E1304" s="801">
        <v>43014</v>
      </c>
      <c r="F1304" s="800" t="s">
        <v>17443</v>
      </c>
      <c r="G1304" s="800" t="s">
        <v>17449</v>
      </c>
      <c r="H1304" s="800" t="s">
        <v>10531</v>
      </c>
      <c r="I1304" s="800" t="s">
        <v>10531</v>
      </c>
      <c r="J1304" s="800" t="s">
        <v>10447</v>
      </c>
      <c r="K1304" s="800">
        <v>1</v>
      </c>
      <c r="L1304" s="802" t="s">
        <v>10398</v>
      </c>
      <c r="M1304" s="802" t="s">
        <v>17450</v>
      </c>
      <c r="N1304" s="802" t="s">
        <v>15464</v>
      </c>
      <c r="O1304" s="802" t="s">
        <v>17451</v>
      </c>
      <c r="P1304" s="807" t="s">
        <v>17452</v>
      </c>
    </row>
    <row r="1305" spans="1:16" s="341" customFormat="1" ht="25.5" customHeight="1">
      <c r="A1305" s="806" t="s">
        <v>109</v>
      </c>
      <c r="B1305" s="800" t="s">
        <v>705</v>
      </c>
      <c r="C1305" s="800" t="s">
        <v>705</v>
      </c>
      <c r="D1305" s="800" t="s">
        <v>17453</v>
      </c>
      <c r="E1305" s="801">
        <v>43017</v>
      </c>
      <c r="F1305" s="800" t="s">
        <v>17403</v>
      </c>
      <c r="G1305" s="800" t="s">
        <v>17454</v>
      </c>
      <c r="H1305" s="800" t="s">
        <v>10531</v>
      </c>
      <c r="I1305" s="800" t="s">
        <v>10531</v>
      </c>
      <c r="J1305" s="800" t="s">
        <v>4342</v>
      </c>
      <c r="K1305" s="800">
        <v>1</v>
      </c>
      <c r="L1305" s="802" t="s">
        <v>10398</v>
      </c>
      <c r="M1305" s="802" t="s">
        <v>17455</v>
      </c>
      <c r="N1305" s="802" t="s">
        <v>16402</v>
      </c>
      <c r="O1305" s="802" t="s">
        <v>17456</v>
      </c>
      <c r="P1305" s="807" t="s">
        <v>17457</v>
      </c>
    </row>
    <row r="1306" spans="1:16" s="341" customFormat="1" ht="25.5" customHeight="1">
      <c r="A1306" s="806" t="s">
        <v>109</v>
      </c>
      <c r="B1306" s="800" t="s">
        <v>705</v>
      </c>
      <c r="C1306" s="800" t="s">
        <v>705</v>
      </c>
      <c r="D1306" s="800" t="s">
        <v>17458</v>
      </c>
      <c r="E1306" s="801">
        <v>43017</v>
      </c>
      <c r="F1306" s="800" t="s">
        <v>17403</v>
      </c>
      <c r="G1306" s="800" t="s">
        <v>17459</v>
      </c>
      <c r="H1306" s="800" t="s">
        <v>10531</v>
      </c>
      <c r="I1306" s="800" t="s">
        <v>10531</v>
      </c>
      <c r="J1306" s="800" t="s">
        <v>10397</v>
      </c>
      <c r="K1306" s="800">
        <v>1</v>
      </c>
      <c r="L1306" s="802" t="s">
        <v>10398</v>
      </c>
      <c r="M1306" s="802" t="s">
        <v>17460</v>
      </c>
      <c r="N1306" s="802" t="s">
        <v>16330</v>
      </c>
      <c r="O1306" s="802" t="s">
        <v>17461</v>
      </c>
      <c r="P1306" s="807" t="s">
        <v>17462</v>
      </c>
    </row>
    <row r="1307" spans="1:16" s="341" customFormat="1" ht="25.5" customHeight="1">
      <c r="A1307" s="806" t="s">
        <v>109</v>
      </c>
      <c r="B1307" s="800" t="s">
        <v>705</v>
      </c>
      <c r="C1307" s="800" t="s">
        <v>705</v>
      </c>
      <c r="D1307" s="800" t="s">
        <v>17463</v>
      </c>
      <c r="E1307" s="801">
        <v>43017</v>
      </c>
      <c r="F1307" s="800" t="s">
        <v>17464</v>
      </c>
      <c r="G1307" s="800" t="s">
        <v>17465</v>
      </c>
      <c r="H1307" s="800" t="s">
        <v>10531</v>
      </c>
      <c r="I1307" s="800" t="s">
        <v>10531</v>
      </c>
      <c r="J1307" s="800" t="s">
        <v>10397</v>
      </c>
      <c r="K1307" s="800">
        <v>1</v>
      </c>
      <c r="L1307" s="802" t="s">
        <v>10398</v>
      </c>
      <c r="M1307" s="802" t="s">
        <v>17466</v>
      </c>
      <c r="N1307" s="802" t="s">
        <v>17467</v>
      </c>
      <c r="O1307" s="802" t="s">
        <v>17468</v>
      </c>
      <c r="P1307" s="807" t="s">
        <v>17469</v>
      </c>
    </row>
    <row r="1308" spans="1:16" s="341" customFormat="1" ht="15" customHeight="1">
      <c r="A1308" s="806" t="s">
        <v>109</v>
      </c>
      <c r="B1308" s="800" t="s">
        <v>705</v>
      </c>
      <c r="C1308" s="800" t="s">
        <v>705</v>
      </c>
      <c r="D1308" s="800" t="s">
        <v>17470</v>
      </c>
      <c r="E1308" s="801">
        <v>43013</v>
      </c>
      <c r="F1308" s="800" t="s">
        <v>17443</v>
      </c>
      <c r="G1308" s="800" t="s">
        <v>17471</v>
      </c>
      <c r="H1308" s="800" t="s">
        <v>10396</v>
      </c>
      <c r="I1308" s="800" t="s">
        <v>10396</v>
      </c>
      <c r="J1308" s="800" t="s">
        <v>10426</v>
      </c>
      <c r="K1308" s="800">
        <v>1</v>
      </c>
      <c r="L1308" s="802" t="s">
        <v>10398</v>
      </c>
      <c r="M1308" s="802" t="s">
        <v>17472</v>
      </c>
      <c r="N1308" s="802" t="s">
        <v>17473</v>
      </c>
      <c r="O1308" s="802" t="s">
        <v>17474</v>
      </c>
      <c r="P1308" s="807" t="s">
        <v>17475</v>
      </c>
    </row>
    <row r="1309" spans="1:16" s="341" customFormat="1" ht="25.5" customHeight="1">
      <c r="A1309" s="806" t="s">
        <v>109</v>
      </c>
      <c r="B1309" s="800" t="s">
        <v>705</v>
      </c>
      <c r="C1309" s="800" t="s">
        <v>705</v>
      </c>
      <c r="D1309" s="800" t="s">
        <v>17476</v>
      </c>
      <c r="E1309" s="801">
        <v>43017</v>
      </c>
      <c r="F1309" s="800" t="s">
        <v>17403</v>
      </c>
      <c r="G1309" s="800" t="s">
        <v>17477</v>
      </c>
      <c r="H1309" s="800" t="s">
        <v>10396</v>
      </c>
      <c r="I1309" s="800" t="s">
        <v>10396</v>
      </c>
      <c r="J1309" s="800" t="s">
        <v>4342</v>
      </c>
      <c r="K1309" s="800">
        <v>1</v>
      </c>
      <c r="L1309" s="802" t="s">
        <v>10398</v>
      </c>
      <c r="M1309" s="802" t="s">
        <v>17478</v>
      </c>
      <c r="N1309" s="802" t="s">
        <v>17479</v>
      </c>
      <c r="O1309" s="802" t="s">
        <v>17480</v>
      </c>
      <c r="P1309" s="807" t="s">
        <v>17481</v>
      </c>
    </row>
    <row r="1310" spans="1:16" s="341" customFormat="1" ht="15" customHeight="1">
      <c r="A1310" s="806" t="s">
        <v>109</v>
      </c>
      <c r="B1310" s="800" t="s">
        <v>705</v>
      </c>
      <c r="C1310" s="800" t="s">
        <v>705</v>
      </c>
      <c r="D1310" s="800" t="s">
        <v>17482</v>
      </c>
      <c r="E1310" s="801">
        <v>43018</v>
      </c>
      <c r="F1310" s="800" t="s">
        <v>17403</v>
      </c>
      <c r="G1310" s="800" t="s">
        <v>17483</v>
      </c>
      <c r="H1310" s="800" t="s">
        <v>10396</v>
      </c>
      <c r="I1310" s="800" t="s">
        <v>10396</v>
      </c>
      <c r="J1310" s="800" t="s">
        <v>10397</v>
      </c>
      <c r="K1310" s="800">
        <v>1</v>
      </c>
      <c r="L1310" s="802" t="s">
        <v>10398</v>
      </c>
      <c r="M1310" s="802" t="s">
        <v>17484</v>
      </c>
      <c r="N1310" s="802" t="s">
        <v>16215</v>
      </c>
      <c r="O1310" s="802" t="s">
        <v>17485</v>
      </c>
      <c r="P1310" s="807" t="s">
        <v>17486</v>
      </c>
    </row>
    <row r="1311" spans="1:16" s="341" customFormat="1" ht="15" customHeight="1">
      <c r="A1311" s="806" t="s">
        <v>109</v>
      </c>
      <c r="B1311" s="800" t="s">
        <v>705</v>
      </c>
      <c r="C1311" s="800" t="s">
        <v>705</v>
      </c>
      <c r="D1311" s="800" t="s">
        <v>17487</v>
      </c>
      <c r="E1311" s="801">
        <v>43017</v>
      </c>
      <c r="F1311" s="800" t="s">
        <v>17403</v>
      </c>
      <c r="G1311" s="800" t="s">
        <v>32</v>
      </c>
      <c r="H1311" s="800" t="s">
        <v>10396</v>
      </c>
      <c r="I1311" s="800" t="s">
        <v>10396</v>
      </c>
      <c r="J1311" s="800" t="s">
        <v>10397</v>
      </c>
      <c r="K1311" s="800">
        <v>1</v>
      </c>
      <c r="L1311" s="802" t="s">
        <v>10398</v>
      </c>
      <c r="M1311" s="802" t="s">
        <v>17488</v>
      </c>
      <c r="N1311" s="802" t="s">
        <v>17489</v>
      </c>
      <c r="O1311" s="802" t="s">
        <v>17490</v>
      </c>
      <c r="P1311" s="807" t="s">
        <v>32</v>
      </c>
    </row>
    <row r="1312" spans="1:16" s="341" customFormat="1" ht="15" customHeight="1">
      <c r="A1312" s="806" t="s">
        <v>109</v>
      </c>
      <c r="B1312" s="800" t="s">
        <v>705</v>
      </c>
      <c r="C1312" s="800" t="s">
        <v>705</v>
      </c>
      <c r="D1312" s="800" t="s">
        <v>17491</v>
      </c>
      <c r="E1312" s="801">
        <v>43017</v>
      </c>
      <c r="F1312" s="800" t="s">
        <v>17464</v>
      </c>
      <c r="G1312" s="800" t="s">
        <v>17492</v>
      </c>
      <c r="H1312" s="800" t="s">
        <v>10404</v>
      </c>
      <c r="I1312" s="800" t="s">
        <v>10404</v>
      </c>
      <c r="J1312" s="800" t="s">
        <v>10397</v>
      </c>
      <c r="K1312" s="800">
        <v>1</v>
      </c>
      <c r="L1312" s="802" t="s">
        <v>10398</v>
      </c>
      <c r="M1312" s="802" t="s">
        <v>17493</v>
      </c>
      <c r="N1312" s="802" t="s">
        <v>10889</v>
      </c>
      <c r="O1312" s="802" t="s">
        <v>17494</v>
      </c>
      <c r="P1312" s="807" t="s">
        <v>17495</v>
      </c>
    </row>
    <row r="1313" spans="1:16" s="341" customFormat="1" ht="25.5" customHeight="1">
      <c r="A1313" s="806" t="s">
        <v>109</v>
      </c>
      <c r="B1313" s="800" t="s">
        <v>705</v>
      </c>
      <c r="C1313" s="800" t="s">
        <v>705</v>
      </c>
      <c r="D1313" s="800" t="s">
        <v>17496</v>
      </c>
      <c r="E1313" s="801">
        <v>43017</v>
      </c>
      <c r="F1313" s="800" t="s">
        <v>17403</v>
      </c>
      <c r="G1313" s="800" t="s">
        <v>17497</v>
      </c>
      <c r="H1313" s="800" t="s">
        <v>10404</v>
      </c>
      <c r="I1313" s="800" t="s">
        <v>10404</v>
      </c>
      <c r="J1313" s="800" t="s">
        <v>10397</v>
      </c>
      <c r="K1313" s="800">
        <v>1</v>
      </c>
      <c r="L1313" s="802" t="s">
        <v>10398</v>
      </c>
      <c r="M1313" s="802" t="s">
        <v>17498</v>
      </c>
      <c r="N1313" s="802" t="s">
        <v>10802</v>
      </c>
      <c r="O1313" s="802" t="s">
        <v>17480</v>
      </c>
      <c r="P1313" s="807" t="s">
        <v>17499</v>
      </c>
    </row>
    <row r="1314" spans="1:16" s="341" customFormat="1" ht="25.5" customHeight="1">
      <c r="A1314" s="806" t="s">
        <v>109</v>
      </c>
      <c r="B1314" s="800" t="s">
        <v>705</v>
      </c>
      <c r="C1314" s="800" t="s">
        <v>705</v>
      </c>
      <c r="D1314" s="800" t="s">
        <v>17500</v>
      </c>
      <c r="E1314" s="801">
        <v>43017</v>
      </c>
      <c r="F1314" s="800" t="s">
        <v>17403</v>
      </c>
      <c r="G1314" s="800" t="s">
        <v>17497</v>
      </c>
      <c r="H1314" s="800" t="s">
        <v>10404</v>
      </c>
      <c r="I1314" s="800" t="s">
        <v>10404</v>
      </c>
      <c r="J1314" s="800" t="s">
        <v>10397</v>
      </c>
      <c r="K1314" s="800">
        <v>1</v>
      </c>
      <c r="L1314" s="802" t="s">
        <v>10398</v>
      </c>
      <c r="M1314" s="802" t="s">
        <v>17501</v>
      </c>
      <c r="N1314" s="802" t="s">
        <v>17502</v>
      </c>
      <c r="O1314" s="802" t="s">
        <v>17503</v>
      </c>
      <c r="P1314" s="807" t="s">
        <v>17504</v>
      </c>
    </row>
    <row r="1315" spans="1:16" s="341" customFormat="1" ht="15" customHeight="1">
      <c r="A1315" s="806" t="s">
        <v>109</v>
      </c>
      <c r="B1315" s="800" t="s">
        <v>705</v>
      </c>
      <c r="C1315" s="800" t="s">
        <v>705</v>
      </c>
      <c r="D1315" s="800" t="s">
        <v>17505</v>
      </c>
      <c r="E1315" s="801">
        <v>43020</v>
      </c>
      <c r="F1315" s="800" t="s">
        <v>17506</v>
      </c>
      <c r="G1315" s="800" t="s">
        <v>17507</v>
      </c>
      <c r="H1315" s="800" t="s">
        <v>10404</v>
      </c>
      <c r="I1315" s="800" t="s">
        <v>10404</v>
      </c>
      <c r="J1315" s="800" t="s">
        <v>10397</v>
      </c>
      <c r="K1315" s="800">
        <v>1</v>
      </c>
      <c r="L1315" s="802" t="s">
        <v>10398</v>
      </c>
      <c r="M1315" s="802" t="s">
        <v>17508</v>
      </c>
      <c r="N1315" s="802" t="s">
        <v>10808</v>
      </c>
      <c r="O1315" s="802" t="s">
        <v>17509</v>
      </c>
      <c r="P1315" s="807" t="s">
        <v>17510</v>
      </c>
    </row>
    <row r="1316" spans="1:16" s="341" customFormat="1" ht="15" customHeight="1">
      <c r="A1316" s="806" t="s">
        <v>109</v>
      </c>
      <c r="B1316" s="800" t="s">
        <v>705</v>
      </c>
      <c r="C1316" s="800" t="s">
        <v>705</v>
      </c>
      <c r="D1316" s="800" t="s">
        <v>17511</v>
      </c>
      <c r="E1316" s="801">
        <v>43013</v>
      </c>
      <c r="F1316" s="800" t="s">
        <v>17403</v>
      </c>
      <c r="G1316" s="800" t="s">
        <v>17512</v>
      </c>
      <c r="H1316" s="800" t="s">
        <v>10433</v>
      </c>
      <c r="I1316" s="800" t="s">
        <v>10433</v>
      </c>
      <c r="J1316" s="800" t="s">
        <v>10447</v>
      </c>
      <c r="K1316" s="800">
        <v>1</v>
      </c>
      <c r="L1316" s="802" t="s">
        <v>10398</v>
      </c>
      <c r="M1316" s="802" t="s">
        <v>17513</v>
      </c>
      <c r="N1316" s="802" t="s">
        <v>17514</v>
      </c>
      <c r="O1316" s="802" t="s">
        <v>17515</v>
      </c>
      <c r="P1316" s="807" t="s">
        <v>17516</v>
      </c>
    </row>
    <row r="1317" spans="1:16" s="341" customFormat="1" ht="25.5" customHeight="1">
      <c r="A1317" s="806" t="s">
        <v>109</v>
      </c>
      <c r="B1317" s="800" t="s">
        <v>705</v>
      </c>
      <c r="C1317" s="800" t="s">
        <v>705</v>
      </c>
      <c r="D1317" s="800" t="s">
        <v>17517</v>
      </c>
      <c r="E1317" s="801">
        <v>43018</v>
      </c>
      <c r="F1317" s="800" t="s">
        <v>17403</v>
      </c>
      <c r="G1317" s="800" t="s">
        <v>17518</v>
      </c>
      <c r="H1317" s="800" t="s">
        <v>10433</v>
      </c>
      <c r="I1317" s="800" t="s">
        <v>10433</v>
      </c>
      <c r="J1317" s="800" t="s">
        <v>10397</v>
      </c>
      <c r="K1317" s="800">
        <v>1</v>
      </c>
      <c r="L1317" s="802" t="s">
        <v>10398</v>
      </c>
      <c r="M1317" s="802" t="s">
        <v>17519</v>
      </c>
      <c r="N1317" s="802" t="s">
        <v>17520</v>
      </c>
      <c r="O1317" s="802" t="s">
        <v>17521</v>
      </c>
      <c r="P1317" s="807" t="s">
        <v>32</v>
      </c>
    </row>
    <row r="1318" spans="1:16" s="341" customFormat="1" ht="25.5" customHeight="1">
      <c r="A1318" s="806" t="s">
        <v>109</v>
      </c>
      <c r="B1318" s="800" t="s">
        <v>705</v>
      </c>
      <c r="C1318" s="800" t="s">
        <v>705</v>
      </c>
      <c r="D1318" s="800" t="s">
        <v>17522</v>
      </c>
      <c r="E1318" s="801">
        <v>43013</v>
      </c>
      <c r="F1318" s="800" t="s">
        <v>6115</v>
      </c>
      <c r="G1318" s="800" t="s">
        <v>17523</v>
      </c>
      <c r="H1318" s="800" t="s">
        <v>10433</v>
      </c>
      <c r="I1318" s="800" t="s">
        <v>10433</v>
      </c>
      <c r="J1318" s="800" t="s">
        <v>10405</v>
      </c>
      <c r="K1318" s="800">
        <v>1</v>
      </c>
      <c r="L1318" s="802" t="s">
        <v>10398</v>
      </c>
      <c r="M1318" s="802" t="s">
        <v>17524</v>
      </c>
      <c r="N1318" s="802" t="s">
        <v>17525</v>
      </c>
      <c r="O1318" s="802" t="s">
        <v>17526</v>
      </c>
      <c r="P1318" s="807" t="s">
        <v>17527</v>
      </c>
    </row>
    <row r="1319" spans="1:16" s="341" customFormat="1" ht="15" customHeight="1">
      <c r="A1319" s="806" t="s">
        <v>109</v>
      </c>
      <c r="B1319" s="800" t="s">
        <v>705</v>
      </c>
      <c r="C1319" s="800" t="s">
        <v>705</v>
      </c>
      <c r="D1319" s="800" t="s">
        <v>17528</v>
      </c>
      <c r="E1319" s="801">
        <v>43020</v>
      </c>
      <c r="F1319" s="800" t="s">
        <v>17403</v>
      </c>
      <c r="G1319" s="800" t="s">
        <v>32</v>
      </c>
      <c r="H1319" s="800" t="s">
        <v>10531</v>
      </c>
      <c r="I1319" s="800" t="s">
        <v>10531</v>
      </c>
      <c r="J1319" s="800" t="s">
        <v>10447</v>
      </c>
      <c r="K1319" s="800">
        <v>1</v>
      </c>
      <c r="L1319" s="802" t="s">
        <v>10398</v>
      </c>
      <c r="M1319" s="802" t="s">
        <v>17529</v>
      </c>
      <c r="N1319" s="802" t="s">
        <v>10957</v>
      </c>
      <c r="O1319" s="802" t="s">
        <v>17530</v>
      </c>
      <c r="P1319" s="807" t="s">
        <v>17531</v>
      </c>
    </row>
    <row r="1320" spans="1:16" s="341" customFormat="1" ht="15" customHeight="1">
      <c r="A1320" s="806" t="s">
        <v>109</v>
      </c>
      <c r="B1320" s="800" t="s">
        <v>705</v>
      </c>
      <c r="C1320" s="800" t="s">
        <v>705</v>
      </c>
      <c r="D1320" s="800" t="s">
        <v>17532</v>
      </c>
      <c r="E1320" s="801">
        <v>43020</v>
      </c>
      <c r="F1320" s="800" t="s">
        <v>17421</v>
      </c>
      <c r="G1320" s="800" t="s">
        <v>17533</v>
      </c>
      <c r="H1320" s="800" t="s">
        <v>10404</v>
      </c>
      <c r="I1320" s="800" t="s">
        <v>10404</v>
      </c>
      <c r="J1320" s="800" t="s">
        <v>10426</v>
      </c>
      <c r="K1320" s="800">
        <v>1</v>
      </c>
      <c r="L1320" s="802" t="s">
        <v>10398</v>
      </c>
      <c r="M1320" s="802" t="s">
        <v>17534</v>
      </c>
      <c r="N1320" s="802" t="s">
        <v>17535</v>
      </c>
      <c r="O1320" s="802" t="s">
        <v>17536</v>
      </c>
      <c r="P1320" s="807" t="s">
        <v>17537</v>
      </c>
    </row>
    <row r="1321" spans="1:16" s="341" customFormat="1" ht="15" customHeight="1">
      <c r="A1321" s="806" t="s">
        <v>109</v>
      </c>
      <c r="B1321" s="800" t="s">
        <v>4411</v>
      </c>
      <c r="C1321" s="800" t="s">
        <v>376</v>
      </c>
      <c r="D1321" s="800" t="s">
        <v>17538</v>
      </c>
      <c r="E1321" s="801">
        <v>43017</v>
      </c>
      <c r="F1321" s="800" t="s">
        <v>17539</v>
      </c>
      <c r="G1321" s="800" t="s">
        <v>32</v>
      </c>
      <c r="H1321" s="800" t="s">
        <v>10433</v>
      </c>
      <c r="I1321" s="800" t="s">
        <v>10433</v>
      </c>
      <c r="J1321" s="800" t="s">
        <v>10447</v>
      </c>
      <c r="K1321" s="800">
        <v>1</v>
      </c>
      <c r="L1321" s="802" t="s">
        <v>10398</v>
      </c>
      <c r="M1321" s="802" t="s">
        <v>17540</v>
      </c>
      <c r="N1321" s="802" t="s">
        <v>16384</v>
      </c>
      <c r="O1321" s="802" t="s">
        <v>17541</v>
      </c>
      <c r="P1321" s="807" t="s">
        <v>32</v>
      </c>
    </row>
    <row r="1322" spans="1:16" s="341" customFormat="1" ht="25.5" customHeight="1">
      <c r="A1322" s="806" t="s">
        <v>109</v>
      </c>
      <c r="B1322" s="800" t="s">
        <v>4411</v>
      </c>
      <c r="C1322" s="800" t="s">
        <v>376</v>
      </c>
      <c r="D1322" s="800" t="s">
        <v>17542</v>
      </c>
      <c r="E1322" s="801">
        <v>43017</v>
      </c>
      <c r="F1322" s="800" t="s">
        <v>17539</v>
      </c>
      <c r="G1322" s="800" t="s">
        <v>32</v>
      </c>
      <c r="H1322" s="800" t="s">
        <v>10433</v>
      </c>
      <c r="I1322" s="800" t="s">
        <v>10433</v>
      </c>
      <c r="J1322" s="800" t="s">
        <v>10447</v>
      </c>
      <c r="K1322" s="800">
        <v>1</v>
      </c>
      <c r="L1322" s="802" t="s">
        <v>10398</v>
      </c>
      <c r="M1322" s="802" t="s">
        <v>17543</v>
      </c>
      <c r="N1322" s="802" t="s">
        <v>11220</v>
      </c>
      <c r="O1322" s="802" t="s">
        <v>17544</v>
      </c>
      <c r="P1322" s="807" t="s">
        <v>32</v>
      </c>
    </row>
    <row r="1323" spans="1:16" s="341" customFormat="1" ht="25.5" customHeight="1">
      <c r="A1323" s="806" t="s">
        <v>109</v>
      </c>
      <c r="B1323" s="800" t="s">
        <v>4411</v>
      </c>
      <c r="C1323" s="800" t="s">
        <v>376</v>
      </c>
      <c r="D1323" s="800" t="s">
        <v>17545</v>
      </c>
      <c r="E1323" s="801">
        <v>43017</v>
      </c>
      <c r="F1323" s="800" t="s">
        <v>17539</v>
      </c>
      <c r="G1323" s="800" t="s">
        <v>32</v>
      </c>
      <c r="H1323" s="800" t="s">
        <v>10433</v>
      </c>
      <c r="I1323" s="800" t="s">
        <v>10433</v>
      </c>
      <c r="J1323" s="800" t="s">
        <v>10447</v>
      </c>
      <c r="K1323" s="800">
        <v>1</v>
      </c>
      <c r="L1323" s="802" t="s">
        <v>10398</v>
      </c>
      <c r="M1323" s="802" t="s">
        <v>17546</v>
      </c>
      <c r="N1323" s="802" t="s">
        <v>17547</v>
      </c>
      <c r="O1323" s="802" t="s">
        <v>17548</v>
      </c>
      <c r="P1323" s="807" t="s">
        <v>32</v>
      </c>
    </row>
    <row r="1324" spans="1:16" s="341" customFormat="1" ht="25.5" customHeight="1">
      <c r="A1324" s="806" t="s">
        <v>109</v>
      </c>
      <c r="B1324" s="800" t="s">
        <v>4411</v>
      </c>
      <c r="C1324" s="800" t="s">
        <v>376</v>
      </c>
      <c r="D1324" s="800" t="s">
        <v>17549</v>
      </c>
      <c r="E1324" s="801">
        <v>43017</v>
      </c>
      <c r="F1324" s="800" t="s">
        <v>17539</v>
      </c>
      <c r="G1324" s="800" t="s">
        <v>32</v>
      </c>
      <c r="H1324" s="800" t="s">
        <v>10433</v>
      </c>
      <c r="I1324" s="800" t="s">
        <v>10433</v>
      </c>
      <c r="J1324" s="800" t="s">
        <v>10447</v>
      </c>
      <c r="K1324" s="800">
        <v>1</v>
      </c>
      <c r="L1324" s="802" t="s">
        <v>10398</v>
      </c>
      <c r="M1324" s="802" t="s">
        <v>17550</v>
      </c>
      <c r="N1324" s="802" t="s">
        <v>17551</v>
      </c>
      <c r="O1324" s="802" t="s">
        <v>17552</v>
      </c>
      <c r="P1324" s="807" t="s">
        <v>32</v>
      </c>
    </row>
    <row r="1325" spans="1:16" s="341" customFormat="1" ht="15" customHeight="1">
      <c r="A1325" s="806" t="s">
        <v>109</v>
      </c>
      <c r="B1325" s="800" t="s">
        <v>4411</v>
      </c>
      <c r="C1325" s="800" t="s">
        <v>376</v>
      </c>
      <c r="D1325" s="800" t="s">
        <v>17553</v>
      </c>
      <c r="E1325" s="801">
        <v>43017</v>
      </c>
      <c r="F1325" s="800" t="s">
        <v>17539</v>
      </c>
      <c r="G1325" s="800" t="s">
        <v>32</v>
      </c>
      <c r="H1325" s="800" t="s">
        <v>10433</v>
      </c>
      <c r="I1325" s="800" t="s">
        <v>10433</v>
      </c>
      <c r="J1325" s="800" t="s">
        <v>10447</v>
      </c>
      <c r="K1325" s="800">
        <v>1</v>
      </c>
      <c r="L1325" s="802" t="s">
        <v>10398</v>
      </c>
      <c r="M1325" s="802" t="s">
        <v>17554</v>
      </c>
      <c r="N1325" s="802" t="s">
        <v>16367</v>
      </c>
      <c r="O1325" s="802" t="s">
        <v>17555</v>
      </c>
      <c r="P1325" s="807" t="s">
        <v>32</v>
      </c>
    </row>
    <row r="1326" spans="1:16" s="341" customFormat="1" ht="25.5" customHeight="1">
      <c r="A1326" s="806" t="s">
        <v>109</v>
      </c>
      <c r="B1326" s="800" t="s">
        <v>4411</v>
      </c>
      <c r="C1326" s="800" t="s">
        <v>376</v>
      </c>
      <c r="D1326" s="800" t="s">
        <v>17556</v>
      </c>
      <c r="E1326" s="801">
        <v>43017</v>
      </c>
      <c r="F1326" s="800" t="s">
        <v>17539</v>
      </c>
      <c r="G1326" s="800" t="s">
        <v>32</v>
      </c>
      <c r="H1326" s="800" t="s">
        <v>10433</v>
      </c>
      <c r="I1326" s="800" t="s">
        <v>10433</v>
      </c>
      <c r="J1326" s="800" t="s">
        <v>10447</v>
      </c>
      <c r="K1326" s="800">
        <v>1</v>
      </c>
      <c r="L1326" s="802" t="s">
        <v>10398</v>
      </c>
      <c r="M1326" s="802" t="s">
        <v>17557</v>
      </c>
      <c r="N1326" s="802" t="s">
        <v>15581</v>
      </c>
      <c r="O1326" s="802" t="s">
        <v>17552</v>
      </c>
      <c r="P1326" s="807" t="s">
        <v>32</v>
      </c>
    </row>
    <row r="1327" spans="1:16" s="341" customFormat="1" ht="15" customHeight="1">
      <c r="A1327" s="806" t="s">
        <v>109</v>
      </c>
      <c r="B1327" s="800" t="s">
        <v>4411</v>
      </c>
      <c r="C1327" s="800" t="s">
        <v>376</v>
      </c>
      <c r="D1327" s="800" t="s">
        <v>17558</v>
      </c>
      <c r="E1327" s="801">
        <v>43017</v>
      </c>
      <c r="F1327" s="800" t="s">
        <v>17539</v>
      </c>
      <c r="G1327" s="800" t="s">
        <v>32</v>
      </c>
      <c r="H1327" s="800" t="s">
        <v>10433</v>
      </c>
      <c r="I1327" s="800" t="s">
        <v>10433</v>
      </c>
      <c r="J1327" s="800" t="s">
        <v>10447</v>
      </c>
      <c r="K1327" s="800">
        <v>1</v>
      </c>
      <c r="L1327" s="802" t="s">
        <v>10398</v>
      </c>
      <c r="M1327" s="802" t="s">
        <v>17559</v>
      </c>
      <c r="N1327" s="802" t="s">
        <v>17560</v>
      </c>
      <c r="O1327" s="802" t="s">
        <v>17561</v>
      </c>
      <c r="P1327" s="807" t="s">
        <v>32</v>
      </c>
    </row>
    <row r="1328" spans="1:16" s="341" customFormat="1" ht="25.5" customHeight="1">
      <c r="A1328" s="806" t="s">
        <v>109</v>
      </c>
      <c r="B1328" s="800" t="s">
        <v>4411</v>
      </c>
      <c r="C1328" s="800" t="s">
        <v>376</v>
      </c>
      <c r="D1328" s="800" t="s">
        <v>17562</v>
      </c>
      <c r="E1328" s="801">
        <v>43017</v>
      </c>
      <c r="F1328" s="800" t="s">
        <v>17539</v>
      </c>
      <c r="G1328" s="800" t="s">
        <v>32</v>
      </c>
      <c r="H1328" s="800" t="s">
        <v>10433</v>
      </c>
      <c r="I1328" s="800" t="s">
        <v>10433</v>
      </c>
      <c r="J1328" s="800" t="s">
        <v>10447</v>
      </c>
      <c r="K1328" s="800">
        <v>1</v>
      </c>
      <c r="L1328" s="802" t="s">
        <v>10605</v>
      </c>
      <c r="M1328" s="802" t="s">
        <v>32</v>
      </c>
      <c r="N1328" s="802" t="s">
        <v>16475</v>
      </c>
      <c r="O1328" s="802" t="s">
        <v>17563</v>
      </c>
      <c r="P1328" s="807" t="s">
        <v>32</v>
      </c>
    </row>
    <row r="1329" spans="1:16" s="341" customFormat="1" ht="25.5" customHeight="1">
      <c r="A1329" s="806" t="s">
        <v>109</v>
      </c>
      <c r="B1329" s="800" t="s">
        <v>4411</v>
      </c>
      <c r="C1329" s="800" t="s">
        <v>376</v>
      </c>
      <c r="D1329" s="800" t="s">
        <v>17564</v>
      </c>
      <c r="E1329" s="801">
        <v>43017</v>
      </c>
      <c r="F1329" s="800" t="s">
        <v>17539</v>
      </c>
      <c r="G1329" s="800" t="s">
        <v>32</v>
      </c>
      <c r="H1329" s="800" t="s">
        <v>10433</v>
      </c>
      <c r="I1329" s="800" t="s">
        <v>10433</v>
      </c>
      <c r="J1329" s="800" t="s">
        <v>10447</v>
      </c>
      <c r="K1329" s="800">
        <v>1</v>
      </c>
      <c r="L1329" s="802" t="s">
        <v>10398</v>
      </c>
      <c r="M1329" s="802" t="s">
        <v>17565</v>
      </c>
      <c r="N1329" s="802" t="s">
        <v>17566</v>
      </c>
      <c r="O1329" s="802" t="s">
        <v>17567</v>
      </c>
      <c r="P1329" s="807" t="s">
        <v>32</v>
      </c>
    </row>
    <row r="1330" spans="1:16" s="341" customFormat="1" ht="25.5" customHeight="1">
      <c r="A1330" s="806" t="s">
        <v>109</v>
      </c>
      <c r="B1330" s="800" t="s">
        <v>4411</v>
      </c>
      <c r="C1330" s="800" t="s">
        <v>376</v>
      </c>
      <c r="D1330" s="800" t="s">
        <v>17568</v>
      </c>
      <c r="E1330" s="801">
        <v>43038</v>
      </c>
      <c r="F1330" s="800" t="s">
        <v>17569</v>
      </c>
      <c r="G1330" s="800" t="s">
        <v>32</v>
      </c>
      <c r="H1330" s="800" t="s">
        <v>10404</v>
      </c>
      <c r="I1330" s="800" t="s">
        <v>10404</v>
      </c>
      <c r="J1330" s="800" t="s">
        <v>10426</v>
      </c>
      <c r="K1330" s="800">
        <v>1</v>
      </c>
      <c r="L1330" s="802" t="s">
        <v>10398</v>
      </c>
      <c r="M1330" s="802" t="s">
        <v>17570</v>
      </c>
      <c r="N1330" s="802" t="s">
        <v>15393</v>
      </c>
      <c r="O1330" s="802" t="s">
        <v>17571</v>
      </c>
      <c r="P1330" s="807" t="s">
        <v>32</v>
      </c>
    </row>
    <row r="1331" spans="1:16" s="341" customFormat="1" ht="15" customHeight="1">
      <c r="A1331" s="806" t="s">
        <v>109</v>
      </c>
      <c r="B1331" s="800" t="s">
        <v>4411</v>
      </c>
      <c r="C1331" s="800" t="s">
        <v>376</v>
      </c>
      <c r="D1331" s="800" t="s">
        <v>17572</v>
      </c>
      <c r="E1331" s="801">
        <v>43026</v>
      </c>
      <c r="F1331" s="800" t="s">
        <v>17573</v>
      </c>
      <c r="G1331" s="800" t="s">
        <v>32</v>
      </c>
      <c r="H1331" s="800" t="s">
        <v>10396</v>
      </c>
      <c r="I1331" s="800" t="s">
        <v>10396</v>
      </c>
      <c r="J1331" s="800" t="s">
        <v>10664</v>
      </c>
      <c r="K1331" s="800">
        <v>1</v>
      </c>
      <c r="L1331" s="802" t="s">
        <v>10398</v>
      </c>
      <c r="M1331" s="802" t="s">
        <v>17574</v>
      </c>
      <c r="N1331" s="802" t="s">
        <v>17575</v>
      </c>
      <c r="O1331" s="802" t="s">
        <v>17576</v>
      </c>
      <c r="P1331" s="807" t="s">
        <v>17577</v>
      </c>
    </row>
    <row r="1332" spans="1:16" s="341" customFormat="1" ht="25.5" customHeight="1">
      <c r="A1332" s="806" t="s">
        <v>109</v>
      </c>
      <c r="B1332" s="800" t="s">
        <v>4411</v>
      </c>
      <c r="C1332" s="800" t="s">
        <v>376</v>
      </c>
      <c r="D1332" s="800" t="s">
        <v>17578</v>
      </c>
      <c r="E1332" s="801">
        <v>43020</v>
      </c>
      <c r="F1332" s="800" t="s">
        <v>1457</v>
      </c>
      <c r="G1332" s="800" t="s">
        <v>32</v>
      </c>
      <c r="H1332" s="800" t="s">
        <v>10404</v>
      </c>
      <c r="I1332" s="800" t="s">
        <v>10404</v>
      </c>
      <c r="J1332" s="800" t="s">
        <v>10426</v>
      </c>
      <c r="K1332" s="800">
        <v>1</v>
      </c>
      <c r="L1332" s="802" t="s">
        <v>10398</v>
      </c>
      <c r="M1332" s="802" t="s">
        <v>17579</v>
      </c>
      <c r="N1332" s="802" t="s">
        <v>14926</v>
      </c>
      <c r="O1332" s="802" t="s">
        <v>17580</v>
      </c>
      <c r="P1332" s="807" t="s">
        <v>32</v>
      </c>
    </row>
    <row r="1333" spans="1:16" s="341" customFormat="1" ht="15" customHeight="1">
      <c r="A1333" s="806" t="s">
        <v>109</v>
      </c>
      <c r="B1333" s="800" t="s">
        <v>4411</v>
      </c>
      <c r="C1333" s="800" t="s">
        <v>376</v>
      </c>
      <c r="D1333" s="800" t="s">
        <v>17581</v>
      </c>
      <c r="E1333" s="801">
        <v>43020</v>
      </c>
      <c r="F1333" s="800" t="s">
        <v>137</v>
      </c>
      <c r="G1333" s="800" t="s">
        <v>17582</v>
      </c>
      <c r="H1333" s="800" t="s">
        <v>10404</v>
      </c>
      <c r="I1333" s="800" t="s">
        <v>10404</v>
      </c>
      <c r="J1333" s="800" t="s">
        <v>10405</v>
      </c>
      <c r="K1333" s="800">
        <v>1</v>
      </c>
      <c r="L1333" s="802" t="s">
        <v>10398</v>
      </c>
      <c r="M1333" s="802" t="s">
        <v>17583</v>
      </c>
      <c r="N1333" s="802" t="s">
        <v>17584</v>
      </c>
      <c r="O1333" s="802" t="s">
        <v>17585</v>
      </c>
      <c r="P1333" s="807" t="s">
        <v>17586</v>
      </c>
    </row>
    <row r="1334" spans="1:16" s="341" customFormat="1" ht="25.5" customHeight="1">
      <c r="A1334" s="806" t="s">
        <v>109</v>
      </c>
      <c r="B1334" s="800" t="s">
        <v>4411</v>
      </c>
      <c r="C1334" s="800" t="s">
        <v>376</v>
      </c>
      <c r="D1334" s="800" t="s">
        <v>17587</v>
      </c>
      <c r="E1334" s="801">
        <v>43020</v>
      </c>
      <c r="F1334" s="800" t="s">
        <v>1457</v>
      </c>
      <c r="G1334" s="800" t="s">
        <v>17588</v>
      </c>
      <c r="H1334" s="800" t="s">
        <v>10404</v>
      </c>
      <c r="I1334" s="800" t="s">
        <v>10404</v>
      </c>
      <c r="J1334" s="800" t="s">
        <v>10405</v>
      </c>
      <c r="K1334" s="800">
        <v>1</v>
      </c>
      <c r="L1334" s="802" t="s">
        <v>10398</v>
      </c>
      <c r="M1334" s="802" t="s">
        <v>17589</v>
      </c>
      <c r="N1334" s="802" t="s">
        <v>17590</v>
      </c>
      <c r="O1334" s="802" t="s">
        <v>17591</v>
      </c>
      <c r="P1334" s="807" t="s">
        <v>17592</v>
      </c>
    </row>
    <row r="1335" spans="1:16" s="341" customFormat="1" ht="15" customHeight="1">
      <c r="A1335" s="806" t="s">
        <v>109</v>
      </c>
      <c r="B1335" s="800" t="s">
        <v>4411</v>
      </c>
      <c r="C1335" s="800" t="s">
        <v>376</v>
      </c>
      <c r="D1335" s="800" t="s">
        <v>17593</v>
      </c>
      <c r="E1335" s="801">
        <v>43020</v>
      </c>
      <c r="F1335" s="800" t="s">
        <v>1457</v>
      </c>
      <c r="G1335" s="800" t="s">
        <v>17594</v>
      </c>
      <c r="H1335" s="800" t="s">
        <v>10396</v>
      </c>
      <c r="I1335" s="800" t="s">
        <v>10396</v>
      </c>
      <c r="J1335" s="800" t="s">
        <v>10664</v>
      </c>
      <c r="K1335" s="800">
        <v>1</v>
      </c>
      <c r="L1335" s="802" t="s">
        <v>10398</v>
      </c>
      <c r="M1335" s="802" t="s">
        <v>17595</v>
      </c>
      <c r="N1335" s="802" t="s">
        <v>17596</v>
      </c>
      <c r="O1335" s="802" t="s">
        <v>17597</v>
      </c>
      <c r="P1335" s="807" t="s">
        <v>32</v>
      </c>
    </row>
    <row r="1336" spans="1:16" s="341" customFormat="1" ht="15" customHeight="1">
      <c r="A1336" s="806" t="s">
        <v>109</v>
      </c>
      <c r="B1336" s="800" t="s">
        <v>4411</v>
      </c>
      <c r="C1336" s="800" t="s">
        <v>376</v>
      </c>
      <c r="D1336" s="800" t="s">
        <v>17598</v>
      </c>
      <c r="E1336" s="801">
        <v>43020</v>
      </c>
      <c r="F1336" s="800" t="s">
        <v>1457</v>
      </c>
      <c r="G1336" s="800" t="s">
        <v>17599</v>
      </c>
      <c r="H1336" s="800" t="s">
        <v>10404</v>
      </c>
      <c r="I1336" s="800" t="s">
        <v>10404</v>
      </c>
      <c r="J1336" s="800" t="s">
        <v>10426</v>
      </c>
      <c r="K1336" s="800">
        <v>1</v>
      </c>
      <c r="L1336" s="802" t="s">
        <v>10398</v>
      </c>
      <c r="M1336" s="802" t="s">
        <v>17600</v>
      </c>
      <c r="N1336" s="802" t="s">
        <v>11766</v>
      </c>
      <c r="O1336" s="802" t="s">
        <v>17601</v>
      </c>
      <c r="P1336" s="807" t="s">
        <v>17602</v>
      </c>
    </row>
    <row r="1337" spans="1:16" s="341" customFormat="1" ht="25.5" customHeight="1">
      <c r="A1337" s="806" t="s">
        <v>109</v>
      </c>
      <c r="B1337" s="800" t="s">
        <v>4411</v>
      </c>
      <c r="C1337" s="800" t="s">
        <v>376</v>
      </c>
      <c r="D1337" s="800" t="s">
        <v>17603</v>
      </c>
      <c r="E1337" s="801">
        <v>43017</v>
      </c>
      <c r="F1337" s="800" t="s">
        <v>17604</v>
      </c>
      <c r="G1337" s="800" t="s">
        <v>17605</v>
      </c>
      <c r="H1337" s="800" t="s">
        <v>10531</v>
      </c>
      <c r="I1337" s="800" t="s">
        <v>10531</v>
      </c>
      <c r="J1337" s="800" t="s">
        <v>10447</v>
      </c>
      <c r="K1337" s="800">
        <v>1</v>
      </c>
      <c r="L1337" s="802" t="s">
        <v>10398</v>
      </c>
      <c r="M1337" s="802" t="s">
        <v>17606</v>
      </c>
      <c r="N1337" s="802" t="s">
        <v>17607</v>
      </c>
      <c r="O1337" s="802" t="s">
        <v>17608</v>
      </c>
      <c r="P1337" s="807" t="s">
        <v>32</v>
      </c>
    </row>
    <row r="1338" spans="1:16" s="341" customFormat="1" ht="15" customHeight="1">
      <c r="A1338" s="806" t="s">
        <v>109</v>
      </c>
      <c r="B1338" s="800" t="s">
        <v>4411</v>
      </c>
      <c r="C1338" s="800" t="s">
        <v>376</v>
      </c>
      <c r="D1338" s="800" t="s">
        <v>17609</v>
      </c>
      <c r="E1338" s="801">
        <v>43017</v>
      </c>
      <c r="F1338" s="800" t="s">
        <v>17604</v>
      </c>
      <c r="G1338" s="800" t="s">
        <v>17610</v>
      </c>
      <c r="H1338" s="800" t="s">
        <v>10531</v>
      </c>
      <c r="I1338" s="800" t="s">
        <v>10531</v>
      </c>
      <c r="J1338" s="800" t="s">
        <v>10447</v>
      </c>
      <c r="K1338" s="800">
        <v>1</v>
      </c>
      <c r="L1338" s="802" t="s">
        <v>10605</v>
      </c>
      <c r="M1338" s="802" t="s">
        <v>32</v>
      </c>
      <c r="N1338" s="802" t="s">
        <v>11507</v>
      </c>
      <c r="O1338" s="802" t="s">
        <v>17611</v>
      </c>
      <c r="P1338" s="807" t="s">
        <v>32</v>
      </c>
    </row>
    <row r="1339" spans="1:16" s="341" customFormat="1" ht="25.5" customHeight="1">
      <c r="A1339" s="806" t="s">
        <v>109</v>
      </c>
      <c r="B1339" s="800" t="s">
        <v>4411</v>
      </c>
      <c r="C1339" s="800" t="s">
        <v>388</v>
      </c>
      <c r="D1339" s="800" t="s">
        <v>17612</v>
      </c>
      <c r="E1339" s="801">
        <v>43038</v>
      </c>
      <c r="F1339" s="800" t="s">
        <v>17613</v>
      </c>
      <c r="G1339" s="800" t="s">
        <v>32</v>
      </c>
      <c r="H1339" s="800" t="s">
        <v>10404</v>
      </c>
      <c r="I1339" s="800" t="s">
        <v>10404</v>
      </c>
      <c r="J1339" s="800" t="s">
        <v>10426</v>
      </c>
      <c r="K1339" s="800">
        <v>1</v>
      </c>
      <c r="L1339" s="802" t="s">
        <v>10398</v>
      </c>
      <c r="M1339" s="802" t="s">
        <v>17614</v>
      </c>
      <c r="N1339" s="802" t="s">
        <v>11786</v>
      </c>
      <c r="O1339" s="802" t="s">
        <v>17615</v>
      </c>
      <c r="P1339" s="807" t="s">
        <v>17616</v>
      </c>
    </row>
    <row r="1340" spans="1:16" s="341" customFormat="1" ht="25.5" customHeight="1">
      <c r="A1340" s="806" t="s">
        <v>109</v>
      </c>
      <c r="B1340" s="800" t="s">
        <v>4411</v>
      </c>
      <c r="C1340" s="800" t="s">
        <v>388</v>
      </c>
      <c r="D1340" s="800" t="s">
        <v>17617</v>
      </c>
      <c r="E1340" s="801">
        <v>43061</v>
      </c>
      <c r="F1340" s="800" t="s">
        <v>9798</v>
      </c>
      <c r="G1340" s="800" t="s">
        <v>17618</v>
      </c>
      <c r="H1340" s="800" t="s">
        <v>10531</v>
      </c>
      <c r="I1340" s="800" t="s">
        <v>10531</v>
      </c>
      <c r="J1340" s="800" t="s">
        <v>10397</v>
      </c>
      <c r="K1340" s="800">
        <v>1</v>
      </c>
      <c r="L1340" s="802" t="s">
        <v>10398</v>
      </c>
      <c r="M1340" s="802" t="s">
        <v>17619</v>
      </c>
      <c r="N1340" s="802" t="s">
        <v>17620</v>
      </c>
      <c r="O1340" s="802" t="s">
        <v>17621</v>
      </c>
      <c r="P1340" s="807" t="s">
        <v>17622</v>
      </c>
    </row>
    <row r="1341" spans="1:16" s="341" customFormat="1" ht="25.5" customHeight="1">
      <c r="A1341" s="806" t="s">
        <v>109</v>
      </c>
      <c r="B1341" s="800" t="s">
        <v>4411</v>
      </c>
      <c r="C1341" s="800" t="s">
        <v>435</v>
      </c>
      <c r="D1341" s="800" t="s">
        <v>17623</v>
      </c>
      <c r="E1341" s="801">
        <v>43038</v>
      </c>
      <c r="F1341" s="800" t="s">
        <v>17624</v>
      </c>
      <c r="G1341" s="800" t="s">
        <v>32</v>
      </c>
      <c r="H1341" s="800" t="s">
        <v>10404</v>
      </c>
      <c r="I1341" s="800" t="s">
        <v>10404</v>
      </c>
      <c r="J1341" s="800" t="s">
        <v>10426</v>
      </c>
      <c r="K1341" s="800">
        <v>1</v>
      </c>
      <c r="L1341" s="802" t="s">
        <v>10398</v>
      </c>
      <c r="M1341" s="802" t="s">
        <v>17625</v>
      </c>
      <c r="N1341" s="802" t="s">
        <v>10565</v>
      </c>
      <c r="O1341" s="802" t="s">
        <v>17626</v>
      </c>
      <c r="P1341" s="807" t="s">
        <v>17627</v>
      </c>
    </row>
    <row r="1342" spans="1:16" s="341" customFormat="1" ht="25.5" customHeight="1">
      <c r="A1342" s="806" t="s">
        <v>109</v>
      </c>
      <c r="B1342" s="800" t="s">
        <v>4411</v>
      </c>
      <c r="C1342" s="800" t="s">
        <v>435</v>
      </c>
      <c r="D1342" s="800" t="s">
        <v>17628</v>
      </c>
      <c r="E1342" s="801">
        <v>43038</v>
      </c>
      <c r="F1342" s="800" t="s">
        <v>815</v>
      </c>
      <c r="G1342" s="800" t="s">
        <v>32</v>
      </c>
      <c r="H1342" s="800" t="s">
        <v>10404</v>
      </c>
      <c r="I1342" s="800" t="s">
        <v>10404</v>
      </c>
      <c r="J1342" s="800" t="s">
        <v>10426</v>
      </c>
      <c r="K1342" s="800">
        <v>1</v>
      </c>
      <c r="L1342" s="802" t="s">
        <v>10398</v>
      </c>
      <c r="M1342" s="802" t="s">
        <v>17629</v>
      </c>
      <c r="N1342" s="802" t="s">
        <v>10672</v>
      </c>
      <c r="O1342" s="802" t="s">
        <v>10436</v>
      </c>
      <c r="P1342" s="807" t="s">
        <v>17630</v>
      </c>
    </row>
    <row r="1343" spans="1:16" s="341" customFormat="1" ht="25.5" customHeight="1">
      <c r="A1343" s="806" t="s">
        <v>109</v>
      </c>
      <c r="B1343" s="800" t="s">
        <v>4411</v>
      </c>
      <c r="C1343" s="800" t="s">
        <v>421</v>
      </c>
      <c r="D1343" s="800" t="s">
        <v>17631</v>
      </c>
      <c r="E1343" s="801">
        <v>43015</v>
      </c>
      <c r="F1343" s="800" t="s">
        <v>17632</v>
      </c>
      <c r="G1343" s="800" t="s">
        <v>17633</v>
      </c>
      <c r="H1343" s="800" t="s">
        <v>10404</v>
      </c>
      <c r="I1343" s="800" t="s">
        <v>10404</v>
      </c>
      <c r="J1343" s="800" t="s">
        <v>10405</v>
      </c>
      <c r="K1343" s="800">
        <v>1</v>
      </c>
      <c r="L1343" s="802" t="s">
        <v>10605</v>
      </c>
      <c r="M1343" s="802" t="s">
        <v>32</v>
      </c>
      <c r="N1343" s="802" t="s">
        <v>13292</v>
      </c>
      <c r="O1343" s="802" t="s">
        <v>17634</v>
      </c>
      <c r="P1343" s="807" t="s">
        <v>32</v>
      </c>
    </row>
    <row r="1344" spans="1:16" s="341" customFormat="1" ht="25.5" customHeight="1">
      <c r="A1344" s="806" t="s">
        <v>109</v>
      </c>
      <c r="B1344" s="800" t="s">
        <v>4411</v>
      </c>
      <c r="C1344" s="800" t="s">
        <v>421</v>
      </c>
      <c r="D1344" s="800" t="s">
        <v>17635</v>
      </c>
      <c r="E1344" s="801">
        <v>43015</v>
      </c>
      <c r="F1344" s="800" t="s">
        <v>17632</v>
      </c>
      <c r="G1344" s="800" t="s">
        <v>17636</v>
      </c>
      <c r="H1344" s="800" t="s">
        <v>10404</v>
      </c>
      <c r="I1344" s="800" t="s">
        <v>10404</v>
      </c>
      <c r="J1344" s="800" t="s">
        <v>10405</v>
      </c>
      <c r="K1344" s="800">
        <v>1</v>
      </c>
      <c r="L1344" s="802" t="s">
        <v>10605</v>
      </c>
      <c r="M1344" s="802" t="s">
        <v>32</v>
      </c>
      <c r="N1344" s="802" t="s">
        <v>11371</v>
      </c>
      <c r="O1344" s="802" t="s">
        <v>17637</v>
      </c>
      <c r="P1344" s="807" t="s">
        <v>32</v>
      </c>
    </row>
    <row r="1345" spans="1:16" s="341" customFormat="1" ht="25.5" customHeight="1">
      <c r="A1345" s="806" t="s">
        <v>109</v>
      </c>
      <c r="B1345" s="800" t="s">
        <v>4411</v>
      </c>
      <c r="C1345" s="800" t="s">
        <v>421</v>
      </c>
      <c r="D1345" s="800" t="s">
        <v>17638</v>
      </c>
      <c r="E1345" s="801">
        <v>43015</v>
      </c>
      <c r="F1345" s="800" t="s">
        <v>17632</v>
      </c>
      <c r="G1345" s="800" t="s">
        <v>17639</v>
      </c>
      <c r="H1345" s="800" t="s">
        <v>10404</v>
      </c>
      <c r="I1345" s="800" t="s">
        <v>10404</v>
      </c>
      <c r="J1345" s="800" t="s">
        <v>10405</v>
      </c>
      <c r="K1345" s="800">
        <v>1</v>
      </c>
      <c r="L1345" s="802" t="s">
        <v>10398</v>
      </c>
      <c r="M1345" s="802" t="s">
        <v>32</v>
      </c>
      <c r="N1345" s="802" t="s">
        <v>17640</v>
      </c>
      <c r="O1345" s="802" t="s">
        <v>17641</v>
      </c>
      <c r="P1345" s="807" t="s">
        <v>32</v>
      </c>
    </row>
    <row r="1346" spans="1:16" s="341" customFormat="1" ht="25.5" customHeight="1">
      <c r="A1346" s="806" t="s">
        <v>109</v>
      </c>
      <c r="B1346" s="800" t="s">
        <v>4411</v>
      </c>
      <c r="C1346" s="800" t="s">
        <v>421</v>
      </c>
      <c r="D1346" s="800" t="s">
        <v>17642</v>
      </c>
      <c r="E1346" s="801">
        <v>43026</v>
      </c>
      <c r="F1346" s="800" t="s">
        <v>32</v>
      </c>
      <c r="G1346" s="800" t="s">
        <v>32</v>
      </c>
      <c r="H1346" s="800" t="s">
        <v>10433</v>
      </c>
      <c r="I1346" s="800" t="s">
        <v>10433</v>
      </c>
      <c r="J1346" s="800" t="s">
        <v>10447</v>
      </c>
      <c r="K1346" s="800">
        <v>1</v>
      </c>
      <c r="L1346" s="802" t="s">
        <v>10398</v>
      </c>
      <c r="M1346" s="802" t="s">
        <v>17643</v>
      </c>
      <c r="N1346" s="802" t="s">
        <v>11990</v>
      </c>
      <c r="O1346" s="802" t="s">
        <v>17644</v>
      </c>
      <c r="P1346" s="807" t="s">
        <v>17645</v>
      </c>
    </row>
    <row r="1347" spans="1:16" s="341" customFormat="1" ht="25.5" customHeight="1">
      <c r="A1347" s="806" t="s">
        <v>109</v>
      </c>
      <c r="B1347" s="800" t="s">
        <v>4411</v>
      </c>
      <c r="C1347" s="800" t="s">
        <v>421</v>
      </c>
      <c r="D1347" s="800" t="s">
        <v>17646</v>
      </c>
      <c r="E1347" s="801">
        <v>43026</v>
      </c>
      <c r="F1347" s="800" t="s">
        <v>32</v>
      </c>
      <c r="G1347" s="800" t="s">
        <v>32</v>
      </c>
      <c r="H1347" s="800" t="s">
        <v>10396</v>
      </c>
      <c r="I1347" s="800" t="s">
        <v>10396</v>
      </c>
      <c r="J1347" s="800" t="s">
        <v>10664</v>
      </c>
      <c r="K1347" s="800">
        <v>1</v>
      </c>
      <c r="L1347" s="802" t="s">
        <v>10398</v>
      </c>
      <c r="M1347" s="802" t="s">
        <v>17647</v>
      </c>
      <c r="N1347" s="802" t="s">
        <v>17648</v>
      </c>
      <c r="O1347" s="802" t="s">
        <v>17649</v>
      </c>
      <c r="P1347" s="807" t="s">
        <v>17650</v>
      </c>
    </row>
    <row r="1348" spans="1:16" s="341" customFormat="1" ht="25.5" customHeight="1">
      <c r="A1348" s="806" t="s">
        <v>109</v>
      </c>
      <c r="B1348" s="800" t="s">
        <v>4411</v>
      </c>
      <c r="C1348" s="800" t="s">
        <v>421</v>
      </c>
      <c r="D1348" s="800" t="s">
        <v>17651</v>
      </c>
      <c r="E1348" s="801">
        <v>43021</v>
      </c>
      <c r="F1348" s="800" t="s">
        <v>17652</v>
      </c>
      <c r="G1348" s="800" t="s">
        <v>17653</v>
      </c>
      <c r="H1348" s="800" t="s">
        <v>10404</v>
      </c>
      <c r="I1348" s="800" t="s">
        <v>10404</v>
      </c>
      <c r="J1348" s="800" t="s">
        <v>10405</v>
      </c>
      <c r="K1348" s="800">
        <v>1</v>
      </c>
      <c r="L1348" s="802" t="s">
        <v>10398</v>
      </c>
      <c r="M1348" s="802" t="s">
        <v>17654</v>
      </c>
      <c r="N1348" s="802" t="s">
        <v>17655</v>
      </c>
      <c r="O1348" s="802" t="s">
        <v>17656</v>
      </c>
      <c r="P1348" s="807" t="s">
        <v>32</v>
      </c>
    </row>
    <row r="1349" spans="1:16" s="341" customFormat="1" ht="15" customHeight="1">
      <c r="A1349" s="806" t="s">
        <v>109</v>
      </c>
      <c r="B1349" s="800" t="s">
        <v>4411</v>
      </c>
      <c r="C1349" s="800" t="s">
        <v>421</v>
      </c>
      <c r="D1349" s="800" t="s">
        <v>17657</v>
      </c>
      <c r="E1349" s="801">
        <v>43021</v>
      </c>
      <c r="F1349" s="800" t="s">
        <v>17652</v>
      </c>
      <c r="G1349" s="800" t="s">
        <v>32</v>
      </c>
      <c r="H1349" s="800" t="s">
        <v>10404</v>
      </c>
      <c r="I1349" s="800" t="s">
        <v>10404</v>
      </c>
      <c r="J1349" s="800" t="s">
        <v>10405</v>
      </c>
      <c r="K1349" s="800">
        <v>1</v>
      </c>
      <c r="L1349" s="802" t="s">
        <v>10398</v>
      </c>
      <c r="M1349" s="802" t="s">
        <v>17658</v>
      </c>
      <c r="N1349" s="802" t="s">
        <v>17659</v>
      </c>
      <c r="O1349" s="802" t="s">
        <v>17660</v>
      </c>
      <c r="P1349" s="807" t="s">
        <v>32</v>
      </c>
    </row>
    <row r="1350" spans="1:16" s="341" customFormat="1" ht="25.5" customHeight="1">
      <c r="A1350" s="806" t="s">
        <v>109</v>
      </c>
      <c r="B1350" s="800" t="s">
        <v>4411</v>
      </c>
      <c r="C1350" s="800" t="s">
        <v>421</v>
      </c>
      <c r="D1350" s="800" t="s">
        <v>17661</v>
      </c>
      <c r="E1350" s="801">
        <v>43021</v>
      </c>
      <c r="F1350" s="800" t="s">
        <v>17652</v>
      </c>
      <c r="G1350" s="800" t="s">
        <v>32</v>
      </c>
      <c r="H1350" s="800" t="s">
        <v>10404</v>
      </c>
      <c r="I1350" s="800" t="s">
        <v>10404</v>
      </c>
      <c r="J1350" s="800" t="s">
        <v>10405</v>
      </c>
      <c r="K1350" s="800">
        <v>1</v>
      </c>
      <c r="L1350" s="802" t="s">
        <v>10398</v>
      </c>
      <c r="M1350" s="802" t="s">
        <v>17662</v>
      </c>
      <c r="N1350" s="802" t="s">
        <v>17663</v>
      </c>
      <c r="O1350" s="802" t="s">
        <v>17664</v>
      </c>
      <c r="P1350" s="807" t="s">
        <v>32</v>
      </c>
    </row>
    <row r="1351" spans="1:16" s="341" customFormat="1" ht="25.5" customHeight="1">
      <c r="A1351" s="806" t="s">
        <v>109</v>
      </c>
      <c r="B1351" s="800" t="s">
        <v>4411</v>
      </c>
      <c r="C1351" s="800" t="s">
        <v>421</v>
      </c>
      <c r="D1351" s="800" t="s">
        <v>17665</v>
      </c>
      <c r="E1351" s="801">
        <v>43021</v>
      </c>
      <c r="F1351" s="800" t="s">
        <v>17652</v>
      </c>
      <c r="G1351" s="800" t="s">
        <v>32</v>
      </c>
      <c r="H1351" s="800" t="s">
        <v>10404</v>
      </c>
      <c r="I1351" s="800" t="s">
        <v>10404</v>
      </c>
      <c r="J1351" s="800" t="s">
        <v>10405</v>
      </c>
      <c r="K1351" s="800">
        <v>1</v>
      </c>
      <c r="L1351" s="802" t="s">
        <v>10398</v>
      </c>
      <c r="M1351" s="802" t="s">
        <v>17666</v>
      </c>
      <c r="N1351" s="802" t="s">
        <v>14662</v>
      </c>
      <c r="O1351" s="802" t="s">
        <v>17667</v>
      </c>
      <c r="P1351" s="807" t="s">
        <v>32</v>
      </c>
    </row>
    <row r="1352" spans="1:16" s="341" customFormat="1" ht="15" customHeight="1">
      <c r="A1352" s="806" t="s">
        <v>109</v>
      </c>
      <c r="B1352" s="800" t="s">
        <v>4411</v>
      </c>
      <c r="C1352" s="800" t="s">
        <v>421</v>
      </c>
      <c r="D1352" s="800" t="s">
        <v>17668</v>
      </c>
      <c r="E1352" s="801">
        <v>43020</v>
      </c>
      <c r="F1352" s="800" t="s">
        <v>17669</v>
      </c>
      <c r="G1352" s="800" t="s">
        <v>32</v>
      </c>
      <c r="H1352" s="800" t="s">
        <v>10433</v>
      </c>
      <c r="I1352" s="800" t="s">
        <v>10433</v>
      </c>
      <c r="J1352" s="800" t="s">
        <v>10447</v>
      </c>
      <c r="K1352" s="800">
        <v>1</v>
      </c>
      <c r="L1352" s="802" t="s">
        <v>10398</v>
      </c>
      <c r="M1352" s="802" t="s">
        <v>17670</v>
      </c>
      <c r="N1352" s="802" t="s">
        <v>15069</v>
      </c>
      <c r="O1352" s="802" t="s">
        <v>17671</v>
      </c>
      <c r="P1352" s="807" t="s">
        <v>17672</v>
      </c>
    </row>
    <row r="1353" spans="1:16" s="341" customFormat="1" ht="15" customHeight="1">
      <c r="A1353" s="806" t="s">
        <v>109</v>
      </c>
      <c r="B1353" s="800" t="s">
        <v>4411</v>
      </c>
      <c r="C1353" s="800" t="s">
        <v>421</v>
      </c>
      <c r="D1353" s="800" t="s">
        <v>17673</v>
      </c>
      <c r="E1353" s="801">
        <v>43014</v>
      </c>
      <c r="F1353" s="800" t="s">
        <v>17674</v>
      </c>
      <c r="G1353" s="800" t="s">
        <v>17675</v>
      </c>
      <c r="H1353" s="800" t="s">
        <v>10404</v>
      </c>
      <c r="I1353" s="800" t="s">
        <v>10404</v>
      </c>
      <c r="J1353" s="800" t="s">
        <v>10426</v>
      </c>
      <c r="K1353" s="800">
        <v>1</v>
      </c>
      <c r="L1353" s="802" t="s">
        <v>10398</v>
      </c>
      <c r="M1353" s="802" t="s">
        <v>17676</v>
      </c>
      <c r="N1353" s="802" t="s">
        <v>17677</v>
      </c>
      <c r="O1353" s="802" t="s">
        <v>17678</v>
      </c>
      <c r="P1353" s="807" t="s">
        <v>17679</v>
      </c>
    </row>
    <row r="1354" spans="1:16" s="341" customFormat="1" ht="15" customHeight="1">
      <c r="A1354" s="806" t="s">
        <v>109</v>
      </c>
      <c r="B1354" s="800" t="s">
        <v>4411</v>
      </c>
      <c r="C1354" s="800" t="s">
        <v>421</v>
      </c>
      <c r="D1354" s="800" t="s">
        <v>17680</v>
      </c>
      <c r="E1354" s="801">
        <v>43014</v>
      </c>
      <c r="F1354" s="800" t="s">
        <v>17674</v>
      </c>
      <c r="G1354" s="800" t="s">
        <v>17681</v>
      </c>
      <c r="H1354" s="800" t="s">
        <v>10404</v>
      </c>
      <c r="I1354" s="800" t="s">
        <v>10404</v>
      </c>
      <c r="J1354" s="800" t="s">
        <v>10426</v>
      </c>
      <c r="K1354" s="800">
        <v>1</v>
      </c>
      <c r="L1354" s="802" t="s">
        <v>10398</v>
      </c>
      <c r="M1354" s="802" t="s">
        <v>17682</v>
      </c>
      <c r="N1354" s="802" t="s">
        <v>17683</v>
      </c>
      <c r="O1354" s="802" t="s">
        <v>17684</v>
      </c>
      <c r="P1354" s="807" t="s">
        <v>17685</v>
      </c>
    </row>
    <row r="1355" spans="1:16" s="341" customFormat="1" ht="25.5" customHeight="1">
      <c r="A1355" s="806" t="s">
        <v>109</v>
      </c>
      <c r="B1355" s="800" t="s">
        <v>4411</v>
      </c>
      <c r="C1355" s="800" t="s">
        <v>421</v>
      </c>
      <c r="D1355" s="800" t="s">
        <v>17686</v>
      </c>
      <c r="E1355" s="801">
        <v>43014</v>
      </c>
      <c r="F1355" s="800" t="s">
        <v>32</v>
      </c>
      <c r="G1355" s="800" t="s">
        <v>17687</v>
      </c>
      <c r="H1355" s="800" t="s">
        <v>10404</v>
      </c>
      <c r="I1355" s="800" t="s">
        <v>10404</v>
      </c>
      <c r="J1355" s="800" t="s">
        <v>10426</v>
      </c>
      <c r="K1355" s="800">
        <v>1</v>
      </c>
      <c r="L1355" s="802" t="s">
        <v>10398</v>
      </c>
      <c r="M1355" s="802" t="s">
        <v>17688</v>
      </c>
      <c r="N1355" s="802" t="s">
        <v>17689</v>
      </c>
      <c r="O1355" s="802" t="s">
        <v>17690</v>
      </c>
      <c r="P1355" s="807" t="s">
        <v>17691</v>
      </c>
    </row>
    <row r="1356" spans="1:16" s="341" customFormat="1" ht="25.5" customHeight="1">
      <c r="A1356" s="806" t="s">
        <v>109</v>
      </c>
      <c r="B1356" s="800" t="s">
        <v>4411</v>
      </c>
      <c r="C1356" s="800" t="s">
        <v>421</v>
      </c>
      <c r="D1356" s="800" t="s">
        <v>17692</v>
      </c>
      <c r="E1356" s="801">
        <v>43014</v>
      </c>
      <c r="F1356" s="800" t="s">
        <v>17693</v>
      </c>
      <c r="G1356" s="800" t="s">
        <v>17694</v>
      </c>
      <c r="H1356" s="800" t="s">
        <v>10404</v>
      </c>
      <c r="I1356" s="800" t="s">
        <v>10404</v>
      </c>
      <c r="J1356" s="800" t="s">
        <v>10426</v>
      </c>
      <c r="K1356" s="800">
        <v>1</v>
      </c>
      <c r="L1356" s="802" t="s">
        <v>10398</v>
      </c>
      <c r="M1356" s="802" t="s">
        <v>17695</v>
      </c>
      <c r="N1356" s="802" t="s">
        <v>17696</v>
      </c>
      <c r="O1356" s="802" t="s">
        <v>17697</v>
      </c>
      <c r="P1356" s="807" t="s">
        <v>17698</v>
      </c>
    </row>
    <row r="1357" spans="1:16" s="341" customFormat="1" ht="25.5" customHeight="1">
      <c r="A1357" s="806" t="s">
        <v>109</v>
      </c>
      <c r="B1357" s="800" t="s">
        <v>4411</v>
      </c>
      <c r="C1357" s="800" t="s">
        <v>421</v>
      </c>
      <c r="D1357" s="800" t="s">
        <v>17699</v>
      </c>
      <c r="E1357" s="801">
        <v>43021</v>
      </c>
      <c r="F1357" s="800" t="s">
        <v>32</v>
      </c>
      <c r="G1357" s="800" t="s">
        <v>32</v>
      </c>
      <c r="H1357" s="800" t="s">
        <v>10404</v>
      </c>
      <c r="I1357" s="800" t="s">
        <v>10404</v>
      </c>
      <c r="J1357" s="800" t="s">
        <v>10405</v>
      </c>
      <c r="K1357" s="800">
        <v>1</v>
      </c>
      <c r="L1357" s="802" t="s">
        <v>10398</v>
      </c>
      <c r="M1357" s="802" t="s">
        <v>17700</v>
      </c>
      <c r="N1357" s="802" t="s">
        <v>17701</v>
      </c>
      <c r="O1357" s="802" t="s">
        <v>17702</v>
      </c>
      <c r="P1357" s="807" t="s">
        <v>32</v>
      </c>
    </row>
    <row r="1358" spans="1:16" s="341" customFormat="1" ht="25.5" customHeight="1">
      <c r="A1358" s="806" t="s">
        <v>109</v>
      </c>
      <c r="B1358" s="800" t="s">
        <v>4411</v>
      </c>
      <c r="C1358" s="800" t="s">
        <v>421</v>
      </c>
      <c r="D1358" s="800" t="s">
        <v>17703</v>
      </c>
      <c r="E1358" s="801">
        <v>43014</v>
      </c>
      <c r="F1358" s="800" t="s">
        <v>7599</v>
      </c>
      <c r="G1358" s="800" t="s">
        <v>11333</v>
      </c>
      <c r="H1358" s="800" t="s">
        <v>10404</v>
      </c>
      <c r="I1358" s="800" t="s">
        <v>10404</v>
      </c>
      <c r="J1358" s="800" t="s">
        <v>10405</v>
      </c>
      <c r="K1358" s="800">
        <v>1</v>
      </c>
      <c r="L1358" s="802" t="s">
        <v>10398</v>
      </c>
      <c r="M1358" s="802" t="s">
        <v>17704</v>
      </c>
      <c r="N1358" s="802" t="s">
        <v>17705</v>
      </c>
      <c r="O1358" s="802" t="s">
        <v>17678</v>
      </c>
      <c r="P1358" s="807" t="s">
        <v>32</v>
      </c>
    </row>
    <row r="1359" spans="1:16" s="341" customFormat="1" ht="15" customHeight="1">
      <c r="A1359" s="806" t="s">
        <v>109</v>
      </c>
      <c r="B1359" s="800" t="s">
        <v>4411</v>
      </c>
      <c r="C1359" s="800" t="s">
        <v>421</v>
      </c>
      <c r="D1359" s="800" t="s">
        <v>17706</v>
      </c>
      <c r="E1359" s="801">
        <v>43014</v>
      </c>
      <c r="F1359" s="800" t="s">
        <v>32</v>
      </c>
      <c r="G1359" s="800" t="s">
        <v>32</v>
      </c>
      <c r="H1359" s="800" t="s">
        <v>10404</v>
      </c>
      <c r="I1359" s="800" t="s">
        <v>10404</v>
      </c>
      <c r="J1359" s="800" t="s">
        <v>10405</v>
      </c>
      <c r="K1359" s="800">
        <v>1</v>
      </c>
      <c r="L1359" s="802" t="s">
        <v>10398</v>
      </c>
      <c r="M1359" s="802" t="s">
        <v>17707</v>
      </c>
      <c r="N1359" s="802" t="s">
        <v>17708</v>
      </c>
      <c r="O1359" s="802" t="s">
        <v>17709</v>
      </c>
      <c r="P1359" s="807" t="s">
        <v>32</v>
      </c>
    </row>
    <row r="1360" spans="1:16" s="341" customFormat="1" ht="25.5" customHeight="1">
      <c r="A1360" s="806" t="s">
        <v>109</v>
      </c>
      <c r="B1360" s="800" t="s">
        <v>4411</v>
      </c>
      <c r="C1360" s="800" t="s">
        <v>421</v>
      </c>
      <c r="D1360" s="800" t="s">
        <v>17710</v>
      </c>
      <c r="E1360" s="801">
        <v>43015</v>
      </c>
      <c r="F1360" s="800" t="s">
        <v>17711</v>
      </c>
      <c r="G1360" s="800" t="s">
        <v>17712</v>
      </c>
      <c r="H1360" s="800" t="s">
        <v>10404</v>
      </c>
      <c r="I1360" s="800" t="s">
        <v>10404</v>
      </c>
      <c r="J1360" s="800" t="s">
        <v>10405</v>
      </c>
      <c r="K1360" s="800">
        <v>1</v>
      </c>
      <c r="L1360" s="802" t="s">
        <v>10605</v>
      </c>
      <c r="M1360" s="802" t="s">
        <v>32</v>
      </c>
      <c r="N1360" s="802" t="s">
        <v>17713</v>
      </c>
      <c r="O1360" s="802" t="s">
        <v>17714</v>
      </c>
      <c r="P1360" s="807" t="s">
        <v>32</v>
      </c>
    </row>
    <row r="1361" spans="1:16" s="341" customFormat="1" ht="25.5" customHeight="1">
      <c r="A1361" s="806" t="s">
        <v>109</v>
      </c>
      <c r="B1361" s="800" t="s">
        <v>4411</v>
      </c>
      <c r="C1361" s="800" t="s">
        <v>421</v>
      </c>
      <c r="D1361" s="800" t="s">
        <v>17715</v>
      </c>
      <c r="E1361" s="801">
        <v>43015</v>
      </c>
      <c r="F1361" s="800" t="s">
        <v>17711</v>
      </c>
      <c r="G1361" s="800" t="s">
        <v>17716</v>
      </c>
      <c r="H1361" s="800" t="s">
        <v>10404</v>
      </c>
      <c r="I1361" s="800" t="s">
        <v>10404</v>
      </c>
      <c r="J1361" s="800" t="s">
        <v>10405</v>
      </c>
      <c r="K1361" s="800">
        <v>1</v>
      </c>
      <c r="L1361" s="802" t="s">
        <v>10398</v>
      </c>
      <c r="M1361" s="802" t="s">
        <v>17717</v>
      </c>
      <c r="N1361" s="802" t="s">
        <v>12191</v>
      </c>
      <c r="O1361" s="802" t="s">
        <v>17718</v>
      </c>
      <c r="P1361" s="807" t="s">
        <v>32</v>
      </c>
    </row>
    <row r="1362" spans="1:16" s="341" customFormat="1" ht="15" customHeight="1">
      <c r="A1362" s="806" t="s">
        <v>109</v>
      </c>
      <c r="B1362" s="800" t="s">
        <v>4411</v>
      </c>
      <c r="C1362" s="800" t="s">
        <v>421</v>
      </c>
      <c r="D1362" s="800" t="s">
        <v>17719</v>
      </c>
      <c r="E1362" s="801">
        <v>43015</v>
      </c>
      <c r="F1362" s="800" t="s">
        <v>17720</v>
      </c>
      <c r="G1362" s="800" t="s">
        <v>17721</v>
      </c>
      <c r="H1362" s="800" t="s">
        <v>10404</v>
      </c>
      <c r="I1362" s="800" t="s">
        <v>10404</v>
      </c>
      <c r="J1362" s="800" t="s">
        <v>10405</v>
      </c>
      <c r="K1362" s="800">
        <v>1</v>
      </c>
      <c r="L1362" s="802" t="s">
        <v>10398</v>
      </c>
      <c r="M1362" s="802" t="s">
        <v>17722</v>
      </c>
      <c r="N1362" s="802" t="s">
        <v>17723</v>
      </c>
      <c r="O1362" s="802" t="s">
        <v>17724</v>
      </c>
      <c r="P1362" s="807" t="s">
        <v>32</v>
      </c>
    </row>
    <row r="1363" spans="1:16" s="341" customFormat="1" ht="25.5" customHeight="1">
      <c r="A1363" s="806" t="s">
        <v>109</v>
      </c>
      <c r="B1363" s="800" t="s">
        <v>4411</v>
      </c>
      <c r="C1363" s="800" t="s">
        <v>421</v>
      </c>
      <c r="D1363" s="800" t="s">
        <v>17725</v>
      </c>
      <c r="E1363" s="801">
        <v>43015</v>
      </c>
      <c r="F1363" s="800" t="s">
        <v>1669</v>
      </c>
      <c r="G1363" s="800" t="s">
        <v>17726</v>
      </c>
      <c r="H1363" s="800" t="s">
        <v>10404</v>
      </c>
      <c r="I1363" s="800" t="s">
        <v>10404</v>
      </c>
      <c r="J1363" s="800" t="s">
        <v>10405</v>
      </c>
      <c r="K1363" s="800">
        <v>1</v>
      </c>
      <c r="L1363" s="802" t="s">
        <v>10605</v>
      </c>
      <c r="M1363" s="802" t="s">
        <v>32</v>
      </c>
      <c r="N1363" s="802" t="s">
        <v>17727</v>
      </c>
      <c r="O1363" s="802" t="s">
        <v>17728</v>
      </c>
      <c r="P1363" s="807" t="s">
        <v>32</v>
      </c>
    </row>
    <row r="1364" spans="1:16" s="341" customFormat="1" ht="25.5" customHeight="1">
      <c r="A1364" s="806" t="s">
        <v>109</v>
      </c>
      <c r="B1364" s="800" t="s">
        <v>4411</v>
      </c>
      <c r="C1364" s="800" t="s">
        <v>421</v>
      </c>
      <c r="D1364" s="800" t="s">
        <v>17729</v>
      </c>
      <c r="E1364" s="801">
        <v>43015</v>
      </c>
      <c r="F1364" s="800" t="s">
        <v>17730</v>
      </c>
      <c r="G1364" s="800" t="s">
        <v>32</v>
      </c>
      <c r="H1364" s="800" t="s">
        <v>10404</v>
      </c>
      <c r="I1364" s="800" t="s">
        <v>10404</v>
      </c>
      <c r="J1364" s="800" t="s">
        <v>10405</v>
      </c>
      <c r="K1364" s="800">
        <v>1</v>
      </c>
      <c r="L1364" s="802" t="s">
        <v>10398</v>
      </c>
      <c r="M1364" s="802" t="s">
        <v>17731</v>
      </c>
      <c r="N1364" s="802" t="s">
        <v>17732</v>
      </c>
      <c r="O1364" s="802" t="s">
        <v>17733</v>
      </c>
      <c r="P1364" s="807" t="s">
        <v>32</v>
      </c>
    </row>
    <row r="1365" spans="1:16" s="341" customFormat="1" ht="25.5" customHeight="1">
      <c r="A1365" s="806" t="s">
        <v>109</v>
      </c>
      <c r="B1365" s="800" t="s">
        <v>4411</v>
      </c>
      <c r="C1365" s="800" t="s">
        <v>421</v>
      </c>
      <c r="D1365" s="800" t="s">
        <v>17734</v>
      </c>
      <c r="E1365" s="801">
        <v>43015</v>
      </c>
      <c r="F1365" s="800" t="s">
        <v>17730</v>
      </c>
      <c r="G1365" s="800" t="s">
        <v>17735</v>
      </c>
      <c r="H1365" s="800" t="s">
        <v>10404</v>
      </c>
      <c r="I1365" s="800" t="s">
        <v>10404</v>
      </c>
      <c r="J1365" s="800" t="s">
        <v>10405</v>
      </c>
      <c r="K1365" s="800">
        <v>1</v>
      </c>
      <c r="L1365" s="802" t="s">
        <v>10605</v>
      </c>
      <c r="M1365" s="802" t="s">
        <v>32</v>
      </c>
      <c r="N1365" s="802" t="s">
        <v>17736</v>
      </c>
      <c r="O1365" s="802" t="s">
        <v>17737</v>
      </c>
      <c r="P1365" s="807" t="s">
        <v>32</v>
      </c>
    </row>
    <row r="1366" spans="1:16" s="341" customFormat="1" ht="25.5" customHeight="1">
      <c r="A1366" s="806" t="s">
        <v>109</v>
      </c>
      <c r="B1366" s="800" t="s">
        <v>4411</v>
      </c>
      <c r="C1366" s="800" t="s">
        <v>421</v>
      </c>
      <c r="D1366" s="800" t="s">
        <v>17738</v>
      </c>
      <c r="E1366" s="801">
        <v>43091</v>
      </c>
      <c r="F1366" s="800" t="s">
        <v>12022</v>
      </c>
      <c r="G1366" s="800" t="s">
        <v>17739</v>
      </c>
      <c r="H1366" s="800" t="s">
        <v>10531</v>
      </c>
      <c r="I1366" s="800" t="s">
        <v>10531</v>
      </c>
      <c r="J1366" s="800" t="s">
        <v>10397</v>
      </c>
      <c r="K1366" s="800">
        <v>1</v>
      </c>
      <c r="L1366" s="802" t="s">
        <v>10398</v>
      </c>
      <c r="M1366" s="802" t="s">
        <v>17740</v>
      </c>
      <c r="N1366" s="802" t="s">
        <v>17741</v>
      </c>
      <c r="O1366" s="802" t="s">
        <v>17742</v>
      </c>
      <c r="P1366" s="807" t="s">
        <v>17743</v>
      </c>
    </row>
    <row r="1367" spans="1:16" s="341" customFormat="1" ht="25.5" customHeight="1">
      <c r="A1367" s="806" t="s">
        <v>109</v>
      </c>
      <c r="B1367" s="800" t="s">
        <v>4411</v>
      </c>
      <c r="C1367" s="800" t="s">
        <v>421</v>
      </c>
      <c r="D1367" s="800" t="s">
        <v>17744</v>
      </c>
      <c r="E1367" s="801">
        <v>43020</v>
      </c>
      <c r="F1367" s="800" t="s">
        <v>1669</v>
      </c>
      <c r="G1367" s="800" t="s">
        <v>32</v>
      </c>
      <c r="H1367" s="800" t="s">
        <v>10433</v>
      </c>
      <c r="I1367" s="800" t="s">
        <v>10433</v>
      </c>
      <c r="J1367" s="800" t="s">
        <v>10447</v>
      </c>
      <c r="K1367" s="800">
        <v>1</v>
      </c>
      <c r="L1367" s="802" t="s">
        <v>10398</v>
      </c>
      <c r="M1367" s="802" t="s">
        <v>17745</v>
      </c>
      <c r="N1367" s="802" t="s">
        <v>13517</v>
      </c>
      <c r="O1367" s="802" t="s">
        <v>17746</v>
      </c>
      <c r="P1367" s="807" t="s">
        <v>17672</v>
      </c>
    </row>
    <row r="1368" spans="1:16" s="341" customFormat="1" ht="25.5" customHeight="1">
      <c r="A1368" s="806" t="s">
        <v>109</v>
      </c>
      <c r="B1368" s="800" t="s">
        <v>4411</v>
      </c>
      <c r="C1368" s="800" t="s">
        <v>380</v>
      </c>
      <c r="D1368" s="800" t="s">
        <v>17747</v>
      </c>
      <c r="E1368" s="801">
        <v>43038</v>
      </c>
      <c r="F1368" s="800" t="s">
        <v>17748</v>
      </c>
      <c r="G1368" s="800" t="s">
        <v>17749</v>
      </c>
      <c r="H1368" s="800" t="s">
        <v>10396</v>
      </c>
      <c r="I1368" s="800" t="s">
        <v>10396</v>
      </c>
      <c r="J1368" s="800" t="s">
        <v>4342</v>
      </c>
      <c r="K1368" s="800">
        <v>1</v>
      </c>
      <c r="L1368" s="802" t="s">
        <v>10398</v>
      </c>
      <c r="M1368" s="802" t="s">
        <v>17750</v>
      </c>
      <c r="N1368" s="802" t="s">
        <v>17751</v>
      </c>
      <c r="O1368" s="802" t="s">
        <v>17752</v>
      </c>
      <c r="P1368" s="807" t="s">
        <v>17753</v>
      </c>
    </row>
    <row r="1369" spans="1:16" s="341" customFormat="1" ht="25.5" customHeight="1">
      <c r="A1369" s="806" t="s">
        <v>109</v>
      </c>
      <c r="B1369" s="800" t="s">
        <v>4411</v>
      </c>
      <c r="C1369" s="800" t="s">
        <v>380</v>
      </c>
      <c r="D1369" s="800" t="s">
        <v>17754</v>
      </c>
      <c r="E1369" s="801">
        <v>43021</v>
      </c>
      <c r="F1369" s="800" t="s">
        <v>17748</v>
      </c>
      <c r="G1369" s="800" t="s">
        <v>17755</v>
      </c>
      <c r="H1369" s="800" t="s">
        <v>10433</v>
      </c>
      <c r="I1369" s="800" t="s">
        <v>10433</v>
      </c>
      <c r="J1369" s="800" t="s">
        <v>10447</v>
      </c>
      <c r="K1369" s="800">
        <v>1</v>
      </c>
      <c r="L1369" s="802" t="s">
        <v>11026</v>
      </c>
      <c r="M1369" s="802" t="s">
        <v>17756</v>
      </c>
      <c r="N1369" s="802" t="s">
        <v>14140</v>
      </c>
      <c r="O1369" s="802" t="s">
        <v>17757</v>
      </c>
      <c r="P1369" s="807" t="s">
        <v>17758</v>
      </c>
    </row>
    <row r="1370" spans="1:16" s="341" customFormat="1" ht="25.5" customHeight="1">
      <c r="A1370" s="806" t="s">
        <v>109</v>
      </c>
      <c r="B1370" s="800" t="s">
        <v>4411</v>
      </c>
      <c r="C1370" s="800" t="s">
        <v>380</v>
      </c>
      <c r="D1370" s="800" t="s">
        <v>17759</v>
      </c>
      <c r="E1370" s="801">
        <v>43021</v>
      </c>
      <c r="F1370" s="800" t="s">
        <v>17748</v>
      </c>
      <c r="G1370" s="800" t="s">
        <v>32</v>
      </c>
      <c r="H1370" s="800" t="s">
        <v>10531</v>
      </c>
      <c r="I1370" s="800" t="s">
        <v>10531</v>
      </c>
      <c r="J1370" s="800" t="s">
        <v>10426</v>
      </c>
      <c r="K1370" s="800">
        <v>1</v>
      </c>
      <c r="L1370" s="802" t="s">
        <v>10398</v>
      </c>
      <c r="M1370" s="802" t="s">
        <v>17760</v>
      </c>
      <c r="N1370" s="802" t="s">
        <v>17761</v>
      </c>
      <c r="O1370" s="802" t="s">
        <v>17762</v>
      </c>
      <c r="P1370" s="807" t="s">
        <v>17763</v>
      </c>
    </row>
    <row r="1371" spans="1:16" s="341" customFormat="1" ht="15" customHeight="1">
      <c r="A1371" s="806" t="s">
        <v>109</v>
      </c>
      <c r="B1371" s="800" t="s">
        <v>4411</v>
      </c>
      <c r="C1371" s="800" t="s">
        <v>380</v>
      </c>
      <c r="D1371" s="800" t="s">
        <v>17764</v>
      </c>
      <c r="E1371" s="801">
        <v>43021</v>
      </c>
      <c r="F1371" s="800" t="s">
        <v>17748</v>
      </c>
      <c r="G1371" s="800" t="s">
        <v>32</v>
      </c>
      <c r="H1371" s="800" t="s">
        <v>10531</v>
      </c>
      <c r="I1371" s="800" t="s">
        <v>10531</v>
      </c>
      <c r="J1371" s="800" t="s">
        <v>10426</v>
      </c>
      <c r="K1371" s="800">
        <v>1</v>
      </c>
      <c r="L1371" s="802" t="s">
        <v>10398</v>
      </c>
      <c r="M1371" s="802" t="s">
        <v>17765</v>
      </c>
      <c r="N1371" s="802" t="s">
        <v>17766</v>
      </c>
      <c r="O1371" s="802" t="s">
        <v>17767</v>
      </c>
      <c r="P1371" s="807" t="s">
        <v>17768</v>
      </c>
    </row>
    <row r="1372" spans="1:16" s="341" customFormat="1" ht="25.5" customHeight="1">
      <c r="A1372" s="806" t="s">
        <v>109</v>
      </c>
      <c r="B1372" s="800" t="s">
        <v>4411</v>
      </c>
      <c r="C1372" s="800" t="s">
        <v>371</v>
      </c>
      <c r="D1372" s="800" t="s">
        <v>17769</v>
      </c>
      <c r="E1372" s="801">
        <v>43026</v>
      </c>
      <c r="F1372" s="800" t="s">
        <v>32</v>
      </c>
      <c r="G1372" s="800" t="s">
        <v>17770</v>
      </c>
      <c r="H1372" s="800" t="s">
        <v>10531</v>
      </c>
      <c r="I1372" s="800" t="s">
        <v>10531</v>
      </c>
      <c r="J1372" s="800" t="s">
        <v>10405</v>
      </c>
      <c r="K1372" s="800">
        <v>1</v>
      </c>
      <c r="L1372" s="802" t="s">
        <v>10398</v>
      </c>
      <c r="M1372" s="802" t="s">
        <v>17771</v>
      </c>
      <c r="N1372" s="802" t="s">
        <v>17772</v>
      </c>
      <c r="O1372" s="802" t="s">
        <v>17773</v>
      </c>
      <c r="P1372" s="807" t="s">
        <v>17774</v>
      </c>
    </row>
    <row r="1373" spans="1:16" s="341" customFormat="1" ht="25.5" customHeight="1">
      <c r="A1373" s="806" t="s">
        <v>109</v>
      </c>
      <c r="B1373" s="800" t="s">
        <v>4411</v>
      </c>
      <c r="C1373" s="800" t="s">
        <v>371</v>
      </c>
      <c r="D1373" s="800" t="s">
        <v>17775</v>
      </c>
      <c r="E1373" s="801">
        <v>43020</v>
      </c>
      <c r="F1373" s="800" t="s">
        <v>17776</v>
      </c>
      <c r="G1373" s="800" t="s">
        <v>32</v>
      </c>
      <c r="H1373" s="800" t="s">
        <v>10396</v>
      </c>
      <c r="I1373" s="800" t="s">
        <v>10396</v>
      </c>
      <c r="J1373" s="800" t="s">
        <v>10426</v>
      </c>
      <c r="K1373" s="800">
        <v>1</v>
      </c>
      <c r="L1373" s="802" t="s">
        <v>10398</v>
      </c>
      <c r="M1373" s="802" t="s">
        <v>17777</v>
      </c>
      <c r="N1373" s="802" t="s">
        <v>17778</v>
      </c>
      <c r="O1373" s="802" t="s">
        <v>17779</v>
      </c>
      <c r="P1373" s="807" t="s">
        <v>32</v>
      </c>
    </row>
    <row r="1374" spans="1:16" s="341" customFormat="1" ht="25.5" customHeight="1">
      <c r="A1374" s="806" t="s">
        <v>109</v>
      </c>
      <c r="B1374" s="800" t="s">
        <v>4411</v>
      </c>
      <c r="C1374" s="800" t="s">
        <v>371</v>
      </c>
      <c r="D1374" s="800" t="s">
        <v>17780</v>
      </c>
      <c r="E1374" s="801">
        <v>43026</v>
      </c>
      <c r="F1374" s="800" t="s">
        <v>32</v>
      </c>
      <c r="G1374" s="800" t="s">
        <v>32</v>
      </c>
      <c r="H1374" s="800" t="s">
        <v>10404</v>
      </c>
      <c r="I1374" s="800" t="s">
        <v>10404</v>
      </c>
      <c r="J1374" s="800" t="s">
        <v>10405</v>
      </c>
      <c r="K1374" s="800">
        <v>1</v>
      </c>
      <c r="L1374" s="802" t="s">
        <v>10398</v>
      </c>
      <c r="M1374" s="802" t="s">
        <v>17781</v>
      </c>
      <c r="N1374" s="802" t="s">
        <v>17782</v>
      </c>
      <c r="O1374" s="802" t="s">
        <v>17783</v>
      </c>
      <c r="P1374" s="807" t="s">
        <v>17784</v>
      </c>
    </row>
    <row r="1375" spans="1:16" s="341" customFormat="1" ht="15" customHeight="1">
      <c r="A1375" s="806" t="s">
        <v>109</v>
      </c>
      <c r="B1375" s="800" t="s">
        <v>4411</v>
      </c>
      <c r="C1375" s="800" t="s">
        <v>371</v>
      </c>
      <c r="D1375" s="800" t="s">
        <v>17785</v>
      </c>
      <c r="E1375" s="801">
        <v>43021</v>
      </c>
      <c r="F1375" s="800" t="s">
        <v>32</v>
      </c>
      <c r="G1375" s="800" t="s">
        <v>32</v>
      </c>
      <c r="H1375" s="800" t="s">
        <v>10404</v>
      </c>
      <c r="I1375" s="800" t="s">
        <v>10404</v>
      </c>
      <c r="J1375" s="800" t="s">
        <v>10426</v>
      </c>
      <c r="K1375" s="800">
        <v>1</v>
      </c>
      <c r="L1375" s="802" t="s">
        <v>10398</v>
      </c>
      <c r="M1375" s="802" t="s">
        <v>17786</v>
      </c>
      <c r="N1375" s="802" t="s">
        <v>17787</v>
      </c>
      <c r="O1375" s="802" t="s">
        <v>17788</v>
      </c>
      <c r="P1375" s="807" t="s">
        <v>17789</v>
      </c>
    </row>
    <row r="1376" spans="1:16" s="341" customFormat="1" ht="15" customHeight="1">
      <c r="A1376" s="806" t="s">
        <v>109</v>
      </c>
      <c r="B1376" s="800" t="s">
        <v>4411</v>
      </c>
      <c r="C1376" s="800" t="s">
        <v>371</v>
      </c>
      <c r="D1376" s="800" t="s">
        <v>17790</v>
      </c>
      <c r="E1376" s="801">
        <v>43041</v>
      </c>
      <c r="F1376" s="800" t="s">
        <v>1127</v>
      </c>
      <c r="G1376" s="800" t="s">
        <v>17791</v>
      </c>
      <c r="H1376" s="800" t="s">
        <v>10404</v>
      </c>
      <c r="I1376" s="800" t="s">
        <v>10404</v>
      </c>
      <c r="J1376" s="800" t="s">
        <v>10405</v>
      </c>
      <c r="K1376" s="800">
        <v>1</v>
      </c>
      <c r="L1376" s="802" t="s">
        <v>10398</v>
      </c>
      <c r="M1376" s="802" t="s">
        <v>17792</v>
      </c>
      <c r="N1376" s="802" t="s">
        <v>17793</v>
      </c>
      <c r="O1376" s="802" t="s">
        <v>17794</v>
      </c>
      <c r="P1376" s="807" t="s">
        <v>32</v>
      </c>
    </row>
    <row r="1377" spans="1:16" s="341" customFormat="1" ht="15" customHeight="1">
      <c r="A1377" s="806" t="s">
        <v>109</v>
      </c>
      <c r="B1377" s="800" t="s">
        <v>4411</v>
      </c>
      <c r="C1377" s="800" t="s">
        <v>371</v>
      </c>
      <c r="D1377" s="800" t="s">
        <v>17795</v>
      </c>
      <c r="E1377" s="801">
        <v>43041</v>
      </c>
      <c r="F1377" s="800" t="s">
        <v>2410</v>
      </c>
      <c r="G1377" s="800" t="s">
        <v>32</v>
      </c>
      <c r="H1377" s="800" t="s">
        <v>10404</v>
      </c>
      <c r="I1377" s="800" t="s">
        <v>10404</v>
      </c>
      <c r="J1377" s="800" t="s">
        <v>10405</v>
      </c>
      <c r="K1377" s="800">
        <v>1</v>
      </c>
      <c r="L1377" s="802" t="s">
        <v>10398</v>
      </c>
      <c r="M1377" s="802" t="s">
        <v>32</v>
      </c>
      <c r="N1377" s="802" t="s">
        <v>13212</v>
      </c>
      <c r="O1377" s="802" t="s">
        <v>17796</v>
      </c>
      <c r="P1377" s="807" t="s">
        <v>17797</v>
      </c>
    </row>
    <row r="1378" spans="1:16" s="341" customFormat="1" ht="25.5" customHeight="1">
      <c r="A1378" s="806" t="s">
        <v>109</v>
      </c>
      <c r="B1378" s="800" t="s">
        <v>867</v>
      </c>
      <c r="C1378" s="800" t="s">
        <v>867</v>
      </c>
      <c r="D1378" s="800" t="s">
        <v>17798</v>
      </c>
      <c r="E1378" s="801">
        <v>43061</v>
      </c>
      <c r="F1378" s="800" t="s">
        <v>17799</v>
      </c>
      <c r="G1378" s="800" t="s">
        <v>17800</v>
      </c>
      <c r="H1378" s="800" t="s">
        <v>10404</v>
      </c>
      <c r="I1378" s="800" t="s">
        <v>10404</v>
      </c>
      <c r="J1378" s="800" t="s">
        <v>10405</v>
      </c>
      <c r="K1378" s="800">
        <v>1</v>
      </c>
      <c r="L1378" s="802" t="s">
        <v>10398</v>
      </c>
      <c r="M1378" s="802" t="s">
        <v>17801</v>
      </c>
      <c r="N1378" s="802" t="s">
        <v>17802</v>
      </c>
      <c r="O1378" s="802" t="s">
        <v>17803</v>
      </c>
      <c r="P1378" s="807" t="s">
        <v>17804</v>
      </c>
    </row>
    <row r="1379" spans="1:16" s="341" customFormat="1" ht="25.5" customHeight="1">
      <c r="A1379" s="806" t="s">
        <v>109</v>
      </c>
      <c r="B1379" s="800" t="s">
        <v>867</v>
      </c>
      <c r="C1379" s="800" t="s">
        <v>878</v>
      </c>
      <c r="D1379" s="800" t="s">
        <v>17805</v>
      </c>
      <c r="E1379" s="801">
        <v>43070</v>
      </c>
      <c r="F1379" s="800" t="s">
        <v>17806</v>
      </c>
      <c r="G1379" s="800" t="s">
        <v>17807</v>
      </c>
      <c r="H1379" s="800" t="s">
        <v>10404</v>
      </c>
      <c r="I1379" s="800" t="s">
        <v>10404</v>
      </c>
      <c r="J1379" s="800" t="s">
        <v>10405</v>
      </c>
      <c r="K1379" s="800">
        <v>1</v>
      </c>
      <c r="L1379" s="802" t="s">
        <v>10398</v>
      </c>
      <c r="M1379" s="802" t="s">
        <v>17808</v>
      </c>
      <c r="N1379" s="802" t="s">
        <v>17809</v>
      </c>
      <c r="O1379" s="802" t="s">
        <v>17810</v>
      </c>
      <c r="P1379" s="807" t="s">
        <v>17811</v>
      </c>
    </row>
    <row r="1380" spans="1:16" s="341" customFormat="1" ht="25.5" customHeight="1">
      <c r="A1380" s="806" t="s">
        <v>109</v>
      </c>
      <c r="B1380" s="800" t="s">
        <v>867</v>
      </c>
      <c r="C1380" s="800" t="s">
        <v>878</v>
      </c>
      <c r="D1380" s="800" t="s">
        <v>17812</v>
      </c>
      <c r="E1380" s="801">
        <v>43070</v>
      </c>
      <c r="F1380" s="800" t="s">
        <v>17029</v>
      </c>
      <c r="G1380" s="800" t="s">
        <v>17030</v>
      </c>
      <c r="H1380" s="800" t="s">
        <v>10404</v>
      </c>
      <c r="I1380" s="800" t="s">
        <v>10404</v>
      </c>
      <c r="J1380" s="800" t="s">
        <v>10405</v>
      </c>
      <c r="K1380" s="800">
        <v>1</v>
      </c>
      <c r="L1380" s="802" t="s">
        <v>10398</v>
      </c>
      <c r="M1380" s="802" t="s">
        <v>17813</v>
      </c>
      <c r="N1380" s="802" t="s">
        <v>17814</v>
      </c>
      <c r="O1380" s="802" t="s">
        <v>17037</v>
      </c>
      <c r="P1380" s="807" t="s">
        <v>17815</v>
      </c>
    </row>
    <row r="1381" spans="1:16" s="341" customFormat="1" ht="25.5" customHeight="1">
      <c r="A1381" s="806" t="s">
        <v>109</v>
      </c>
      <c r="B1381" s="800" t="s">
        <v>867</v>
      </c>
      <c r="C1381" s="800" t="s">
        <v>878</v>
      </c>
      <c r="D1381" s="800" t="s">
        <v>17816</v>
      </c>
      <c r="E1381" s="801">
        <v>43070</v>
      </c>
      <c r="F1381" s="800" t="s">
        <v>17817</v>
      </c>
      <c r="G1381" s="800" t="s">
        <v>17818</v>
      </c>
      <c r="H1381" s="800" t="s">
        <v>10531</v>
      </c>
      <c r="I1381" s="800" t="s">
        <v>10531</v>
      </c>
      <c r="J1381" s="800" t="s">
        <v>10397</v>
      </c>
      <c r="K1381" s="800">
        <v>1</v>
      </c>
      <c r="L1381" s="802" t="s">
        <v>10398</v>
      </c>
      <c r="M1381" s="802" t="s">
        <v>17819</v>
      </c>
      <c r="N1381" s="802" t="s">
        <v>17820</v>
      </c>
      <c r="O1381" s="802" t="s">
        <v>17821</v>
      </c>
      <c r="P1381" s="807" t="s">
        <v>17822</v>
      </c>
    </row>
    <row r="1382" spans="1:16" s="341" customFormat="1" ht="25.5" customHeight="1">
      <c r="A1382" s="806" t="s">
        <v>109</v>
      </c>
      <c r="B1382" s="800" t="s">
        <v>867</v>
      </c>
      <c r="C1382" s="800" t="s">
        <v>878</v>
      </c>
      <c r="D1382" s="800" t="s">
        <v>17823</v>
      </c>
      <c r="E1382" s="801">
        <v>43070</v>
      </c>
      <c r="F1382" s="800" t="s">
        <v>17817</v>
      </c>
      <c r="G1382" s="800" t="s">
        <v>17824</v>
      </c>
      <c r="H1382" s="800" t="s">
        <v>10396</v>
      </c>
      <c r="I1382" s="800" t="s">
        <v>10396</v>
      </c>
      <c r="J1382" s="800" t="s">
        <v>10397</v>
      </c>
      <c r="K1382" s="800">
        <v>1</v>
      </c>
      <c r="L1382" s="802" t="s">
        <v>10398</v>
      </c>
      <c r="M1382" s="802" t="s">
        <v>17825</v>
      </c>
      <c r="N1382" s="802" t="s">
        <v>17826</v>
      </c>
      <c r="O1382" s="802" t="s">
        <v>17827</v>
      </c>
      <c r="P1382" s="807" t="s">
        <v>17828</v>
      </c>
    </row>
    <row r="1383" spans="1:16" s="341" customFormat="1" ht="38.25" customHeight="1">
      <c r="A1383" s="806" t="s">
        <v>109</v>
      </c>
      <c r="B1383" s="800" t="s">
        <v>867</v>
      </c>
      <c r="C1383" s="800" t="s">
        <v>878</v>
      </c>
      <c r="D1383" s="800" t="s">
        <v>17829</v>
      </c>
      <c r="E1383" s="801">
        <v>43070</v>
      </c>
      <c r="F1383" s="800" t="s">
        <v>17817</v>
      </c>
      <c r="G1383" s="800" t="s">
        <v>17830</v>
      </c>
      <c r="H1383" s="800" t="s">
        <v>10396</v>
      </c>
      <c r="I1383" s="800" t="s">
        <v>10396</v>
      </c>
      <c r="J1383" s="800" t="s">
        <v>10397</v>
      </c>
      <c r="K1383" s="800">
        <v>1</v>
      </c>
      <c r="L1383" s="802" t="s">
        <v>10398</v>
      </c>
      <c r="M1383" s="802" t="s">
        <v>17831</v>
      </c>
      <c r="N1383" s="802" t="s">
        <v>17832</v>
      </c>
      <c r="O1383" s="802" t="s">
        <v>17827</v>
      </c>
      <c r="P1383" s="807" t="s">
        <v>17833</v>
      </c>
    </row>
    <row r="1384" spans="1:16" s="341" customFormat="1" ht="15" customHeight="1">
      <c r="A1384" s="806" t="s">
        <v>109</v>
      </c>
      <c r="B1384" s="800" t="s">
        <v>867</v>
      </c>
      <c r="C1384" s="800" t="s">
        <v>878</v>
      </c>
      <c r="D1384" s="800" t="s">
        <v>17834</v>
      </c>
      <c r="E1384" s="801">
        <v>43070</v>
      </c>
      <c r="F1384" s="800" t="s">
        <v>17835</v>
      </c>
      <c r="G1384" s="800" t="s">
        <v>17836</v>
      </c>
      <c r="H1384" s="800" t="s">
        <v>10396</v>
      </c>
      <c r="I1384" s="800" t="s">
        <v>10396</v>
      </c>
      <c r="J1384" s="800" t="s">
        <v>10397</v>
      </c>
      <c r="K1384" s="800">
        <v>1</v>
      </c>
      <c r="L1384" s="802" t="s">
        <v>10398</v>
      </c>
      <c r="M1384" s="802" t="s">
        <v>17837</v>
      </c>
      <c r="N1384" s="802" t="s">
        <v>17838</v>
      </c>
      <c r="O1384" s="802" t="s">
        <v>17839</v>
      </c>
      <c r="P1384" s="807" t="s">
        <v>17840</v>
      </c>
    </row>
    <row r="1385" spans="1:16" s="341" customFormat="1" ht="15" customHeight="1">
      <c r="A1385" s="806" t="s">
        <v>109</v>
      </c>
      <c r="B1385" s="800" t="s">
        <v>867</v>
      </c>
      <c r="C1385" s="800" t="s">
        <v>878</v>
      </c>
      <c r="D1385" s="800" t="s">
        <v>17841</v>
      </c>
      <c r="E1385" s="801">
        <v>43069</v>
      </c>
      <c r="F1385" s="800" t="s">
        <v>17842</v>
      </c>
      <c r="G1385" s="800" t="s">
        <v>17843</v>
      </c>
      <c r="H1385" s="800" t="s">
        <v>10396</v>
      </c>
      <c r="I1385" s="800" t="s">
        <v>10396</v>
      </c>
      <c r="J1385" s="800" t="s">
        <v>10397</v>
      </c>
      <c r="K1385" s="800">
        <v>1</v>
      </c>
      <c r="L1385" s="802" t="s">
        <v>11026</v>
      </c>
      <c r="M1385" s="802" t="s">
        <v>17844</v>
      </c>
      <c r="N1385" s="802" t="s">
        <v>17845</v>
      </c>
      <c r="O1385" s="802" t="s">
        <v>17846</v>
      </c>
      <c r="P1385" s="807" t="s">
        <v>17847</v>
      </c>
    </row>
    <row r="1386" spans="1:16" s="341" customFormat="1" ht="25.5" customHeight="1">
      <c r="A1386" s="806" t="s">
        <v>109</v>
      </c>
      <c r="B1386" s="800" t="s">
        <v>867</v>
      </c>
      <c r="C1386" s="800" t="s">
        <v>878</v>
      </c>
      <c r="D1386" s="800" t="s">
        <v>17848</v>
      </c>
      <c r="E1386" s="801">
        <v>43069</v>
      </c>
      <c r="F1386" s="800" t="s">
        <v>17849</v>
      </c>
      <c r="G1386" s="800" t="s">
        <v>17850</v>
      </c>
      <c r="H1386" s="800" t="s">
        <v>10531</v>
      </c>
      <c r="I1386" s="800" t="s">
        <v>10531</v>
      </c>
      <c r="J1386" s="800" t="s">
        <v>10397</v>
      </c>
      <c r="K1386" s="800">
        <v>1</v>
      </c>
      <c r="L1386" s="802" t="s">
        <v>10398</v>
      </c>
      <c r="M1386" s="802" t="s">
        <v>17851</v>
      </c>
      <c r="N1386" s="802" t="s">
        <v>17852</v>
      </c>
      <c r="O1386" s="802" t="s">
        <v>17853</v>
      </c>
      <c r="P1386" s="807" t="s">
        <v>17854</v>
      </c>
    </row>
    <row r="1387" spans="1:16" s="341" customFormat="1" ht="25.5" customHeight="1">
      <c r="A1387" s="806" t="s">
        <v>109</v>
      </c>
      <c r="B1387" s="800" t="s">
        <v>867</v>
      </c>
      <c r="C1387" s="800" t="s">
        <v>878</v>
      </c>
      <c r="D1387" s="800" t="s">
        <v>17855</v>
      </c>
      <c r="E1387" s="801">
        <v>43069</v>
      </c>
      <c r="F1387" s="800" t="s">
        <v>17842</v>
      </c>
      <c r="G1387" s="800" t="s">
        <v>17856</v>
      </c>
      <c r="H1387" s="800" t="s">
        <v>10404</v>
      </c>
      <c r="I1387" s="800" t="s">
        <v>10404</v>
      </c>
      <c r="J1387" s="800" t="s">
        <v>10405</v>
      </c>
      <c r="K1387" s="800">
        <v>1</v>
      </c>
      <c r="L1387" s="802" t="s">
        <v>10605</v>
      </c>
      <c r="M1387" s="802" t="s">
        <v>17857</v>
      </c>
      <c r="N1387" s="802" t="s">
        <v>17858</v>
      </c>
      <c r="O1387" s="802" t="s">
        <v>17859</v>
      </c>
      <c r="P1387" s="807" t="s">
        <v>17860</v>
      </c>
    </row>
    <row r="1388" spans="1:16" s="341" customFormat="1" ht="25.5" customHeight="1">
      <c r="A1388" s="806" t="s">
        <v>109</v>
      </c>
      <c r="B1388" s="800" t="s">
        <v>867</v>
      </c>
      <c r="C1388" s="800" t="s">
        <v>878</v>
      </c>
      <c r="D1388" s="800" t="s">
        <v>17861</v>
      </c>
      <c r="E1388" s="801">
        <v>43069</v>
      </c>
      <c r="F1388" s="800" t="s">
        <v>17842</v>
      </c>
      <c r="G1388" s="800" t="s">
        <v>17862</v>
      </c>
      <c r="H1388" s="800" t="s">
        <v>10404</v>
      </c>
      <c r="I1388" s="800" t="s">
        <v>10404</v>
      </c>
      <c r="J1388" s="800" t="s">
        <v>10405</v>
      </c>
      <c r="K1388" s="800">
        <v>1</v>
      </c>
      <c r="L1388" s="802" t="s">
        <v>11026</v>
      </c>
      <c r="M1388" s="802" t="s">
        <v>17863</v>
      </c>
      <c r="N1388" s="802" t="s">
        <v>17864</v>
      </c>
      <c r="O1388" s="802" t="s">
        <v>15881</v>
      </c>
      <c r="P1388" s="807" t="s">
        <v>17865</v>
      </c>
    </row>
    <row r="1389" spans="1:16" s="341" customFormat="1" ht="15" customHeight="1">
      <c r="A1389" s="806" t="s">
        <v>109</v>
      </c>
      <c r="B1389" s="800" t="s">
        <v>867</v>
      </c>
      <c r="C1389" s="800" t="s">
        <v>878</v>
      </c>
      <c r="D1389" s="800" t="s">
        <v>17866</v>
      </c>
      <c r="E1389" s="801">
        <v>43069</v>
      </c>
      <c r="F1389" s="800" t="s">
        <v>17842</v>
      </c>
      <c r="G1389" s="800" t="s">
        <v>17867</v>
      </c>
      <c r="H1389" s="800" t="s">
        <v>10404</v>
      </c>
      <c r="I1389" s="800" t="s">
        <v>10404</v>
      </c>
      <c r="J1389" s="800" t="s">
        <v>10405</v>
      </c>
      <c r="K1389" s="800">
        <v>1</v>
      </c>
      <c r="L1389" s="802" t="s">
        <v>10398</v>
      </c>
      <c r="M1389" s="802" t="s">
        <v>17868</v>
      </c>
      <c r="N1389" s="802" t="s">
        <v>15411</v>
      </c>
      <c r="O1389" s="802" t="s">
        <v>17869</v>
      </c>
      <c r="P1389" s="807" t="s">
        <v>17870</v>
      </c>
    </row>
    <row r="1390" spans="1:16" s="341" customFormat="1" ht="25.5" customHeight="1">
      <c r="A1390" s="806" t="s">
        <v>109</v>
      </c>
      <c r="B1390" s="800" t="s">
        <v>867</v>
      </c>
      <c r="C1390" s="800" t="s">
        <v>878</v>
      </c>
      <c r="D1390" s="800" t="s">
        <v>17871</v>
      </c>
      <c r="E1390" s="801">
        <v>43069</v>
      </c>
      <c r="F1390" s="800" t="s">
        <v>17872</v>
      </c>
      <c r="G1390" s="800" t="s">
        <v>17873</v>
      </c>
      <c r="H1390" s="800" t="s">
        <v>10404</v>
      </c>
      <c r="I1390" s="800" t="s">
        <v>10404</v>
      </c>
      <c r="J1390" s="800" t="s">
        <v>10405</v>
      </c>
      <c r="K1390" s="800">
        <v>1</v>
      </c>
      <c r="L1390" s="802" t="s">
        <v>10398</v>
      </c>
      <c r="M1390" s="802" t="s">
        <v>17874</v>
      </c>
      <c r="N1390" s="802" t="s">
        <v>17875</v>
      </c>
      <c r="O1390" s="802" t="s">
        <v>17541</v>
      </c>
      <c r="P1390" s="807" t="s">
        <v>17876</v>
      </c>
    </row>
    <row r="1391" spans="1:16" s="341" customFormat="1" ht="25.5" customHeight="1">
      <c r="A1391" s="806" t="s">
        <v>109</v>
      </c>
      <c r="B1391" s="800" t="s">
        <v>867</v>
      </c>
      <c r="C1391" s="800" t="s">
        <v>878</v>
      </c>
      <c r="D1391" s="800" t="s">
        <v>17877</v>
      </c>
      <c r="E1391" s="801">
        <v>43069</v>
      </c>
      <c r="F1391" s="800" t="s">
        <v>17872</v>
      </c>
      <c r="G1391" s="800" t="s">
        <v>17878</v>
      </c>
      <c r="H1391" s="800" t="s">
        <v>10404</v>
      </c>
      <c r="I1391" s="800" t="s">
        <v>10404</v>
      </c>
      <c r="J1391" s="800" t="s">
        <v>10405</v>
      </c>
      <c r="K1391" s="800">
        <v>1</v>
      </c>
      <c r="L1391" s="802" t="s">
        <v>10398</v>
      </c>
      <c r="M1391" s="802" t="s">
        <v>17879</v>
      </c>
      <c r="N1391" s="802" t="s">
        <v>17880</v>
      </c>
      <c r="O1391" s="802" t="s">
        <v>17881</v>
      </c>
      <c r="P1391" s="807" t="s">
        <v>17882</v>
      </c>
    </row>
    <row r="1392" spans="1:16" s="341" customFormat="1" ht="15" customHeight="1">
      <c r="A1392" s="806" t="s">
        <v>109</v>
      </c>
      <c r="B1392" s="800" t="s">
        <v>867</v>
      </c>
      <c r="C1392" s="800" t="s">
        <v>878</v>
      </c>
      <c r="D1392" s="800" t="s">
        <v>17883</v>
      </c>
      <c r="E1392" s="801">
        <v>43069</v>
      </c>
      <c r="F1392" s="800" t="s">
        <v>17872</v>
      </c>
      <c r="G1392" s="800" t="s">
        <v>17884</v>
      </c>
      <c r="H1392" s="800" t="s">
        <v>10404</v>
      </c>
      <c r="I1392" s="800" t="s">
        <v>10404</v>
      </c>
      <c r="J1392" s="800" t="s">
        <v>10405</v>
      </c>
      <c r="K1392" s="800">
        <v>1</v>
      </c>
      <c r="L1392" s="802" t="s">
        <v>10398</v>
      </c>
      <c r="M1392" s="802" t="s">
        <v>17885</v>
      </c>
      <c r="N1392" s="802" t="s">
        <v>17886</v>
      </c>
      <c r="O1392" s="802" t="s">
        <v>15699</v>
      </c>
      <c r="P1392" s="807" t="s">
        <v>17887</v>
      </c>
    </row>
    <row r="1393" spans="1:16" s="341" customFormat="1" ht="25.5" customHeight="1">
      <c r="A1393" s="806" t="s">
        <v>109</v>
      </c>
      <c r="B1393" s="800" t="s">
        <v>867</v>
      </c>
      <c r="C1393" s="800" t="s">
        <v>878</v>
      </c>
      <c r="D1393" s="800" t="s">
        <v>17888</v>
      </c>
      <c r="E1393" s="801">
        <v>43069</v>
      </c>
      <c r="F1393" s="800" t="s">
        <v>17842</v>
      </c>
      <c r="G1393" s="800" t="s">
        <v>17889</v>
      </c>
      <c r="H1393" s="800" t="s">
        <v>10396</v>
      </c>
      <c r="I1393" s="800" t="s">
        <v>10396</v>
      </c>
      <c r="J1393" s="800" t="s">
        <v>10397</v>
      </c>
      <c r="K1393" s="800">
        <v>1</v>
      </c>
      <c r="L1393" s="802" t="s">
        <v>11026</v>
      </c>
      <c r="M1393" s="802" t="s">
        <v>17890</v>
      </c>
      <c r="N1393" s="802" t="s">
        <v>17891</v>
      </c>
      <c r="O1393" s="802" t="s">
        <v>17892</v>
      </c>
      <c r="P1393" s="807" t="s">
        <v>17893</v>
      </c>
    </row>
    <row r="1394" spans="1:16" s="341" customFormat="1" ht="25.5" customHeight="1">
      <c r="A1394" s="806" t="s">
        <v>109</v>
      </c>
      <c r="B1394" s="800" t="s">
        <v>867</v>
      </c>
      <c r="C1394" s="800" t="s">
        <v>878</v>
      </c>
      <c r="D1394" s="800" t="s">
        <v>17894</v>
      </c>
      <c r="E1394" s="801">
        <v>43069</v>
      </c>
      <c r="F1394" s="800" t="s">
        <v>17817</v>
      </c>
      <c r="G1394" s="800" t="s">
        <v>17895</v>
      </c>
      <c r="H1394" s="800" t="s">
        <v>10531</v>
      </c>
      <c r="I1394" s="800" t="s">
        <v>10531</v>
      </c>
      <c r="J1394" s="800" t="s">
        <v>10397</v>
      </c>
      <c r="K1394" s="800">
        <v>1</v>
      </c>
      <c r="L1394" s="802" t="s">
        <v>10398</v>
      </c>
      <c r="M1394" s="802" t="s">
        <v>17896</v>
      </c>
      <c r="N1394" s="802" t="s">
        <v>17897</v>
      </c>
      <c r="O1394" s="802" t="s">
        <v>17898</v>
      </c>
      <c r="P1394" s="807" t="s">
        <v>17899</v>
      </c>
    </row>
    <row r="1395" spans="1:16" s="341" customFormat="1" ht="15" customHeight="1">
      <c r="A1395" s="806" t="s">
        <v>109</v>
      </c>
      <c r="B1395" s="800" t="s">
        <v>867</v>
      </c>
      <c r="C1395" s="800" t="s">
        <v>878</v>
      </c>
      <c r="D1395" s="800" t="s">
        <v>17900</v>
      </c>
      <c r="E1395" s="801">
        <v>43069</v>
      </c>
      <c r="F1395" s="800" t="s">
        <v>17842</v>
      </c>
      <c r="G1395" s="800" t="s">
        <v>17901</v>
      </c>
      <c r="H1395" s="800" t="s">
        <v>10404</v>
      </c>
      <c r="I1395" s="800" t="s">
        <v>10404</v>
      </c>
      <c r="J1395" s="800" t="s">
        <v>10405</v>
      </c>
      <c r="K1395" s="800">
        <v>1</v>
      </c>
      <c r="L1395" s="802" t="s">
        <v>10398</v>
      </c>
      <c r="M1395" s="802" t="s">
        <v>17902</v>
      </c>
      <c r="N1395" s="802" t="s">
        <v>17903</v>
      </c>
      <c r="O1395" s="802" t="s">
        <v>13895</v>
      </c>
      <c r="P1395" s="807" t="s">
        <v>17904</v>
      </c>
    </row>
    <row r="1396" spans="1:16" s="341" customFormat="1" ht="15" customHeight="1">
      <c r="A1396" s="806" t="s">
        <v>109</v>
      </c>
      <c r="B1396" s="800" t="s">
        <v>867</v>
      </c>
      <c r="C1396" s="800" t="s">
        <v>878</v>
      </c>
      <c r="D1396" s="800" t="s">
        <v>17905</v>
      </c>
      <c r="E1396" s="801">
        <v>43069</v>
      </c>
      <c r="F1396" s="800" t="s">
        <v>17842</v>
      </c>
      <c r="G1396" s="800" t="s">
        <v>17906</v>
      </c>
      <c r="H1396" s="800" t="s">
        <v>10404</v>
      </c>
      <c r="I1396" s="800" t="s">
        <v>10404</v>
      </c>
      <c r="J1396" s="800" t="s">
        <v>10405</v>
      </c>
      <c r="K1396" s="800">
        <v>1</v>
      </c>
      <c r="L1396" s="802" t="s">
        <v>10605</v>
      </c>
      <c r="M1396" s="802" t="s">
        <v>17907</v>
      </c>
      <c r="N1396" s="802" t="s">
        <v>17908</v>
      </c>
      <c r="O1396" s="802" t="s">
        <v>17909</v>
      </c>
      <c r="P1396" s="807" t="s">
        <v>17910</v>
      </c>
    </row>
    <row r="1397" spans="1:16" s="341" customFormat="1" ht="51" customHeight="1">
      <c r="A1397" s="806" t="s">
        <v>109</v>
      </c>
      <c r="B1397" s="800" t="s">
        <v>867</v>
      </c>
      <c r="C1397" s="800" t="s">
        <v>878</v>
      </c>
      <c r="D1397" s="800" t="s">
        <v>17911</v>
      </c>
      <c r="E1397" s="801">
        <v>43038</v>
      </c>
      <c r="F1397" s="800" t="s">
        <v>17817</v>
      </c>
      <c r="G1397" s="800" t="s">
        <v>17912</v>
      </c>
      <c r="H1397" s="800" t="s">
        <v>10531</v>
      </c>
      <c r="I1397" s="800" t="s">
        <v>10531</v>
      </c>
      <c r="J1397" s="800" t="s">
        <v>10397</v>
      </c>
      <c r="K1397" s="800">
        <v>1</v>
      </c>
      <c r="L1397" s="802" t="s">
        <v>10398</v>
      </c>
      <c r="M1397" s="802" t="s">
        <v>17913</v>
      </c>
      <c r="N1397" s="802" t="s">
        <v>17914</v>
      </c>
      <c r="O1397" s="802" t="s">
        <v>17898</v>
      </c>
      <c r="P1397" s="807" t="s">
        <v>17899</v>
      </c>
    </row>
    <row r="1398" spans="1:16" s="341" customFormat="1" ht="25.5" customHeight="1">
      <c r="A1398" s="806" t="s">
        <v>109</v>
      </c>
      <c r="B1398" s="800" t="s">
        <v>867</v>
      </c>
      <c r="C1398" s="800" t="s">
        <v>878</v>
      </c>
      <c r="D1398" s="800" t="s">
        <v>17915</v>
      </c>
      <c r="E1398" s="801">
        <v>43069</v>
      </c>
      <c r="F1398" s="800" t="s">
        <v>17817</v>
      </c>
      <c r="G1398" s="800" t="s">
        <v>17916</v>
      </c>
      <c r="H1398" s="800" t="s">
        <v>10404</v>
      </c>
      <c r="I1398" s="800" t="s">
        <v>10404</v>
      </c>
      <c r="J1398" s="800" t="s">
        <v>10405</v>
      </c>
      <c r="K1398" s="800">
        <v>1</v>
      </c>
      <c r="L1398" s="802" t="s">
        <v>10398</v>
      </c>
      <c r="M1398" s="802" t="s">
        <v>17917</v>
      </c>
      <c r="N1398" s="802" t="s">
        <v>17918</v>
      </c>
      <c r="O1398" s="802" t="s">
        <v>17919</v>
      </c>
      <c r="P1398" s="807" t="s">
        <v>17920</v>
      </c>
    </row>
    <row r="1399" spans="1:16" s="341" customFormat="1" ht="25.5" customHeight="1">
      <c r="A1399" s="806" t="s">
        <v>109</v>
      </c>
      <c r="B1399" s="800" t="s">
        <v>867</v>
      </c>
      <c r="C1399" s="800" t="s">
        <v>878</v>
      </c>
      <c r="D1399" s="800" t="s">
        <v>17921</v>
      </c>
      <c r="E1399" s="801">
        <v>43038</v>
      </c>
      <c r="F1399" s="800" t="s">
        <v>17922</v>
      </c>
      <c r="G1399" s="800" t="s">
        <v>17923</v>
      </c>
      <c r="H1399" s="800" t="s">
        <v>10404</v>
      </c>
      <c r="I1399" s="800" t="s">
        <v>10404</v>
      </c>
      <c r="J1399" s="800" t="s">
        <v>10405</v>
      </c>
      <c r="K1399" s="800">
        <v>1</v>
      </c>
      <c r="L1399" s="802" t="s">
        <v>10398</v>
      </c>
      <c r="M1399" s="802" t="s">
        <v>17924</v>
      </c>
      <c r="N1399" s="802" t="s">
        <v>17925</v>
      </c>
      <c r="O1399" s="802" t="s">
        <v>17926</v>
      </c>
      <c r="P1399" s="807" t="s">
        <v>17927</v>
      </c>
    </row>
    <row r="1400" spans="1:16" s="341" customFormat="1" ht="25.5" customHeight="1">
      <c r="A1400" s="806" t="s">
        <v>109</v>
      </c>
      <c r="B1400" s="800" t="s">
        <v>867</v>
      </c>
      <c r="C1400" s="800" t="s">
        <v>878</v>
      </c>
      <c r="D1400" s="800" t="s">
        <v>17928</v>
      </c>
      <c r="E1400" s="801">
        <v>43069</v>
      </c>
      <c r="F1400" s="800" t="s">
        <v>17922</v>
      </c>
      <c r="G1400" s="800" t="s">
        <v>17929</v>
      </c>
      <c r="H1400" s="800" t="s">
        <v>10404</v>
      </c>
      <c r="I1400" s="800" t="s">
        <v>10404</v>
      </c>
      <c r="J1400" s="800" t="s">
        <v>10405</v>
      </c>
      <c r="K1400" s="800">
        <v>1</v>
      </c>
      <c r="L1400" s="802" t="s">
        <v>10398</v>
      </c>
      <c r="M1400" s="802" t="s">
        <v>17930</v>
      </c>
      <c r="N1400" s="802" t="s">
        <v>17931</v>
      </c>
      <c r="O1400" s="802" t="s">
        <v>17932</v>
      </c>
      <c r="P1400" s="807" t="s">
        <v>17933</v>
      </c>
    </row>
    <row r="1401" spans="1:16" s="341" customFormat="1" ht="38.25" customHeight="1">
      <c r="A1401" s="806" t="s">
        <v>109</v>
      </c>
      <c r="B1401" s="800" t="s">
        <v>867</v>
      </c>
      <c r="C1401" s="800" t="s">
        <v>878</v>
      </c>
      <c r="D1401" s="800" t="s">
        <v>17934</v>
      </c>
      <c r="E1401" s="801">
        <v>43069</v>
      </c>
      <c r="F1401" s="800" t="s">
        <v>17849</v>
      </c>
      <c r="G1401" s="800" t="s">
        <v>17935</v>
      </c>
      <c r="H1401" s="800" t="s">
        <v>10404</v>
      </c>
      <c r="I1401" s="800" t="s">
        <v>10404</v>
      </c>
      <c r="J1401" s="800" t="s">
        <v>10405</v>
      </c>
      <c r="K1401" s="800">
        <v>1</v>
      </c>
      <c r="L1401" s="802" t="s">
        <v>10398</v>
      </c>
      <c r="M1401" s="802" t="s">
        <v>17936</v>
      </c>
      <c r="N1401" s="802" t="s">
        <v>17937</v>
      </c>
      <c r="O1401" s="802" t="s">
        <v>17938</v>
      </c>
      <c r="P1401" s="807" t="s">
        <v>17939</v>
      </c>
    </row>
    <row r="1402" spans="1:16" s="341" customFormat="1" ht="38.25" customHeight="1">
      <c r="A1402" s="806" t="s">
        <v>109</v>
      </c>
      <c r="B1402" s="800" t="s">
        <v>867</v>
      </c>
      <c r="C1402" s="800" t="s">
        <v>878</v>
      </c>
      <c r="D1402" s="800" t="s">
        <v>17940</v>
      </c>
      <c r="E1402" s="801">
        <v>43069</v>
      </c>
      <c r="F1402" s="800" t="s">
        <v>32</v>
      </c>
      <c r="G1402" s="800" t="s">
        <v>17941</v>
      </c>
      <c r="H1402" s="800" t="s">
        <v>10396</v>
      </c>
      <c r="I1402" s="800" t="s">
        <v>10396</v>
      </c>
      <c r="J1402" s="800" t="s">
        <v>10397</v>
      </c>
      <c r="K1402" s="800">
        <v>1</v>
      </c>
      <c r="L1402" s="802" t="s">
        <v>11026</v>
      </c>
      <c r="M1402" s="802" t="s">
        <v>17942</v>
      </c>
      <c r="N1402" s="802" t="s">
        <v>17943</v>
      </c>
      <c r="O1402" s="802" t="s">
        <v>17944</v>
      </c>
      <c r="P1402" s="807" t="s">
        <v>17893</v>
      </c>
    </row>
    <row r="1403" spans="1:16" s="341" customFormat="1" ht="38.25" customHeight="1">
      <c r="A1403" s="806" t="s">
        <v>109</v>
      </c>
      <c r="B1403" s="800" t="s">
        <v>867</v>
      </c>
      <c r="C1403" s="800" t="s">
        <v>878</v>
      </c>
      <c r="D1403" s="800" t="s">
        <v>17945</v>
      </c>
      <c r="E1403" s="801">
        <v>43069</v>
      </c>
      <c r="F1403" s="800" t="s">
        <v>17922</v>
      </c>
      <c r="G1403" s="800" t="s">
        <v>17946</v>
      </c>
      <c r="H1403" s="800" t="s">
        <v>10404</v>
      </c>
      <c r="I1403" s="800" t="s">
        <v>10404</v>
      </c>
      <c r="J1403" s="800" t="s">
        <v>10405</v>
      </c>
      <c r="K1403" s="800">
        <v>1</v>
      </c>
      <c r="L1403" s="802" t="s">
        <v>10398</v>
      </c>
      <c r="M1403" s="802" t="s">
        <v>17947</v>
      </c>
      <c r="N1403" s="802" t="s">
        <v>17479</v>
      </c>
      <c r="O1403" s="802" t="s">
        <v>17948</v>
      </c>
      <c r="P1403" s="807" t="s">
        <v>17933</v>
      </c>
    </row>
    <row r="1404" spans="1:16" s="341" customFormat="1" ht="25.5" customHeight="1">
      <c r="A1404" s="806" t="s">
        <v>109</v>
      </c>
      <c r="B1404" s="800" t="s">
        <v>867</v>
      </c>
      <c r="C1404" s="800" t="s">
        <v>878</v>
      </c>
      <c r="D1404" s="800" t="s">
        <v>17949</v>
      </c>
      <c r="E1404" s="801">
        <v>43070</v>
      </c>
      <c r="F1404" s="800" t="s">
        <v>17835</v>
      </c>
      <c r="G1404" s="800" t="s">
        <v>17950</v>
      </c>
      <c r="H1404" s="800" t="s">
        <v>10396</v>
      </c>
      <c r="I1404" s="800" t="s">
        <v>10396</v>
      </c>
      <c r="J1404" s="800" t="s">
        <v>10447</v>
      </c>
      <c r="K1404" s="800">
        <v>1</v>
      </c>
      <c r="L1404" s="802" t="s">
        <v>11026</v>
      </c>
      <c r="M1404" s="802" t="s">
        <v>17951</v>
      </c>
      <c r="N1404" s="802" t="s">
        <v>17952</v>
      </c>
      <c r="O1404" s="802" t="s">
        <v>17953</v>
      </c>
      <c r="P1404" s="807" t="s">
        <v>17954</v>
      </c>
    </row>
    <row r="1405" spans="1:16" s="341" customFormat="1" ht="25.5" customHeight="1">
      <c r="A1405" s="806" t="s">
        <v>109</v>
      </c>
      <c r="B1405" s="800" t="s">
        <v>867</v>
      </c>
      <c r="C1405" s="800" t="s">
        <v>878</v>
      </c>
      <c r="D1405" s="800" t="s">
        <v>17955</v>
      </c>
      <c r="E1405" s="801">
        <v>43069</v>
      </c>
      <c r="F1405" s="800" t="s">
        <v>17956</v>
      </c>
      <c r="G1405" s="800" t="s">
        <v>17957</v>
      </c>
      <c r="H1405" s="800" t="s">
        <v>10396</v>
      </c>
      <c r="I1405" s="800" t="s">
        <v>10396</v>
      </c>
      <c r="J1405" s="800" t="s">
        <v>10447</v>
      </c>
      <c r="K1405" s="800">
        <v>1</v>
      </c>
      <c r="L1405" s="802" t="s">
        <v>10398</v>
      </c>
      <c r="M1405" s="802" t="s">
        <v>17958</v>
      </c>
      <c r="N1405" s="802" t="s">
        <v>17959</v>
      </c>
      <c r="O1405" s="802" t="s">
        <v>17960</v>
      </c>
      <c r="P1405" s="807" t="s">
        <v>17961</v>
      </c>
    </row>
    <row r="1406" spans="1:16" s="341" customFormat="1" ht="25.5" customHeight="1">
      <c r="A1406" s="806" t="s">
        <v>109</v>
      </c>
      <c r="B1406" s="800" t="s">
        <v>867</v>
      </c>
      <c r="C1406" s="800" t="s">
        <v>878</v>
      </c>
      <c r="D1406" s="800" t="s">
        <v>17962</v>
      </c>
      <c r="E1406" s="801">
        <v>43069</v>
      </c>
      <c r="F1406" s="800" t="s">
        <v>17963</v>
      </c>
      <c r="G1406" s="800" t="s">
        <v>17964</v>
      </c>
      <c r="H1406" s="800" t="s">
        <v>10404</v>
      </c>
      <c r="I1406" s="800" t="s">
        <v>10404</v>
      </c>
      <c r="J1406" s="800" t="s">
        <v>10405</v>
      </c>
      <c r="K1406" s="800">
        <v>1</v>
      </c>
      <c r="L1406" s="802" t="s">
        <v>10398</v>
      </c>
      <c r="M1406" s="802" t="s">
        <v>17965</v>
      </c>
      <c r="N1406" s="802" t="s">
        <v>14874</v>
      </c>
      <c r="O1406" s="802" t="s">
        <v>17966</v>
      </c>
      <c r="P1406" s="807" t="s">
        <v>17967</v>
      </c>
    </row>
    <row r="1407" spans="1:16" s="341" customFormat="1" ht="15" customHeight="1">
      <c r="A1407" s="806" t="s">
        <v>109</v>
      </c>
      <c r="B1407" s="800" t="s">
        <v>867</v>
      </c>
      <c r="C1407" s="800" t="s">
        <v>878</v>
      </c>
      <c r="D1407" s="800" t="s">
        <v>17968</v>
      </c>
      <c r="E1407" s="801">
        <v>43069</v>
      </c>
      <c r="F1407" s="800" t="s">
        <v>17963</v>
      </c>
      <c r="G1407" s="800" t="s">
        <v>17969</v>
      </c>
      <c r="H1407" s="800" t="s">
        <v>10396</v>
      </c>
      <c r="I1407" s="800" t="s">
        <v>10396</v>
      </c>
      <c r="J1407" s="800" t="s">
        <v>10405</v>
      </c>
      <c r="K1407" s="800">
        <v>1</v>
      </c>
      <c r="L1407" s="802" t="s">
        <v>10398</v>
      </c>
      <c r="M1407" s="802" t="s">
        <v>17970</v>
      </c>
      <c r="N1407" s="802" t="s">
        <v>17971</v>
      </c>
      <c r="O1407" s="802" t="s">
        <v>17972</v>
      </c>
      <c r="P1407" s="807" t="s">
        <v>17973</v>
      </c>
    </row>
    <row r="1408" spans="1:16" s="341" customFormat="1" ht="15" customHeight="1">
      <c r="A1408" s="806" t="s">
        <v>109</v>
      </c>
      <c r="B1408" s="800" t="s">
        <v>867</v>
      </c>
      <c r="C1408" s="800" t="s">
        <v>878</v>
      </c>
      <c r="D1408" s="800" t="s">
        <v>17974</v>
      </c>
      <c r="E1408" s="801">
        <v>43069</v>
      </c>
      <c r="F1408" s="800" t="s">
        <v>17963</v>
      </c>
      <c r="G1408" s="800" t="s">
        <v>17975</v>
      </c>
      <c r="H1408" s="800" t="s">
        <v>10404</v>
      </c>
      <c r="I1408" s="800" t="s">
        <v>10404</v>
      </c>
      <c r="J1408" s="800" t="s">
        <v>10405</v>
      </c>
      <c r="K1408" s="800">
        <v>1</v>
      </c>
      <c r="L1408" s="802" t="s">
        <v>10398</v>
      </c>
      <c r="M1408" s="802" t="s">
        <v>17976</v>
      </c>
      <c r="N1408" s="802" t="s">
        <v>17977</v>
      </c>
      <c r="O1408" s="802" t="s">
        <v>17978</v>
      </c>
      <c r="P1408" s="807" t="s">
        <v>17979</v>
      </c>
    </row>
    <row r="1409" spans="1:16" s="341" customFormat="1" ht="15" customHeight="1">
      <c r="A1409" s="806" t="s">
        <v>109</v>
      </c>
      <c r="B1409" s="800" t="s">
        <v>867</v>
      </c>
      <c r="C1409" s="800" t="s">
        <v>878</v>
      </c>
      <c r="D1409" s="800" t="s">
        <v>17980</v>
      </c>
      <c r="E1409" s="801">
        <v>43069</v>
      </c>
      <c r="F1409" s="800" t="s">
        <v>17963</v>
      </c>
      <c r="G1409" s="800" t="s">
        <v>17981</v>
      </c>
      <c r="H1409" s="800" t="s">
        <v>10531</v>
      </c>
      <c r="I1409" s="800" t="s">
        <v>10531</v>
      </c>
      <c r="J1409" s="800" t="s">
        <v>10447</v>
      </c>
      <c r="K1409" s="800">
        <v>1</v>
      </c>
      <c r="L1409" s="802" t="s">
        <v>10398</v>
      </c>
      <c r="M1409" s="802" t="s">
        <v>17982</v>
      </c>
      <c r="N1409" s="802" t="s">
        <v>17983</v>
      </c>
      <c r="O1409" s="802" t="s">
        <v>17984</v>
      </c>
      <c r="P1409" s="807" t="s">
        <v>17985</v>
      </c>
    </row>
    <row r="1410" spans="1:16" s="341" customFormat="1" ht="15" customHeight="1">
      <c r="A1410" s="806" t="s">
        <v>109</v>
      </c>
      <c r="B1410" s="800" t="s">
        <v>867</v>
      </c>
      <c r="C1410" s="800" t="s">
        <v>878</v>
      </c>
      <c r="D1410" s="800" t="s">
        <v>17986</v>
      </c>
      <c r="E1410" s="801">
        <v>43069</v>
      </c>
      <c r="F1410" s="800" t="s">
        <v>17987</v>
      </c>
      <c r="G1410" s="800" t="s">
        <v>17988</v>
      </c>
      <c r="H1410" s="800" t="s">
        <v>10396</v>
      </c>
      <c r="I1410" s="800" t="s">
        <v>10396</v>
      </c>
      <c r="J1410" s="800" t="s">
        <v>10447</v>
      </c>
      <c r="K1410" s="800">
        <v>1</v>
      </c>
      <c r="L1410" s="802" t="s">
        <v>10398</v>
      </c>
      <c r="M1410" s="802" t="s">
        <v>17989</v>
      </c>
      <c r="N1410" s="802" t="s">
        <v>15959</v>
      </c>
      <c r="O1410" s="802" t="s">
        <v>17990</v>
      </c>
      <c r="P1410" s="807" t="s">
        <v>17991</v>
      </c>
    </row>
    <row r="1411" spans="1:16" s="341" customFormat="1" ht="15" customHeight="1">
      <c r="A1411" s="806" t="s">
        <v>109</v>
      </c>
      <c r="B1411" s="800" t="s">
        <v>867</v>
      </c>
      <c r="C1411" s="800" t="s">
        <v>878</v>
      </c>
      <c r="D1411" s="800" t="s">
        <v>17992</v>
      </c>
      <c r="E1411" s="801">
        <v>43069</v>
      </c>
      <c r="F1411" s="800" t="s">
        <v>17987</v>
      </c>
      <c r="G1411" s="800" t="s">
        <v>32</v>
      </c>
      <c r="H1411" s="800" t="s">
        <v>10396</v>
      </c>
      <c r="I1411" s="800" t="s">
        <v>10396</v>
      </c>
      <c r="J1411" s="800" t="s">
        <v>10447</v>
      </c>
      <c r="K1411" s="800">
        <v>1</v>
      </c>
      <c r="L1411" s="802" t="s">
        <v>10398</v>
      </c>
      <c r="M1411" s="802" t="s">
        <v>17993</v>
      </c>
      <c r="N1411" s="802" t="s">
        <v>17994</v>
      </c>
      <c r="O1411" s="802" t="s">
        <v>17995</v>
      </c>
      <c r="P1411" s="807" t="s">
        <v>17996</v>
      </c>
    </row>
    <row r="1412" spans="1:16" s="341" customFormat="1" ht="15" customHeight="1">
      <c r="A1412" s="806" t="s">
        <v>109</v>
      </c>
      <c r="B1412" s="800" t="s">
        <v>867</v>
      </c>
      <c r="C1412" s="800" t="s">
        <v>878</v>
      </c>
      <c r="D1412" s="800" t="s">
        <v>17997</v>
      </c>
      <c r="E1412" s="801">
        <v>43069</v>
      </c>
      <c r="F1412" s="800" t="s">
        <v>17987</v>
      </c>
      <c r="G1412" s="800" t="s">
        <v>17998</v>
      </c>
      <c r="H1412" s="800" t="s">
        <v>10396</v>
      </c>
      <c r="I1412" s="800" t="s">
        <v>10396</v>
      </c>
      <c r="J1412" s="800" t="s">
        <v>10447</v>
      </c>
      <c r="K1412" s="800">
        <v>1</v>
      </c>
      <c r="L1412" s="802" t="s">
        <v>10398</v>
      </c>
      <c r="M1412" s="802" t="s">
        <v>17999</v>
      </c>
      <c r="N1412" s="802" t="s">
        <v>11258</v>
      </c>
      <c r="O1412" s="802" t="s">
        <v>18000</v>
      </c>
      <c r="P1412" s="807" t="s">
        <v>18001</v>
      </c>
    </row>
    <row r="1413" spans="1:16" s="341" customFormat="1" ht="15" customHeight="1">
      <c r="A1413" s="806" t="s">
        <v>109</v>
      </c>
      <c r="B1413" s="800" t="s">
        <v>867</v>
      </c>
      <c r="C1413" s="800" t="s">
        <v>878</v>
      </c>
      <c r="D1413" s="800" t="s">
        <v>18002</v>
      </c>
      <c r="E1413" s="801">
        <v>43069</v>
      </c>
      <c r="F1413" s="800" t="s">
        <v>17987</v>
      </c>
      <c r="G1413" s="800" t="s">
        <v>18003</v>
      </c>
      <c r="H1413" s="800" t="s">
        <v>10396</v>
      </c>
      <c r="I1413" s="800" t="s">
        <v>10396</v>
      </c>
      <c r="J1413" s="800" t="s">
        <v>10447</v>
      </c>
      <c r="K1413" s="800">
        <v>1</v>
      </c>
      <c r="L1413" s="802" t="s">
        <v>10398</v>
      </c>
      <c r="M1413" s="802" t="s">
        <v>18004</v>
      </c>
      <c r="N1413" s="802" t="s">
        <v>18005</v>
      </c>
      <c r="O1413" s="802" t="s">
        <v>18006</v>
      </c>
      <c r="P1413" s="807" t="s">
        <v>18007</v>
      </c>
    </row>
    <row r="1414" spans="1:16" s="341" customFormat="1" ht="15" customHeight="1">
      <c r="A1414" s="806" t="s">
        <v>109</v>
      </c>
      <c r="B1414" s="800" t="s">
        <v>867</v>
      </c>
      <c r="C1414" s="800" t="s">
        <v>878</v>
      </c>
      <c r="D1414" s="800" t="s">
        <v>18008</v>
      </c>
      <c r="E1414" s="801">
        <v>43069</v>
      </c>
      <c r="F1414" s="800" t="s">
        <v>17987</v>
      </c>
      <c r="G1414" s="800" t="s">
        <v>18009</v>
      </c>
      <c r="H1414" s="800" t="s">
        <v>10396</v>
      </c>
      <c r="I1414" s="800" t="s">
        <v>10396</v>
      </c>
      <c r="J1414" s="800" t="s">
        <v>10447</v>
      </c>
      <c r="K1414" s="800">
        <v>1</v>
      </c>
      <c r="L1414" s="802" t="s">
        <v>10398</v>
      </c>
      <c r="M1414" s="802" t="s">
        <v>18010</v>
      </c>
      <c r="N1414" s="802" t="s">
        <v>18011</v>
      </c>
      <c r="O1414" s="802" t="s">
        <v>18012</v>
      </c>
      <c r="P1414" s="807" t="s">
        <v>18007</v>
      </c>
    </row>
    <row r="1415" spans="1:16" s="341" customFormat="1" ht="15" customHeight="1">
      <c r="A1415" s="806" t="s">
        <v>109</v>
      </c>
      <c r="B1415" s="800" t="s">
        <v>867</v>
      </c>
      <c r="C1415" s="800" t="s">
        <v>878</v>
      </c>
      <c r="D1415" s="800" t="s">
        <v>18013</v>
      </c>
      <c r="E1415" s="801">
        <v>43069</v>
      </c>
      <c r="F1415" s="800" t="s">
        <v>17987</v>
      </c>
      <c r="G1415" s="800" t="s">
        <v>18014</v>
      </c>
      <c r="H1415" s="800" t="s">
        <v>10396</v>
      </c>
      <c r="I1415" s="800" t="s">
        <v>10396</v>
      </c>
      <c r="J1415" s="800" t="s">
        <v>10447</v>
      </c>
      <c r="K1415" s="800">
        <v>1</v>
      </c>
      <c r="L1415" s="802" t="s">
        <v>10398</v>
      </c>
      <c r="M1415" s="802" t="s">
        <v>18015</v>
      </c>
      <c r="N1415" s="802" t="s">
        <v>18016</v>
      </c>
      <c r="O1415" s="802" t="s">
        <v>18017</v>
      </c>
      <c r="P1415" s="807" t="s">
        <v>18018</v>
      </c>
    </row>
    <row r="1416" spans="1:16" s="341" customFormat="1" ht="15" customHeight="1">
      <c r="A1416" s="806" t="s">
        <v>109</v>
      </c>
      <c r="B1416" s="800" t="s">
        <v>867</v>
      </c>
      <c r="C1416" s="800" t="s">
        <v>878</v>
      </c>
      <c r="D1416" s="800" t="s">
        <v>18019</v>
      </c>
      <c r="E1416" s="801">
        <v>43069</v>
      </c>
      <c r="F1416" s="800" t="s">
        <v>17987</v>
      </c>
      <c r="G1416" s="800" t="s">
        <v>18020</v>
      </c>
      <c r="H1416" s="800" t="s">
        <v>10396</v>
      </c>
      <c r="I1416" s="800" t="s">
        <v>10396</v>
      </c>
      <c r="J1416" s="800" t="s">
        <v>10447</v>
      </c>
      <c r="K1416" s="800">
        <v>1</v>
      </c>
      <c r="L1416" s="802" t="s">
        <v>10398</v>
      </c>
      <c r="M1416" s="802" t="s">
        <v>18021</v>
      </c>
      <c r="N1416" s="802" t="s">
        <v>18022</v>
      </c>
      <c r="O1416" s="802" t="s">
        <v>18023</v>
      </c>
      <c r="P1416" s="807" t="s">
        <v>18024</v>
      </c>
    </row>
    <row r="1417" spans="1:16" s="341" customFormat="1" ht="15" customHeight="1">
      <c r="A1417" s="806" t="s">
        <v>109</v>
      </c>
      <c r="B1417" s="800" t="s">
        <v>867</v>
      </c>
      <c r="C1417" s="800" t="s">
        <v>878</v>
      </c>
      <c r="D1417" s="800" t="s">
        <v>18025</v>
      </c>
      <c r="E1417" s="801">
        <v>43069</v>
      </c>
      <c r="F1417" s="800" t="s">
        <v>17987</v>
      </c>
      <c r="G1417" s="800" t="s">
        <v>18026</v>
      </c>
      <c r="H1417" s="800" t="s">
        <v>10433</v>
      </c>
      <c r="I1417" s="800" t="s">
        <v>10433</v>
      </c>
      <c r="J1417" s="800" t="s">
        <v>10447</v>
      </c>
      <c r="K1417" s="800">
        <v>1</v>
      </c>
      <c r="L1417" s="802" t="s">
        <v>10398</v>
      </c>
      <c r="M1417" s="802" t="s">
        <v>18027</v>
      </c>
      <c r="N1417" s="802" t="s">
        <v>18028</v>
      </c>
      <c r="O1417" s="802" t="s">
        <v>18029</v>
      </c>
      <c r="P1417" s="807" t="s">
        <v>18030</v>
      </c>
    </row>
    <row r="1418" spans="1:16" s="341" customFormat="1" ht="15" customHeight="1">
      <c r="A1418" s="806" t="s">
        <v>109</v>
      </c>
      <c r="B1418" s="800" t="s">
        <v>867</v>
      </c>
      <c r="C1418" s="800" t="s">
        <v>878</v>
      </c>
      <c r="D1418" s="800" t="s">
        <v>18031</v>
      </c>
      <c r="E1418" s="801">
        <v>43069</v>
      </c>
      <c r="F1418" s="800" t="s">
        <v>17987</v>
      </c>
      <c r="G1418" s="800" t="s">
        <v>18032</v>
      </c>
      <c r="H1418" s="800" t="s">
        <v>10396</v>
      </c>
      <c r="I1418" s="800" t="s">
        <v>10396</v>
      </c>
      <c r="J1418" s="800" t="s">
        <v>10447</v>
      </c>
      <c r="K1418" s="800">
        <v>1</v>
      </c>
      <c r="L1418" s="802" t="s">
        <v>10605</v>
      </c>
      <c r="M1418" s="802" t="s">
        <v>18033</v>
      </c>
      <c r="N1418" s="802" t="s">
        <v>18034</v>
      </c>
      <c r="O1418" s="802" t="s">
        <v>18035</v>
      </c>
      <c r="P1418" s="807" t="s">
        <v>18036</v>
      </c>
    </row>
    <row r="1419" spans="1:16" s="341" customFormat="1" ht="15" customHeight="1">
      <c r="A1419" s="806" t="s">
        <v>109</v>
      </c>
      <c r="B1419" s="800" t="s">
        <v>867</v>
      </c>
      <c r="C1419" s="800" t="s">
        <v>878</v>
      </c>
      <c r="D1419" s="800" t="s">
        <v>18037</v>
      </c>
      <c r="E1419" s="801">
        <v>43069</v>
      </c>
      <c r="F1419" s="800" t="s">
        <v>17987</v>
      </c>
      <c r="G1419" s="800" t="s">
        <v>18038</v>
      </c>
      <c r="H1419" s="800" t="s">
        <v>10404</v>
      </c>
      <c r="I1419" s="800" t="s">
        <v>10404</v>
      </c>
      <c r="J1419" s="800" t="s">
        <v>10447</v>
      </c>
      <c r="K1419" s="800">
        <v>1</v>
      </c>
      <c r="L1419" s="802" t="s">
        <v>10398</v>
      </c>
      <c r="M1419" s="802" t="s">
        <v>18039</v>
      </c>
      <c r="N1419" s="802" t="s">
        <v>14759</v>
      </c>
      <c r="O1419" s="802" t="s">
        <v>18040</v>
      </c>
      <c r="P1419" s="807" t="s">
        <v>18041</v>
      </c>
    </row>
    <row r="1420" spans="1:16" s="341" customFormat="1" ht="15" customHeight="1">
      <c r="A1420" s="806" t="s">
        <v>109</v>
      </c>
      <c r="B1420" s="800" t="s">
        <v>867</v>
      </c>
      <c r="C1420" s="800" t="s">
        <v>878</v>
      </c>
      <c r="D1420" s="800" t="s">
        <v>18042</v>
      </c>
      <c r="E1420" s="801">
        <v>43069</v>
      </c>
      <c r="F1420" s="800" t="s">
        <v>17987</v>
      </c>
      <c r="G1420" s="800" t="s">
        <v>18043</v>
      </c>
      <c r="H1420" s="800" t="s">
        <v>10396</v>
      </c>
      <c r="I1420" s="800" t="s">
        <v>10396</v>
      </c>
      <c r="J1420" s="800" t="s">
        <v>10447</v>
      </c>
      <c r="K1420" s="800">
        <v>1</v>
      </c>
      <c r="L1420" s="802" t="s">
        <v>10398</v>
      </c>
      <c r="M1420" s="802" t="s">
        <v>18044</v>
      </c>
      <c r="N1420" s="802" t="s">
        <v>14202</v>
      </c>
      <c r="O1420" s="802" t="s">
        <v>18045</v>
      </c>
      <c r="P1420" s="807" t="s">
        <v>18046</v>
      </c>
    </row>
    <row r="1421" spans="1:16" s="341" customFormat="1" ht="15" customHeight="1">
      <c r="A1421" s="806" t="s">
        <v>109</v>
      </c>
      <c r="B1421" s="800" t="s">
        <v>867</v>
      </c>
      <c r="C1421" s="800" t="s">
        <v>878</v>
      </c>
      <c r="D1421" s="800" t="s">
        <v>18047</v>
      </c>
      <c r="E1421" s="801">
        <v>43069</v>
      </c>
      <c r="F1421" s="800" t="s">
        <v>17987</v>
      </c>
      <c r="G1421" s="800" t="s">
        <v>18048</v>
      </c>
      <c r="H1421" s="800" t="s">
        <v>10396</v>
      </c>
      <c r="I1421" s="800" t="s">
        <v>10396</v>
      </c>
      <c r="J1421" s="800" t="s">
        <v>10447</v>
      </c>
      <c r="K1421" s="800">
        <v>2</v>
      </c>
      <c r="L1421" s="802" t="s">
        <v>11026</v>
      </c>
      <c r="M1421" s="802" t="s">
        <v>18049</v>
      </c>
      <c r="N1421" s="802" t="s">
        <v>18050</v>
      </c>
      <c r="O1421" s="802" t="s">
        <v>18051</v>
      </c>
      <c r="P1421" s="807" t="s">
        <v>18052</v>
      </c>
    </row>
    <row r="1422" spans="1:16" s="341" customFormat="1" ht="15" customHeight="1">
      <c r="A1422" s="806" t="s">
        <v>109</v>
      </c>
      <c r="B1422" s="800" t="s">
        <v>867</v>
      </c>
      <c r="C1422" s="800" t="s">
        <v>878</v>
      </c>
      <c r="D1422" s="800" t="s">
        <v>18047</v>
      </c>
      <c r="E1422" s="801">
        <v>43069</v>
      </c>
      <c r="F1422" s="800" t="s">
        <v>17987</v>
      </c>
      <c r="G1422" s="800" t="s">
        <v>18048</v>
      </c>
      <c r="H1422" s="800" t="s">
        <v>10396</v>
      </c>
      <c r="I1422" s="800" t="s">
        <v>10396</v>
      </c>
      <c r="J1422" s="800" t="s">
        <v>10447</v>
      </c>
      <c r="K1422" s="800">
        <v>2</v>
      </c>
      <c r="L1422" s="802" t="s">
        <v>11045</v>
      </c>
      <c r="M1422" s="802" t="s">
        <v>18053</v>
      </c>
      <c r="N1422" s="802" t="s">
        <v>18054</v>
      </c>
      <c r="O1422" s="802" t="s">
        <v>18055</v>
      </c>
      <c r="P1422" s="807" t="s">
        <v>18052</v>
      </c>
    </row>
    <row r="1423" spans="1:16" s="341" customFormat="1" ht="15" customHeight="1">
      <c r="A1423" s="806" t="s">
        <v>109</v>
      </c>
      <c r="B1423" s="800" t="s">
        <v>867</v>
      </c>
      <c r="C1423" s="800" t="s">
        <v>878</v>
      </c>
      <c r="D1423" s="800" t="s">
        <v>18056</v>
      </c>
      <c r="E1423" s="801">
        <v>43069</v>
      </c>
      <c r="F1423" s="800" t="s">
        <v>2053</v>
      </c>
      <c r="G1423" s="800" t="s">
        <v>18057</v>
      </c>
      <c r="H1423" s="800" t="s">
        <v>10396</v>
      </c>
      <c r="I1423" s="800" t="s">
        <v>10396</v>
      </c>
      <c r="J1423" s="800" t="s">
        <v>10426</v>
      </c>
      <c r="K1423" s="800">
        <v>1</v>
      </c>
      <c r="L1423" s="802" t="s">
        <v>10398</v>
      </c>
      <c r="M1423" s="802" t="s">
        <v>18058</v>
      </c>
      <c r="N1423" s="802" t="s">
        <v>18059</v>
      </c>
      <c r="O1423" s="802" t="s">
        <v>18060</v>
      </c>
      <c r="P1423" s="807" t="s">
        <v>18061</v>
      </c>
    </row>
    <row r="1424" spans="1:16" s="341" customFormat="1" ht="25.5" customHeight="1">
      <c r="A1424" s="806" t="s">
        <v>109</v>
      </c>
      <c r="B1424" s="800" t="s">
        <v>867</v>
      </c>
      <c r="C1424" s="800" t="s">
        <v>878</v>
      </c>
      <c r="D1424" s="800" t="s">
        <v>18062</v>
      </c>
      <c r="E1424" s="801">
        <v>43069</v>
      </c>
      <c r="F1424" s="800" t="s">
        <v>2053</v>
      </c>
      <c r="G1424" s="800" t="s">
        <v>18063</v>
      </c>
      <c r="H1424" s="800" t="s">
        <v>10396</v>
      </c>
      <c r="I1424" s="800" t="s">
        <v>10396</v>
      </c>
      <c r="J1424" s="800" t="s">
        <v>10405</v>
      </c>
      <c r="K1424" s="800">
        <v>1</v>
      </c>
      <c r="L1424" s="802" t="s">
        <v>10398</v>
      </c>
      <c r="M1424" s="802" t="s">
        <v>18064</v>
      </c>
      <c r="N1424" s="802" t="s">
        <v>12399</v>
      </c>
      <c r="O1424" s="802" t="s">
        <v>18065</v>
      </c>
      <c r="P1424" s="807" t="s">
        <v>18066</v>
      </c>
    </row>
    <row r="1425" spans="1:16" s="341" customFormat="1" ht="25.5" customHeight="1">
      <c r="A1425" s="806" t="s">
        <v>109</v>
      </c>
      <c r="B1425" s="800" t="s">
        <v>867</v>
      </c>
      <c r="C1425" s="800" t="s">
        <v>878</v>
      </c>
      <c r="D1425" s="800" t="s">
        <v>18067</v>
      </c>
      <c r="E1425" s="801">
        <v>43070</v>
      </c>
      <c r="F1425" s="800" t="s">
        <v>2053</v>
      </c>
      <c r="G1425" s="800" t="s">
        <v>18068</v>
      </c>
      <c r="H1425" s="800" t="s">
        <v>10404</v>
      </c>
      <c r="I1425" s="800" t="s">
        <v>10404</v>
      </c>
      <c r="J1425" s="800" t="s">
        <v>10405</v>
      </c>
      <c r="K1425" s="800">
        <v>1</v>
      </c>
      <c r="L1425" s="802" t="s">
        <v>10398</v>
      </c>
      <c r="M1425" s="802" t="s">
        <v>18069</v>
      </c>
      <c r="N1425" s="802" t="s">
        <v>16905</v>
      </c>
      <c r="O1425" s="802" t="s">
        <v>18070</v>
      </c>
      <c r="P1425" s="807" t="s">
        <v>18071</v>
      </c>
    </row>
    <row r="1426" spans="1:16" s="341" customFormat="1" ht="15" customHeight="1">
      <c r="A1426" s="806" t="s">
        <v>109</v>
      </c>
      <c r="B1426" s="800" t="s">
        <v>867</v>
      </c>
      <c r="C1426" s="800" t="s">
        <v>878</v>
      </c>
      <c r="D1426" s="800" t="s">
        <v>18072</v>
      </c>
      <c r="E1426" s="801">
        <v>43070</v>
      </c>
      <c r="F1426" s="800" t="s">
        <v>2053</v>
      </c>
      <c r="G1426" s="800" t="s">
        <v>18073</v>
      </c>
      <c r="H1426" s="800" t="s">
        <v>10396</v>
      </c>
      <c r="I1426" s="800" t="s">
        <v>10396</v>
      </c>
      <c r="J1426" s="800" t="s">
        <v>10447</v>
      </c>
      <c r="K1426" s="800">
        <v>1</v>
      </c>
      <c r="L1426" s="802" t="s">
        <v>10398</v>
      </c>
      <c r="M1426" s="802" t="s">
        <v>18074</v>
      </c>
      <c r="N1426" s="802" t="s">
        <v>11964</v>
      </c>
      <c r="O1426" s="802" t="s">
        <v>18075</v>
      </c>
      <c r="P1426" s="807" t="s">
        <v>18076</v>
      </c>
    </row>
    <row r="1427" spans="1:16" s="341" customFormat="1" ht="15" customHeight="1">
      <c r="A1427" s="806" t="s">
        <v>109</v>
      </c>
      <c r="B1427" s="800" t="s">
        <v>867</v>
      </c>
      <c r="C1427" s="800" t="s">
        <v>878</v>
      </c>
      <c r="D1427" s="800" t="s">
        <v>18077</v>
      </c>
      <c r="E1427" s="801">
        <v>43070</v>
      </c>
      <c r="F1427" s="800" t="s">
        <v>2053</v>
      </c>
      <c r="G1427" s="800" t="s">
        <v>18078</v>
      </c>
      <c r="H1427" s="800" t="s">
        <v>10396</v>
      </c>
      <c r="I1427" s="800" t="s">
        <v>10396</v>
      </c>
      <c r="J1427" s="800" t="s">
        <v>10447</v>
      </c>
      <c r="K1427" s="800">
        <v>1</v>
      </c>
      <c r="L1427" s="802" t="s">
        <v>11026</v>
      </c>
      <c r="M1427" s="802" t="s">
        <v>18079</v>
      </c>
      <c r="N1427" s="802" t="s">
        <v>18080</v>
      </c>
      <c r="O1427" s="802" t="s">
        <v>18081</v>
      </c>
      <c r="P1427" s="807" t="s">
        <v>18082</v>
      </c>
    </row>
    <row r="1428" spans="1:16" s="341" customFormat="1" ht="15" customHeight="1">
      <c r="A1428" s="806" t="s">
        <v>109</v>
      </c>
      <c r="B1428" s="800" t="s">
        <v>867</v>
      </c>
      <c r="C1428" s="800" t="s">
        <v>878</v>
      </c>
      <c r="D1428" s="800" t="s">
        <v>18083</v>
      </c>
      <c r="E1428" s="801">
        <v>43070</v>
      </c>
      <c r="F1428" s="800" t="s">
        <v>2053</v>
      </c>
      <c r="G1428" s="800" t="s">
        <v>18084</v>
      </c>
      <c r="H1428" s="800" t="s">
        <v>10396</v>
      </c>
      <c r="I1428" s="800" t="s">
        <v>10396</v>
      </c>
      <c r="J1428" s="800" t="s">
        <v>10447</v>
      </c>
      <c r="K1428" s="800">
        <v>1</v>
      </c>
      <c r="L1428" s="802" t="s">
        <v>11026</v>
      </c>
      <c r="M1428" s="802" t="s">
        <v>18085</v>
      </c>
      <c r="N1428" s="802" t="s">
        <v>18086</v>
      </c>
      <c r="O1428" s="802" t="s">
        <v>18087</v>
      </c>
      <c r="P1428" s="807" t="s">
        <v>18088</v>
      </c>
    </row>
    <row r="1429" spans="1:16" s="341" customFormat="1" ht="15" customHeight="1">
      <c r="A1429" s="806" t="s">
        <v>109</v>
      </c>
      <c r="B1429" s="800" t="s">
        <v>867</v>
      </c>
      <c r="C1429" s="800" t="s">
        <v>878</v>
      </c>
      <c r="D1429" s="800" t="s">
        <v>18089</v>
      </c>
      <c r="E1429" s="801">
        <v>43070</v>
      </c>
      <c r="F1429" s="800" t="s">
        <v>2053</v>
      </c>
      <c r="G1429" s="800" t="s">
        <v>18090</v>
      </c>
      <c r="H1429" s="800" t="s">
        <v>10396</v>
      </c>
      <c r="I1429" s="800" t="s">
        <v>10396</v>
      </c>
      <c r="J1429" s="800" t="s">
        <v>4342</v>
      </c>
      <c r="K1429" s="800">
        <v>1</v>
      </c>
      <c r="L1429" s="802" t="s">
        <v>10398</v>
      </c>
      <c r="M1429" s="802" t="s">
        <v>18091</v>
      </c>
      <c r="N1429" s="802" t="s">
        <v>18092</v>
      </c>
      <c r="O1429" s="802" t="s">
        <v>18093</v>
      </c>
      <c r="P1429" s="807" t="s">
        <v>18094</v>
      </c>
    </row>
    <row r="1430" spans="1:16" s="341" customFormat="1" ht="15" customHeight="1">
      <c r="A1430" s="806" t="s">
        <v>109</v>
      </c>
      <c r="B1430" s="800" t="s">
        <v>867</v>
      </c>
      <c r="C1430" s="800" t="s">
        <v>878</v>
      </c>
      <c r="D1430" s="800" t="s">
        <v>18095</v>
      </c>
      <c r="E1430" s="801">
        <v>43070</v>
      </c>
      <c r="F1430" s="800" t="s">
        <v>2053</v>
      </c>
      <c r="G1430" s="800" t="s">
        <v>18096</v>
      </c>
      <c r="H1430" s="800" t="s">
        <v>10396</v>
      </c>
      <c r="I1430" s="800" t="s">
        <v>10396</v>
      </c>
      <c r="J1430" s="800" t="s">
        <v>10405</v>
      </c>
      <c r="K1430" s="800">
        <v>1</v>
      </c>
      <c r="L1430" s="802" t="s">
        <v>11045</v>
      </c>
      <c r="M1430" s="802" t="s">
        <v>18097</v>
      </c>
      <c r="N1430" s="802" t="s">
        <v>16893</v>
      </c>
      <c r="O1430" s="802" t="s">
        <v>18098</v>
      </c>
      <c r="P1430" s="807" t="s">
        <v>18099</v>
      </c>
    </row>
    <row r="1431" spans="1:16" s="341" customFormat="1" ht="15" customHeight="1">
      <c r="A1431" s="806" t="s">
        <v>109</v>
      </c>
      <c r="B1431" s="800" t="s">
        <v>867</v>
      </c>
      <c r="C1431" s="800" t="s">
        <v>878</v>
      </c>
      <c r="D1431" s="800" t="s">
        <v>18100</v>
      </c>
      <c r="E1431" s="801">
        <v>43070</v>
      </c>
      <c r="F1431" s="800" t="s">
        <v>2053</v>
      </c>
      <c r="G1431" s="800" t="s">
        <v>18101</v>
      </c>
      <c r="H1431" s="800" t="s">
        <v>10396</v>
      </c>
      <c r="I1431" s="800" t="s">
        <v>10396</v>
      </c>
      <c r="J1431" s="800" t="s">
        <v>10405</v>
      </c>
      <c r="K1431" s="800">
        <v>1</v>
      </c>
      <c r="L1431" s="802" t="s">
        <v>11026</v>
      </c>
      <c r="M1431" s="802" t="s">
        <v>18102</v>
      </c>
      <c r="N1431" s="802" t="s">
        <v>18103</v>
      </c>
      <c r="O1431" s="802" t="s">
        <v>18104</v>
      </c>
      <c r="P1431" s="807" t="s">
        <v>18105</v>
      </c>
    </row>
    <row r="1432" spans="1:16" s="341" customFormat="1" ht="15" customHeight="1">
      <c r="A1432" s="806" t="s">
        <v>109</v>
      </c>
      <c r="B1432" s="800" t="s">
        <v>867</v>
      </c>
      <c r="C1432" s="800" t="s">
        <v>878</v>
      </c>
      <c r="D1432" s="800" t="s">
        <v>18106</v>
      </c>
      <c r="E1432" s="801">
        <v>43069</v>
      </c>
      <c r="F1432" s="800" t="s">
        <v>18107</v>
      </c>
      <c r="G1432" s="800" t="s">
        <v>18108</v>
      </c>
      <c r="H1432" s="800" t="s">
        <v>10396</v>
      </c>
      <c r="I1432" s="800" t="s">
        <v>10396</v>
      </c>
      <c r="J1432" s="800" t="s">
        <v>10447</v>
      </c>
      <c r="K1432" s="800">
        <v>1</v>
      </c>
      <c r="L1432" s="802" t="s">
        <v>11026</v>
      </c>
      <c r="M1432" s="802" t="s">
        <v>18109</v>
      </c>
      <c r="N1432" s="802" t="s">
        <v>18110</v>
      </c>
      <c r="O1432" s="802" t="s">
        <v>18111</v>
      </c>
      <c r="P1432" s="807" t="s">
        <v>18112</v>
      </c>
    </row>
    <row r="1433" spans="1:16" s="341" customFormat="1" ht="15" customHeight="1">
      <c r="A1433" s="806" t="s">
        <v>109</v>
      </c>
      <c r="B1433" s="800" t="s">
        <v>867</v>
      </c>
      <c r="C1433" s="800" t="s">
        <v>911</v>
      </c>
      <c r="D1433" s="800" t="s">
        <v>18113</v>
      </c>
      <c r="E1433" s="801">
        <v>43061</v>
      </c>
      <c r="F1433" s="800" t="s">
        <v>18114</v>
      </c>
      <c r="G1433" s="800" t="s">
        <v>18115</v>
      </c>
      <c r="H1433" s="800" t="s">
        <v>10404</v>
      </c>
      <c r="I1433" s="800" t="s">
        <v>10404</v>
      </c>
      <c r="J1433" s="800" t="s">
        <v>10405</v>
      </c>
      <c r="K1433" s="800">
        <v>1</v>
      </c>
      <c r="L1433" s="802" t="s">
        <v>10398</v>
      </c>
      <c r="M1433" s="802" t="s">
        <v>32</v>
      </c>
      <c r="N1433" s="802" t="s">
        <v>10565</v>
      </c>
      <c r="O1433" s="802" t="s">
        <v>17552</v>
      </c>
      <c r="P1433" s="807" t="s">
        <v>18116</v>
      </c>
    </row>
    <row r="1434" spans="1:16" s="341" customFormat="1" ht="15" customHeight="1">
      <c r="A1434" s="806" t="s">
        <v>109</v>
      </c>
      <c r="B1434" s="800" t="s">
        <v>867</v>
      </c>
      <c r="C1434" s="800" t="s">
        <v>911</v>
      </c>
      <c r="D1434" s="800" t="s">
        <v>18117</v>
      </c>
      <c r="E1434" s="801">
        <v>43061</v>
      </c>
      <c r="F1434" s="800" t="s">
        <v>18114</v>
      </c>
      <c r="G1434" s="800" t="s">
        <v>18118</v>
      </c>
      <c r="H1434" s="800" t="s">
        <v>10404</v>
      </c>
      <c r="I1434" s="800" t="s">
        <v>10404</v>
      </c>
      <c r="J1434" s="800" t="s">
        <v>10405</v>
      </c>
      <c r="K1434" s="800">
        <v>1</v>
      </c>
      <c r="L1434" s="802" t="s">
        <v>10398</v>
      </c>
      <c r="M1434" s="802" t="s">
        <v>18119</v>
      </c>
      <c r="N1434" s="802" t="s">
        <v>18120</v>
      </c>
      <c r="O1434" s="802" t="s">
        <v>18121</v>
      </c>
      <c r="P1434" s="807" t="s">
        <v>18122</v>
      </c>
    </row>
    <row r="1435" spans="1:16" s="341" customFormat="1" ht="15" customHeight="1">
      <c r="A1435" s="806" t="s">
        <v>109</v>
      </c>
      <c r="B1435" s="800" t="s">
        <v>867</v>
      </c>
      <c r="C1435" s="800" t="s">
        <v>911</v>
      </c>
      <c r="D1435" s="800" t="s">
        <v>18123</v>
      </c>
      <c r="E1435" s="801">
        <v>43061</v>
      </c>
      <c r="F1435" s="800" t="s">
        <v>18114</v>
      </c>
      <c r="G1435" s="800" t="s">
        <v>18124</v>
      </c>
      <c r="H1435" s="800" t="s">
        <v>10404</v>
      </c>
      <c r="I1435" s="800" t="s">
        <v>10404</v>
      </c>
      <c r="J1435" s="800" t="s">
        <v>10405</v>
      </c>
      <c r="K1435" s="800">
        <v>1</v>
      </c>
      <c r="L1435" s="802" t="s">
        <v>10398</v>
      </c>
      <c r="M1435" s="802" t="s">
        <v>18125</v>
      </c>
      <c r="N1435" s="802" t="s">
        <v>18126</v>
      </c>
      <c r="O1435" s="802" t="s">
        <v>18127</v>
      </c>
      <c r="P1435" s="807" t="s">
        <v>18128</v>
      </c>
    </row>
    <row r="1436" spans="1:16" s="341" customFormat="1" ht="15" customHeight="1">
      <c r="A1436" s="806" t="s">
        <v>109</v>
      </c>
      <c r="B1436" s="800" t="s">
        <v>867</v>
      </c>
      <c r="C1436" s="800" t="s">
        <v>911</v>
      </c>
      <c r="D1436" s="800" t="s">
        <v>18129</v>
      </c>
      <c r="E1436" s="801">
        <v>43061</v>
      </c>
      <c r="F1436" s="800" t="s">
        <v>18114</v>
      </c>
      <c r="G1436" s="800" t="s">
        <v>18130</v>
      </c>
      <c r="H1436" s="800" t="s">
        <v>10404</v>
      </c>
      <c r="I1436" s="800" t="s">
        <v>10404</v>
      </c>
      <c r="J1436" s="800" t="s">
        <v>10405</v>
      </c>
      <c r="K1436" s="800">
        <v>1</v>
      </c>
      <c r="L1436" s="802" t="s">
        <v>10398</v>
      </c>
      <c r="M1436" s="802" t="s">
        <v>18131</v>
      </c>
      <c r="N1436" s="802" t="s">
        <v>18132</v>
      </c>
      <c r="O1436" s="802" t="s">
        <v>18133</v>
      </c>
      <c r="P1436" s="807" t="s">
        <v>18134</v>
      </c>
    </row>
    <row r="1437" spans="1:16" s="341" customFormat="1" ht="25.5">
      <c r="A1437" s="806" t="s">
        <v>109</v>
      </c>
      <c r="B1437" s="800" t="s">
        <v>867</v>
      </c>
      <c r="C1437" s="800" t="s">
        <v>911</v>
      </c>
      <c r="D1437" s="800" t="s">
        <v>18135</v>
      </c>
      <c r="E1437" s="801">
        <v>43061</v>
      </c>
      <c r="F1437" s="800" t="s">
        <v>18136</v>
      </c>
      <c r="G1437" s="800" t="s">
        <v>18137</v>
      </c>
      <c r="H1437" s="800" t="s">
        <v>10531</v>
      </c>
      <c r="I1437" s="800" t="s">
        <v>10531</v>
      </c>
      <c r="J1437" s="800" t="s">
        <v>10397</v>
      </c>
      <c r="K1437" s="800">
        <v>1</v>
      </c>
      <c r="L1437" s="802" t="s">
        <v>10398</v>
      </c>
      <c r="M1437" s="802" t="s">
        <v>18138</v>
      </c>
      <c r="N1437" s="802" t="s">
        <v>18139</v>
      </c>
      <c r="O1437" s="802" t="s">
        <v>18140</v>
      </c>
      <c r="P1437" s="807" t="s">
        <v>18141</v>
      </c>
    </row>
    <row r="1438" spans="1:16" s="341" customFormat="1" ht="15" customHeight="1">
      <c r="A1438" s="806" t="s">
        <v>109</v>
      </c>
      <c r="B1438" s="800" t="s">
        <v>867</v>
      </c>
      <c r="C1438" s="800" t="s">
        <v>911</v>
      </c>
      <c r="D1438" s="800" t="s">
        <v>18142</v>
      </c>
      <c r="E1438" s="801">
        <v>43091</v>
      </c>
      <c r="F1438" s="800" t="s">
        <v>18136</v>
      </c>
      <c r="G1438" s="800" t="s">
        <v>18143</v>
      </c>
      <c r="H1438" s="800" t="s">
        <v>10404</v>
      </c>
      <c r="I1438" s="800" t="s">
        <v>10404</v>
      </c>
      <c r="J1438" s="800" t="s">
        <v>10405</v>
      </c>
      <c r="K1438" s="800">
        <v>1</v>
      </c>
      <c r="L1438" s="802" t="s">
        <v>10398</v>
      </c>
      <c r="M1438" s="802" t="s">
        <v>18144</v>
      </c>
      <c r="N1438" s="802" t="s">
        <v>13617</v>
      </c>
      <c r="O1438" s="802" t="s">
        <v>18145</v>
      </c>
      <c r="P1438" s="807" t="s">
        <v>18146</v>
      </c>
    </row>
    <row r="1439" spans="1:16" s="341" customFormat="1" ht="25.5" customHeight="1">
      <c r="A1439" s="806" t="s">
        <v>109</v>
      </c>
      <c r="B1439" s="800" t="s">
        <v>867</v>
      </c>
      <c r="C1439" s="800" t="s">
        <v>911</v>
      </c>
      <c r="D1439" s="800" t="s">
        <v>18147</v>
      </c>
      <c r="E1439" s="801">
        <v>43061</v>
      </c>
      <c r="F1439" s="800" t="s">
        <v>18136</v>
      </c>
      <c r="G1439" s="800" t="s">
        <v>18148</v>
      </c>
      <c r="H1439" s="800" t="s">
        <v>10404</v>
      </c>
      <c r="I1439" s="800" t="s">
        <v>10404</v>
      </c>
      <c r="J1439" s="800" t="s">
        <v>10405</v>
      </c>
      <c r="K1439" s="800">
        <v>1</v>
      </c>
      <c r="L1439" s="802" t="s">
        <v>10398</v>
      </c>
      <c r="M1439" s="802" t="s">
        <v>18149</v>
      </c>
      <c r="N1439" s="802" t="s">
        <v>18150</v>
      </c>
      <c r="O1439" s="802" t="s">
        <v>18151</v>
      </c>
      <c r="P1439" s="807" t="s">
        <v>18152</v>
      </c>
    </row>
    <row r="1440" spans="1:16" s="341" customFormat="1" ht="15" customHeight="1">
      <c r="A1440" s="806" t="s">
        <v>109</v>
      </c>
      <c r="B1440" s="800" t="s">
        <v>867</v>
      </c>
      <c r="C1440" s="800" t="s">
        <v>911</v>
      </c>
      <c r="D1440" s="800" t="s">
        <v>18153</v>
      </c>
      <c r="E1440" s="801">
        <v>43061</v>
      </c>
      <c r="F1440" s="800" t="s">
        <v>18136</v>
      </c>
      <c r="G1440" s="800" t="s">
        <v>18154</v>
      </c>
      <c r="H1440" s="800" t="s">
        <v>10404</v>
      </c>
      <c r="I1440" s="800" t="s">
        <v>10404</v>
      </c>
      <c r="J1440" s="800" t="s">
        <v>10405</v>
      </c>
      <c r="K1440" s="800">
        <v>1</v>
      </c>
      <c r="L1440" s="802" t="s">
        <v>10398</v>
      </c>
      <c r="M1440" s="802" t="s">
        <v>32</v>
      </c>
      <c r="N1440" s="802" t="s">
        <v>18155</v>
      </c>
      <c r="O1440" s="802" t="s">
        <v>32</v>
      </c>
      <c r="P1440" s="807" t="s">
        <v>18156</v>
      </c>
    </row>
    <row r="1441" spans="1:16" s="341" customFormat="1" ht="25.5" customHeight="1">
      <c r="A1441" s="806" t="s">
        <v>109</v>
      </c>
      <c r="B1441" s="800" t="s">
        <v>867</v>
      </c>
      <c r="C1441" s="800" t="s">
        <v>911</v>
      </c>
      <c r="D1441" s="800" t="s">
        <v>18157</v>
      </c>
      <c r="E1441" s="801">
        <v>43061</v>
      </c>
      <c r="F1441" s="800" t="s">
        <v>18114</v>
      </c>
      <c r="G1441" s="800" t="s">
        <v>18158</v>
      </c>
      <c r="H1441" s="800" t="s">
        <v>10404</v>
      </c>
      <c r="I1441" s="800" t="s">
        <v>10404</v>
      </c>
      <c r="J1441" s="800" t="s">
        <v>10405</v>
      </c>
      <c r="K1441" s="800">
        <v>1</v>
      </c>
      <c r="L1441" s="802" t="s">
        <v>10398</v>
      </c>
      <c r="M1441" s="802" t="s">
        <v>18159</v>
      </c>
      <c r="N1441" s="802" t="s">
        <v>11404</v>
      </c>
      <c r="O1441" s="802" t="s">
        <v>18160</v>
      </c>
      <c r="P1441" s="807" t="s">
        <v>18161</v>
      </c>
    </row>
    <row r="1442" spans="1:16" s="341" customFormat="1" ht="15" customHeight="1">
      <c r="A1442" s="806" t="s">
        <v>109</v>
      </c>
      <c r="B1442" s="800" t="s">
        <v>867</v>
      </c>
      <c r="C1442" s="800" t="s">
        <v>3666</v>
      </c>
      <c r="D1442" s="800" t="s">
        <v>18162</v>
      </c>
      <c r="E1442" s="801">
        <v>43061</v>
      </c>
      <c r="F1442" s="800" t="s">
        <v>18163</v>
      </c>
      <c r="G1442" s="800" t="s">
        <v>18164</v>
      </c>
      <c r="H1442" s="800" t="s">
        <v>10396</v>
      </c>
      <c r="I1442" s="800" t="s">
        <v>10396</v>
      </c>
      <c r="J1442" s="800" t="s">
        <v>10397</v>
      </c>
      <c r="K1442" s="800">
        <v>1</v>
      </c>
      <c r="L1442" s="802" t="s">
        <v>10398</v>
      </c>
      <c r="M1442" s="802" t="s">
        <v>18165</v>
      </c>
      <c r="N1442" s="802" t="s">
        <v>18166</v>
      </c>
      <c r="O1442" s="802" t="s">
        <v>18167</v>
      </c>
      <c r="P1442" s="807" t="s">
        <v>32</v>
      </c>
    </row>
    <row r="1443" spans="1:16" s="341" customFormat="1" ht="15" customHeight="1">
      <c r="A1443" s="806" t="s">
        <v>109</v>
      </c>
      <c r="B1443" s="800" t="s">
        <v>867</v>
      </c>
      <c r="C1443" s="800" t="s">
        <v>3666</v>
      </c>
      <c r="D1443" s="800" t="s">
        <v>18168</v>
      </c>
      <c r="E1443" s="801">
        <v>43061</v>
      </c>
      <c r="F1443" s="800" t="s">
        <v>18163</v>
      </c>
      <c r="G1443" s="800" t="s">
        <v>18169</v>
      </c>
      <c r="H1443" s="800" t="s">
        <v>10396</v>
      </c>
      <c r="I1443" s="800" t="s">
        <v>10396</v>
      </c>
      <c r="J1443" s="800" t="s">
        <v>10397</v>
      </c>
      <c r="K1443" s="800">
        <v>1</v>
      </c>
      <c r="L1443" s="802" t="s">
        <v>10398</v>
      </c>
      <c r="M1443" s="802" t="s">
        <v>18170</v>
      </c>
      <c r="N1443" s="802" t="s">
        <v>18171</v>
      </c>
      <c r="O1443" s="802" t="s">
        <v>18172</v>
      </c>
      <c r="P1443" s="807" t="s">
        <v>18173</v>
      </c>
    </row>
    <row r="1444" spans="1:16" s="341" customFormat="1" ht="15" customHeight="1">
      <c r="A1444" s="806" t="s">
        <v>109</v>
      </c>
      <c r="B1444" s="800" t="s">
        <v>867</v>
      </c>
      <c r="C1444" s="800" t="s">
        <v>3666</v>
      </c>
      <c r="D1444" s="800" t="s">
        <v>18174</v>
      </c>
      <c r="E1444" s="801">
        <v>43061</v>
      </c>
      <c r="F1444" s="800" t="s">
        <v>32</v>
      </c>
      <c r="G1444" s="800" t="s">
        <v>18175</v>
      </c>
      <c r="H1444" s="800" t="s">
        <v>10396</v>
      </c>
      <c r="I1444" s="800" t="s">
        <v>10396</v>
      </c>
      <c r="J1444" s="800" t="s">
        <v>10397</v>
      </c>
      <c r="K1444" s="800">
        <v>1</v>
      </c>
      <c r="L1444" s="802" t="s">
        <v>10398</v>
      </c>
      <c r="M1444" s="802" t="s">
        <v>18176</v>
      </c>
      <c r="N1444" s="802" t="s">
        <v>18177</v>
      </c>
      <c r="O1444" s="802" t="s">
        <v>18178</v>
      </c>
      <c r="P1444" s="807" t="s">
        <v>18179</v>
      </c>
    </row>
    <row r="1445" spans="1:16" s="341" customFormat="1" ht="15" customHeight="1">
      <c r="A1445" s="806" t="s">
        <v>109</v>
      </c>
      <c r="B1445" s="800" t="s">
        <v>867</v>
      </c>
      <c r="C1445" s="800" t="s">
        <v>3666</v>
      </c>
      <c r="D1445" s="800" t="s">
        <v>18180</v>
      </c>
      <c r="E1445" s="801">
        <v>43061</v>
      </c>
      <c r="F1445" s="800" t="s">
        <v>18181</v>
      </c>
      <c r="G1445" s="800" t="s">
        <v>18182</v>
      </c>
      <c r="H1445" s="800" t="s">
        <v>10396</v>
      </c>
      <c r="I1445" s="800" t="s">
        <v>10396</v>
      </c>
      <c r="J1445" s="800" t="s">
        <v>10426</v>
      </c>
      <c r="K1445" s="800">
        <v>1</v>
      </c>
      <c r="L1445" s="802" t="s">
        <v>10398</v>
      </c>
      <c r="M1445" s="802" t="s">
        <v>18183</v>
      </c>
      <c r="N1445" s="802" t="s">
        <v>18184</v>
      </c>
      <c r="O1445" s="802" t="s">
        <v>18185</v>
      </c>
      <c r="P1445" s="807" t="s">
        <v>18186</v>
      </c>
    </row>
    <row r="1446" spans="1:16" s="341" customFormat="1" ht="15" customHeight="1">
      <c r="A1446" s="806" t="s">
        <v>109</v>
      </c>
      <c r="B1446" s="800" t="s">
        <v>867</v>
      </c>
      <c r="C1446" s="800" t="s">
        <v>3666</v>
      </c>
      <c r="D1446" s="800" t="s">
        <v>18187</v>
      </c>
      <c r="E1446" s="801">
        <v>43061</v>
      </c>
      <c r="F1446" s="800" t="s">
        <v>32</v>
      </c>
      <c r="G1446" s="800" t="s">
        <v>18188</v>
      </c>
      <c r="H1446" s="800" t="s">
        <v>10396</v>
      </c>
      <c r="I1446" s="800" t="s">
        <v>10396</v>
      </c>
      <c r="J1446" s="800" t="s">
        <v>10397</v>
      </c>
      <c r="K1446" s="800">
        <v>1</v>
      </c>
      <c r="L1446" s="802" t="s">
        <v>10398</v>
      </c>
      <c r="M1446" s="802" t="s">
        <v>18189</v>
      </c>
      <c r="N1446" s="802" t="s">
        <v>18190</v>
      </c>
      <c r="O1446" s="802" t="s">
        <v>18191</v>
      </c>
      <c r="P1446" s="807" t="s">
        <v>18192</v>
      </c>
    </row>
    <row r="1447" spans="1:16" s="341" customFormat="1" ht="15" customHeight="1">
      <c r="A1447" s="806" t="s">
        <v>109</v>
      </c>
      <c r="B1447" s="800" t="s">
        <v>867</v>
      </c>
      <c r="C1447" s="800" t="s">
        <v>3666</v>
      </c>
      <c r="D1447" s="800" t="s">
        <v>18193</v>
      </c>
      <c r="E1447" s="801">
        <v>43061</v>
      </c>
      <c r="F1447" s="800" t="s">
        <v>18194</v>
      </c>
      <c r="G1447" s="800" t="s">
        <v>18195</v>
      </c>
      <c r="H1447" s="800" t="s">
        <v>10404</v>
      </c>
      <c r="I1447" s="800" t="s">
        <v>10404</v>
      </c>
      <c r="J1447" s="800" t="s">
        <v>10405</v>
      </c>
      <c r="K1447" s="800">
        <v>1</v>
      </c>
      <c r="L1447" s="802" t="s">
        <v>11026</v>
      </c>
      <c r="M1447" s="802" t="s">
        <v>18196</v>
      </c>
      <c r="N1447" s="802" t="s">
        <v>18197</v>
      </c>
      <c r="O1447" s="802" t="s">
        <v>18198</v>
      </c>
      <c r="P1447" s="807" t="s">
        <v>18199</v>
      </c>
    </row>
    <row r="1448" spans="1:16" s="341" customFormat="1" ht="15" customHeight="1">
      <c r="A1448" s="806" t="s">
        <v>109</v>
      </c>
      <c r="B1448" s="800" t="s">
        <v>867</v>
      </c>
      <c r="C1448" s="800" t="s">
        <v>3666</v>
      </c>
      <c r="D1448" s="800" t="s">
        <v>18200</v>
      </c>
      <c r="E1448" s="801">
        <v>43061</v>
      </c>
      <c r="F1448" s="800" t="s">
        <v>18181</v>
      </c>
      <c r="G1448" s="800" t="s">
        <v>18201</v>
      </c>
      <c r="H1448" s="800" t="s">
        <v>10433</v>
      </c>
      <c r="I1448" s="800" t="s">
        <v>10433</v>
      </c>
      <c r="J1448" s="800" t="s">
        <v>10405</v>
      </c>
      <c r="K1448" s="800">
        <v>1</v>
      </c>
      <c r="L1448" s="802" t="s">
        <v>10398</v>
      </c>
      <c r="M1448" s="802" t="s">
        <v>18202</v>
      </c>
      <c r="N1448" s="802" t="s">
        <v>18203</v>
      </c>
      <c r="O1448" s="802" t="s">
        <v>18204</v>
      </c>
      <c r="P1448" s="807" t="s">
        <v>18205</v>
      </c>
    </row>
    <row r="1449" spans="1:16" s="341" customFormat="1" ht="15" customHeight="1">
      <c r="A1449" s="806" t="s">
        <v>109</v>
      </c>
      <c r="B1449" s="800" t="s">
        <v>867</v>
      </c>
      <c r="C1449" s="800" t="s">
        <v>3666</v>
      </c>
      <c r="D1449" s="800" t="s">
        <v>18206</v>
      </c>
      <c r="E1449" s="801">
        <v>43061</v>
      </c>
      <c r="F1449" s="800" t="s">
        <v>18181</v>
      </c>
      <c r="G1449" s="800" t="s">
        <v>18201</v>
      </c>
      <c r="H1449" s="800" t="s">
        <v>10404</v>
      </c>
      <c r="I1449" s="800" t="s">
        <v>10404</v>
      </c>
      <c r="J1449" s="800" t="s">
        <v>10405</v>
      </c>
      <c r="K1449" s="800">
        <v>1</v>
      </c>
      <c r="L1449" s="802" t="s">
        <v>10398</v>
      </c>
      <c r="M1449" s="802" t="s">
        <v>18207</v>
      </c>
      <c r="N1449" s="802" t="s">
        <v>18208</v>
      </c>
      <c r="O1449" s="802" t="s">
        <v>18209</v>
      </c>
      <c r="P1449" s="807" t="s">
        <v>18210</v>
      </c>
    </row>
    <row r="1450" spans="1:16" s="341" customFormat="1" ht="15" customHeight="1">
      <c r="A1450" s="806" t="s">
        <v>109</v>
      </c>
      <c r="B1450" s="800" t="s">
        <v>867</v>
      </c>
      <c r="C1450" s="800" t="s">
        <v>3666</v>
      </c>
      <c r="D1450" s="800" t="s">
        <v>18211</v>
      </c>
      <c r="E1450" s="801">
        <v>43061</v>
      </c>
      <c r="F1450" s="800" t="s">
        <v>18212</v>
      </c>
      <c r="G1450" s="800" t="s">
        <v>18213</v>
      </c>
      <c r="H1450" s="800" t="s">
        <v>10396</v>
      </c>
      <c r="I1450" s="800" t="s">
        <v>10396</v>
      </c>
      <c r="J1450" s="800" t="s">
        <v>10397</v>
      </c>
      <c r="K1450" s="800">
        <v>1</v>
      </c>
      <c r="L1450" s="802" t="s">
        <v>10398</v>
      </c>
      <c r="M1450" s="802" t="s">
        <v>18214</v>
      </c>
      <c r="N1450" s="802" t="s">
        <v>18215</v>
      </c>
      <c r="O1450" s="802" t="s">
        <v>18216</v>
      </c>
      <c r="P1450" s="807" t="s">
        <v>18217</v>
      </c>
    </row>
    <row r="1451" spans="1:16" s="341" customFormat="1" ht="15" customHeight="1">
      <c r="A1451" s="806" t="s">
        <v>109</v>
      </c>
      <c r="B1451" s="800" t="s">
        <v>867</v>
      </c>
      <c r="C1451" s="800" t="s">
        <v>3666</v>
      </c>
      <c r="D1451" s="800" t="s">
        <v>18218</v>
      </c>
      <c r="E1451" s="801">
        <v>43061</v>
      </c>
      <c r="F1451" s="800" t="s">
        <v>18181</v>
      </c>
      <c r="G1451" s="800" t="s">
        <v>18219</v>
      </c>
      <c r="H1451" s="800" t="s">
        <v>10531</v>
      </c>
      <c r="I1451" s="800" t="s">
        <v>10531</v>
      </c>
      <c r="J1451" s="800" t="s">
        <v>10397</v>
      </c>
      <c r="K1451" s="800">
        <v>1</v>
      </c>
      <c r="L1451" s="802" t="s">
        <v>10398</v>
      </c>
      <c r="M1451" s="802" t="s">
        <v>18220</v>
      </c>
      <c r="N1451" s="802" t="s">
        <v>18221</v>
      </c>
      <c r="O1451" s="802" t="s">
        <v>18222</v>
      </c>
      <c r="P1451" s="807" t="s">
        <v>32</v>
      </c>
    </row>
    <row r="1452" spans="1:16" s="341" customFormat="1" ht="15" customHeight="1">
      <c r="A1452" s="806" t="s">
        <v>109</v>
      </c>
      <c r="B1452" s="800" t="s">
        <v>867</v>
      </c>
      <c r="C1452" s="800" t="s">
        <v>3666</v>
      </c>
      <c r="D1452" s="800" t="s">
        <v>18223</v>
      </c>
      <c r="E1452" s="801">
        <v>43061</v>
      </c>
      <c r="F1452" s="800" t="s">
        <v>18181</v>
      </c>
      <c r="G1452" s="800" t="s">
        <v>18224</v>
      </c>
      <c r="H1452" s="800" t="s">
        <v>10396</v>
      </c>
      <c r="I1452" s="800" t="s">
        <v>10396</v>
      </c>
      <c r="J1452" s="800" t="s">
        <v>10397</v>
      </c>
      <c r="K1452" s="800">
        <v>1</v>
      </c>
      <c r="L1452" s="802" t="s">
        <v>10398</v>
      </c>
      <c r="M1452" s="802" t="s">
        <v>18225</v>
      </c>
      <c r="N1452" s="802" t="s">
        <v>18226</v>
      </c>
      <c r="O1452" s="802" t="s">
        <v>18227</v>
      </c>
      <c r="P1452" s="807" t="s">
        <v>18228</v>
      </c>
    </row>
    <row r="1453" spans="1:16" s="341" customFormat="1" ht="15" customHeight="1">
      <c r="A1453" s="806" t="s">
        <v>109</v>
      </c>
      <c r="B1453" s="800" t="s">
        <v>867</v>
      </c>
      <c r="C1453" s="800" t="s">
        <v>3666</v>
      </c>
      <c r="D1453" s="800" t="s">
        <v>18229</v>
      </c>
      <c r="E1453" s="801">
        <v>43061</v>
      </c>
      <c r="F1453" s="800" t="s">
        <v>18230</v>
      </c>
      <c r="G1453" s="800" t="s">
        <v>18231</v>
      </c>
      <c r="H1453" s="800" t="s">
        <v>10396</v>
      </c>
      <c r="I1453" s="800" t="s">
        <v>10396</v>
      </c>
      <c r="J1453" s="800" t="s">
        <v>10397</v>
      </c>
      <c r="K1453" s="800">
        <v>1</v>
      </c>
      <c r="L1453" s="802" t="s">
        <v>10398</v>
      </c>
      <c r="M1453" s="802" t="s">
        <v>18232</v>
      </c>
      <c r="N1453" s="802" t="s">
        <v>18233</v>
      </c>
      <c r="O1453" s="802" t="s">
        <v>18234</v>
      </c>
      <c r="P1453" s="807" t="s">
        <v>18235</v>
      </c>
    </row>
    <row r="1454" spans="1:16" s="341" customFormat="1" ht="15" customHeight="1">
      <c r="A1454" s="806" t="s">
        <v>109</v>
      </c>
      <c r="B1454" s="800" t="s">
        <v>867</v>
      </c>
      <c r="C1454" s="800" t="s">
        <v>3666</v>
      </c>
      <c r="D1454" s="800" t="s">
        <v>18236</v>
      </c>
      <c r="E1454" s="801">
        <v>43061</v>
      </c>
      <c r="F1454" s="800" t="s">
        <v>18230</v>
      </c>
      <c r="G1454" s="800" t="s">
        <v>18237</v>
      </c>
      <c r="H1454" s="800" t="s">
        <v>10396</v>
      </c>
      <c r="I1454" s="800" t="s">
        <v>10396</v>
      </c>
      <c r="J1454" s="800" t="s">
        <v>10405</v>
      </c>
      <c r="K1454" s="800">
        <v>1</v>
      </c>
      <c r="L1454" s="802" t="s">
        <v>10398</v>
      </c>
      <c r="M1454" s="802" t="s">
        <v>18238</v>
      </c>
      <c r="N1454" s="802" t="s">
        <v>18239</v>
      </c>
      <c r="O1454" s="802" t="s">
        <v>18240</v>
      </c>
      <c r="P1454" s="807" t="s">
        <v>18241</v>
      </c>
    </row>
    <row r="1455" spans="1:16" s="341" customFormat="1" ht="15" customHeight="1">
      <c r="A1455" s="806" t="s">
        <v>109</v>
      </c>
      <c r="B1455" s="800" t="s">
        <v>867</v>
      </c>
      <c r="C1455" s="800" t="s">
        <v>3666</v>
      </c>
      <c r="D1455" s="800" t="s">
        <v>18242</v>
      </c>
      <c r="E1455" s="801">
        <v>43061</v>
      </c>
      <c r="F1455" s="800" t="s">
        <v>18230</v>
      </c>
      <c r="G1455" s="800" t="s">
        <v>18243</v>
      </c>
      <c r="H1455" s="800" t="s">
        <v>10396</v>
      </c>
      <c r="I1455" s="800" t="s">
        <v>10396</v>
      </c>
      <c r="J1455" s="800" t="s">
        <v>10397</v>
      </c>
      <c r="K1455" s="800">
        <v>1</v>
      </c>
      <c r="L1455" s="802" t="s">
        <v>10398</v>
      </c>
      <c r="M1455" s="802" t="s">
        <v>18244</v>
      </c>
      <c r="N1455" s="802" t="s">
        <v>18245</v>
      </c>
      <c r="O1455" s="802" t="s">
        <v>18246</v>
      </c>
      <c r="P1455" s="807" t="s">
        <v>32</v>
      </c>
    </row>
    <row r="1456" spans="1:16" s="341" customFormat="1" ht="25.5" customHeight="1">
      <c r="A1456" s="806" t="s">
        <v>109</v>
      </c>
      <c r="B1456" s="800" t="s">
        <v>1262</v>
      </c>
      <c r="C1456" s="800" t="s">
        <v>1262</v>
      </c>
      <c r="D1456" s="800" t="s">
        <v>18247</v>
      </c>
      <c r="E1456" s="801">
        <v>43063</v>
      </c>
      <c r="F1456" s="800" t="s">
        <v>10779</v>
      </c>
      <c r="G1456" s="800" t="s">
        <v>18248</v>
      </c>
      <c r="H1456" s="800" t="s">
        <v>10404</v>
      </c>
      <c r="I1456" s="800" t="s">
        <v>10404</v>
      </c>
      <c r="J1456" s="800" t="s">
        <v>10405</v>
      </c>
      <c r="K1456" s="800">
        <v>1</v>
      </c>
      <c r="L1456" s="802" t="s">
        <v>11026</v>
      </c>
      <c r="M1456" s="802" t="s">
        <v>18249</v>
      </c>
      <c r="N1456" s="802" t="s">
        <v>18250</v>
      </c>
      <c r="O1456" s="802" t="s">
        <v>18251</v>
      </c>
      <c r="P1456" s="807" t="s">
        <v>18252</v>
      </c>
    </row>
    <row r="1457" spans="1:16" s="341" customFormat="1" ht="15" customHeight="1">
      <c r="A1457" s="806" t="s">
        <v>109</v>
      </c>
      <c r="B1457" s="800" t="s">
        <v>1262</v>
      </c>
      <c r="C1457" s="800" t="s">
        <v>1262</v>
      </c>
      <c r="D1457" s="800" t="s">
        <v>18253</v>
      </c>
      <c r="E1457" s="801">
        <v>43063</v>
      </c>
      <c r="F1457" s="800" t="s">
        <v>17799</v>
      </c>
      <c r="G1457" s="800" t="s">
        <v>18254</v>
      </c>
      <c r="H1457" s="800" t="s">
        <v>10396</v>
      </c>
      <c r="I1457" s="800" t="s">
        <v>10396</v>
      </c>
      <c r="J1457" s="800" t="s">
        <v>10405</v>
      </c>
      <c r="K1457" s="800">
        <v>1</v>
      </c>
      <c r="L1457" s="802" t="s">
        <v>10398</v>
      </c>
      <c r="M1457" s="802" t="s">
        <v>18255</v>
      </c>
      <c r="N1457" s="802" t="s">
        <v>18256</v>
      </c>
      <c r="O1457" s="802" t="s">
        <v>18257</v>
      </c>
      <c r="P1457" s="807" t="s">
        <v>18258</v>
      </c>
    </row>
    <row r="1458" spans="1:16" s="341" customFormat="1" ht="15" customHeight="1">
      <c r="A1458" s="806" t="s">
        <v>109</v>
      </c>
      <c r="B1458" s="800" t="s">
        <v>1262</v>
      </c>
      <c r="C1458" s="800" t="s">
        <v>1262</v>
      </c>
      <c r="D1458" s="800" t="s">
        <v>18259</v>
      </c>
      <c r="E1458" s="801">
        <v>43063</v>
      </c>
      <c r="F1458" s="800" t="s">
        <v>18260</v>
      </c>
      <c r="G1458" s="800" t="s">
        <v>18261</v>
      </c>
      <c r="H1458" s="800" t="s">
        <v>10404</v>
      </c>
      <c r="I1458" s="800" t="s">
        <v>10404</v>
      </c>
      <c r="J1458" s="800" t="s">
        <v>10405</v>
      </c>
      <c r="K1458" s="800">
        <v>1</v>
      </c>
      <c r="L1458" s="802" t="s">
        <v>10398</v>
      </c>
      <c r="M1458" s="802" t="s">
        <v>18262</v>
      </c>
      <c r="N1458" s="802" t="s">
        <v>18263</v>
      </c>
      <c r="O1458" s="802" t="s">
        <v>18264</v>
      </c>
      <c r="P1458" s="807" t="s">
        <v>32</v>
      </c>
    </row>
    <row r="1459" spans="1:16" s="341" customFormat="1" ht="15" customHeight="1">
      <c r="A1459" s="806" t="s">
        <v>109</v>
      </c>
      <c r="B1459" s="800" t="s">
        <v>1262</v>
      </c>
      <c r="C1459" s="800" t="s">
        <v>1262</v>
      </c>
      <c r="D1459" s="800" t="s">
        <v>18265</v>
      </c>
      <c r="E1459" s="801">
        <v>43062</v>
      </c>
      <c r="F1459" s="800" t="s">
        <v>18260</v>
      </c>
      <c r="G1459" s="800" t="s">
        <v>18266</v>
      </c>
      <c r="H1459" s="800" t="s">
        <v>10396</v>
      </c>
      <c r="I1459" s="800" t="s">
        <v>10396</v>
      </c>
      <c r="J1459" s="800" t="s">
        <v>10397</v>
      </c>
      <c r="K1459" s="800">
        <v>1</v>
      </c>
      <c r="L1459" s="802" t="s">
        <v>10398</v>
      </c>
      <c r="M1459" s="802" t="s">
        <v>18267</v>
      </c>
      <c r="N1459" s="802" t="s">
        <v>18268</v>
      </c>
      <c r="O1459" s="802" t="s">
        <v>18269</v>
      </c>
      <c r="P1459" s="807" t="s">
        <v>18270</v>
      </c>
    </row>
    <row r="1460" spans="1:16" s="341" customFormat="1" ht="15" customHeight="1">
      <c r="A1460" s="806" t="s">
        <v>109</v>
      </c>
      <c r="B1460" s="800" t="s">
        <v>1262</v>
      </c>
      <c r="C1460" s="800" t="s">
        <v>1262</v>
      </c>
      <c r="D1460" s="800" t="s">
        <v>18271</v>
      </c>
      <c r="E1460" s="801">
        <v>43061</v>
      </c>
      <c r="F1460" s="800" t="s">
        <v>10779</v>
      </c>
      <c r="G1460" s="800" t="s">
        <v>18272</v>
      </c>
      <c r="H1460" s="800" t="s">
        <v>10404</v>
      </c>
      <c r="I1460" s="800" t="s">
        <v>10404</v>
      </c>
      <c r="J1460" s="800" t="s">
        <v>10405</v>
      </c>
      <c r="K1460" s="800">
        <v>1</v>
      </c>
      <c r="L1460" s="802" t="s">
        <v>10398</v>
      </c>
      <c r="M1460" s="802" t="s">
        <v>18273</v>
      </c>
      <c r="N1460" s="802" t="s">
        <v>18274</v>
      </c>
      <c r="O1460" s="802" t="s">
        <v>18275</v>
      </c>
      <c r="P1460" s="807" t="s">
        <v>18276</v>
      </c>
    </row>
    <row r="1461" spans="1:16" s="341" customFormat="1" ht="15" customHeight="1">
      <c r="A1461" s="806" t="s">
        <v>109</v>
      </c>
      <c r="B1461" s="800" t="s">
        <v>1262</v>
      </c>
      <c r="C1461" s="800" t="s">
        <v>1262</v>
      </c>
      <c r="D1461" s="800" t="s">
        <v>18277</v>
      </c>
      <c r="E1461" s="801">
        <v>43061</v>
      </c>
      <c r="F1461" s="800" t="s">
        <v>10779</v>
      </c>
      <c r="G1461" s="800" t="s">
        <v>18278</v>
      </c>
      <c r="H1461" s="800" t="s">
        <v>10396</v>
      </c>
      <c r="I1461" s="800" t="s">
        <v>10396</v>
      </c>
      <c r="J1461" s="800" t="s">
        <v>10397</v>
      </c>
      <c r="K1461" s="800">
        <v>1</v>
      </c>
      <c r="L1461" s="802" t="s">
        <v>10398</v>
      </c>
      <c r="M1461" s="802" t="s">
        <v>18279</v>
      </c>
      <c r="N1461" s="802" t="s">
        <v>18280</v>
      </c>
      <c r="O1461" s="802" t="s">
        <v>18281</v>
      </c>
      <c r="P1461" s="807" t="s">
        <v>32</v>
      </c>
    </row>
    <row r="1462" spans="1:16" s="341" customFormat="1" ht="15" customHeight="1">
      <c r="A1462" s="806" t="s">
        <v>109</v>
      </c>
      <c r="B1462" s="800" t="s">
        <v>1262</v>
      </c>
      <c r="C1462" s="800" t="s">
        <v>1262</v>
      </c>
      <c r="D1462" s="800" t="s">
        <v>18282</v>
      </c>
      <c r="E1462" s="801">
        <v>43062</v>
      </c>
      <c r="F1462" s="800" t="s">
        <v>10779</v>
      </c>
      <c r="G1462" s="800" t="s">
        <v>18283</v>
      </c>
      <c r="H1462" s="800" t="s">
        <v>10396</v>
      </c>
      <c r="I1462" s="800" t="s">
        <v>10396</v>
      </c>
      <c r="J1462" s="800" t="s">
        <v>10397</v>
      </c>
      <c r="K1462" s="800">
        <v>1</v>
      </c>
      <c r="L1462" s="802" t="s">
        <v>10398</v>
      </c>
      <c r="M1462" s="802" t="s">
        <v>18284</v>
      </c>
      <c r="N1462" s="802" t="s">
        <v>18285</v>
      </c>
      <c r="O1462" s="802" t="s">
        <v>18286</v>
      </c>
      <c r="P1462" s="807" t="s">
        <v>18287</v>
      </c>
    </row>
    <row r="1463" spans="1:16" s="341" customFormat="1" ht="15" customHeight="1">
      <c r="A1463" s="806" t="s">
        <v>109</v>
      </c>
      <c r="B1463" s="800" t="s">
        <v>1262</v>
      </c>
      <c r="C1463" s="800" t="s">
        <v>1262</v>
      </c>
      <c r="D1463" s="800" t="s">
        <v>18288</v>
      </c>
      <c r="E1463" s="801">
        <v>43061</v>
      </c>
      <c r="F1463" s="800" t="s">
        <v>18230</v>
      </c>
      <c r="G1463" s="800" t="s">
        <v>18289</v>
      </c>
      <c r="H1463" s="800" t="s">
        <v>10404</v>
      </c>
      <c r="I1463" s="800" t="s">
        <v>10404</v>
      </c>
      <c r="J1463" s="800" t="s">
        <v>10405</v>
      </c>
      <c r="K1463" s="800">
        <v>1</v>
      </c>
      <c r="L1463" s="802" t="s">
        <v>10398</v>
      </c>
      <c r="M1463" s="802" t="s">
        <v>18290</v>
      </c>
      <c r="N1463" s="802" t="s">
        <v>18291</v>
      </c>
      <c r="O1463" s="802" t="s">
        <v>18292</v>
      </c>
      <c r="P1463" s="807" t="s">
        <v>18293</v>
      </c>
    </row>
    <row r="1464" spans="1:16" s="341" customFormat="1" ht="15" customHeight="1">
      <c r="A1464" s="806" t="s">
        <v>109</v>
      </c>
      <c r="B1464" s="800" t="s">
        <v>1262</v>
      </c>
      <c r="C1464" s="800" t="s">
        <v>1262</v>
      </c>
      <c r="D1464" s="800" t="s">
        <v>18294</v>
      </c>
      <c r="E1464" s="801">
        <v>43061</v>
      </c>
      <c r="F1464" s="800" t="s">
        <v>18295</v>
      </c>
      <c r="G1464" s="800" t="s">
        <v>18296</v>
      </c>
      <c r="H1464" s="800" t="s">
        <v>10404</v>
      </c>
      <c r="I1464" s="800" t="s">
        <v>10404</v>
      </c>
      <c r="J1464" s="800" t="s">
        <v>10405</v>
      </c>
      <c r="K1464" s="800">
        <v>1</v>
      </c>
      <c r="L1464" s="802" t="s">
        <v>10398</v>
      </c>
      <c r="M1464" s="802" t="s">
        <v>18297</v>
      </c>
      <c r="N1464" s="802" t="s">
        <v>18298</v>
      </c>
      <c r="O1464" s="802" t="s">
        <v>18299</v>
      </c>
      <c r="P1464" s="807" t="s">
        <v>18300</v>
      </c>
    </row>
    <row r="1465" spans="1:16" s="341" customFormat="1" ht="15" customHeight="1">
      <c r="A1465" s="806" t="s">
        <v>109</v>
      </c>
      <c r="B1465" s="800" t="s">
        <v>1262</v>
      </c>
      <c r="C1465" s="800" t="s">
        <v>1262</v>
      </c>
      <c r="D1465" s="800" t="s">
        <v>18301</v>
      </c>
      <c r="E1465" s="801">
        <v>43061</v>
      </c>
      <c r="F1465" s="800" t="s">
        <v>18295</v>
      </c>
      <c r="G1465" s="800" t="s">
        <v>18302</v>
      </c>
      <c r="H1465" s="800" t="s">
        <v>10531</v>
      </c>
      <c r="I1465" s="800" t="s">
        <v>10531</v>
      </c>
      <c r="J1465" s="800" t="s">
        <v>10397</v>
      </c>
      <c r="K1465" s="800">
        <v>1</v>
      </c>
      <c r="L1465" s="802" t="s">
        <v>10398</v>
      </c>
      <c r="M1465" s="802" t="s">
        <v>18303</v>
      </c>
      <c r="N1465" s="802" t="s">
        <v>18304</v>
      </c>
      <c r="O1465" s="802" t="s">
        <v>18305</v>
      </c>
      <c r="P1465" s="807" t="s">
        <v>18306</v>
      </c>
    </row>
    <row r="1466" spans="1:16" s="341" customFormat="1" ht="15" customHeight="1">
      <c r="A1466" s="806" t="s">
        <v>109</v>
      </c>
      <c r="B1466" s="800" t="s">
        <v>1262</v>
      </c>
      <c r="C1466" s="800" t="s">
        <v>1262</v>
      </c>
      <c r="D1466" s="800" t="s">
        <v>18307</v>
      </c>
      <c r="E1466" s="801">
        <v>43061</v>
      </c>
      <c r="F1466" s="800" t="s">
        <v>18295</v>
      </c>
      <c r="G1466" s="800" t="s">
        <v>18308</v>
      </c>
      <c r="H1466" s="800" t="s">
        <v>10396</v>
      </c>
      <c r="I1466" s="800" t="s">
        <v>10396</v>
      </c>
      <c r="J1466" s="800" t="s">
        <v>10397</v>
      </c>
      <c r="K1466" s="800">
        <v>1</v>
      </c>
      <c r="L1466" s="802" t="s">
        <v>10398</v>
      </c>
      <c r="M1466" s="802" t="s">
        <v>18309</v>
      </c>
      <c r="N1466" s="802" t="s">
        <v>11990</v>
      </c>
      <c r="O1466" s="802" t="s">
        <v>18310</v>
      </c>
      <c r="P1466" s="807" t="s">
        <v>18311</v>
      </c>
    </row>
    <row r="1467" spans="1:16" s="341" customFormat="1" ht="15" customHeight="1">
      <c r="A1467" s="806" t="s">
        <v>109</v>
      </c>
      <c r="B1467" s="800" t="s">
        <v>1262</v>
      </c>
      <c r="C1467" s="800" t="s">
        <v>1262</v>
      </c>
      <c r="D1467" s="800" t="s">
        <v>18312</v>
      </c>
      <c r="E1467" s="801">
        <v>43061</v>
      </c>
      <c r="F1467" s="800" t="s">
        <v>18295</v>
      </c>
      <c r="G1467" s="800" t="s">
        <v>18313</v>
      </c>
      <c r="H1467" s="800" t="s">
        <v>10396</v>
      </c>
      <c r="I1467" s="800" t="s">
        <v>10396</v>
      </c>
      <c r="J1467" s="800" t="s">
        <v>10397</v>
      </c>
      <c r="K1467" s="800">
        <v>1</v>
      </c>
      <c r="L1467" s="802" t="s">
        <v>10398</v>
      </c>
      <c r="M1467" s="802" t="s">
        <v>18314</v>
      </c>
      <c r="N1467" s="802" t="s">
        <v>10589</v>
      </c>
      <c r="O1467" s="802" t="s">
        <v>18315</v>
      </c>
      <c r="P1467" s="807" t="s">
        <v>18316</v>
      </c>
    </row>
    <row r="1468" spans="1:16" s="341" customFormat="1" ht="15" customHeight="1">
      <c r="A1468" s="806" t="s">
        <v>109</v>
      </c>
      <c r="B1468" s="800" t="s">
        <v>1262</v>
      </c>
      <c r="C1468" s="800" t="s">
        <v>1262</v>
      </c>
      <c r="D1468" s="800" t="s">
        <v>18317</v>
      </c>
      <c r="E1468" s="801">
        <v>43061</v>
      </c>
      <c r="F1468" s="800" t="s">
        <v>18295</v>
      </c>
      <c r="G1468" s="800" t="s">
        <v>18318</v>
      </c>
      <c r="H1468" s="800" t="s">
        <v>10404</v>
      </c>
      <c r="I1468" s="800" t="s">
        <v>10404</v>
      </c>
      <c r="J1468" s="800" t="s">
        <v>10405</v>
      </c>
      <c r="K1468" s="800">
        <v>1</v>
      </c>
      <c r="L1468" s="802" t="s">
        <v>10398</v>
      </c>
      <c r="M1468" s="802" t="s">
        <v>18319</v>
      </c>
      <c r="N1468" s="802" t="s">
        <v>18320</v>
      </c>
      <c r="O1468" s="802" t="s">
        <v>18321</v>
      </c>
      <c r="P1468" s="807" t="s">
        <v>18322</v>
      </c>
    </row>
    <row r="1469" spans="1:16" s="341" customFormat="1" ht="15" customHeight="1">
      <c r="A1469" s="806" t="s">
        <v>109</v>
      </c>
      <c r="B1469" s="800" t="s">
        <v>1262</v>
      </c>
      <c r="C1469" s="800" t="s">
        <v>1262</v>
      </c>
      <c r="D1469" s="800" t="s">
        <v>18323</v>
      </c>
      <c r="E1469" s="801">
        <v>43061</v>
      </c>
      <c r="F1469" s="800" t="s">
        <v>18295</v>
      </c>
      <c r="G1469" s="800" t="s">
        <v>18324</v>
      </c>
      <c r="H1469" s="800" t="s">
        <v>10404</v>
      </c>
      <c r="I1469" s="800" t="s">
        <v>10404</v>
      </c>
      <c r="J1469" s="800" t="s">
        <v>10405</v>
      </c>
      <c r="K1469" s="800">
        <v>1</v>
      </c>
      <c r="L1469" s="802" t="s">
        <v>10398</v>
      </c>
      <c r="M1469" s="802" t="s">
        <v>18325</v>
      </c>
      <c r="N1469" s="802" t="s">
        <v>10802</v>
      </c>
      <c r="O1469" s="802" t="s">
        <v>18326</v>
      </c>
      <c r="P1469" s="807" t="s">
        <v>18327</v>
      </c>
    </row>
    <row r="1470" spans="1:16" s="341" customFormat="1" ht="15" customHeight="1">
      <c r="A1470" s="806" t="s">
        <v>109</v>
      </c>
      <c r="B1470" s="800" t="s">
        <v>1262</v>
      </c>
      <c r="C1470" s="800" t="s">
        <v>1262</v>
      </c>
      <c r="D1470" s="800" t="s">
        <v>18328</v>
      </c>
      <c r="E1470" s="801">
        <v>43061</v>
      </c>
      <c r="F1470" s="800" t="s">
        <v>18295</v>
      </c>
      <c r="G1470" s="800" t="s">
        <v>18329</v>
      </c>
      <c r="H1470" s="800" t="s">
        <v>10404</v>
      </c>
      <c r="I1470" s="800" t="s">
        <v>10404</v>
      </c>
      <c r="J1470" s="800" t="s">
        <v>10405</v>
      </c>
      <c r="K1470" s="800">
        <v>1</v>
      </c>
      <c r="L1470" s="802" t="s">
        <v>10398</v>
      </c>
      <c r="M1470" s="802" t="s">
        <v>18330</v>
      </c>
      <c r="N1470" s="802" t="s">
        <v>18331</v>
      </c>
      <c r="O1470" s="802" t="s">
        <v>18332</v>
      </c>
      <c r="P1470" s="807" t="s">
        <v>32</v>
      </c>
    </row>
    <row r="1471" spans="1:16" s="341" customFormat="1" ht="15" customHeight="1">
      <c r="A1471" s="806" t="s">
        <v>109</v>
      </c>
      <c r="B1471" s="800" t="s">
        <v>1262</v>
      </c>
      <c r="C1471" s="800" t="s">
        <v>1262</v>
      </c>
      <c r="D1471" s="800" t="s">
        <v>18333</v>
      </c>
      <c r="E1471" s="801">
        <v>43061</v>
      </c>
      <c r="F1471" s="800" t="s">
        <v>18295</v>
      </c>
      <c r="G1471" s="800" t="s">
        <v>18334</v>
      </c>
      <c r="H1471" s="800" t="s">
        <v>10396</v>
      </c>
      <c r="I1471" s="800" t="s">
        <v>10396</v>
      </c>
      <c r="J1471" s="800" t="s">
        <v>10405</v>
      </c>
      <c r="K1471" s="800">
        <v>1</v>
      </c>
      <c r="L1471" s="802" t="s">
        <v>10398</v>
      </c>
      <c r="M1471" s="802" t="s">
        <v>18335</v>
      </c>
      <c r="N1471" s="802" t="s">
        <v>18336</v>
      </c>
      <c r="O1471" s="802" t="s">
        <v>18337</v>
      </c>
      <c r="P1471" s="807" t="s">
        <v>18338</v>
      </c>
    </row>
    <row r="1472" spans="1:16" s="341" customFormat="1" ht="15" customHeight="1">
      <c r="A1472" s="806" t="s">
        <v>109</v>
      </c>
      <c r="B1472" s="800" t="s">
        <v>1262</v>
      </c>
      <c r="C1472" s="800" t="s">
        <v>1262</v>
      </c>
      <c r="D1472" s="800" t="s">
        <v>18339</v>
      </c>
      <c r="E1472" s="801">
        <v>43061</v>
      </c>
      <c r="F1472" s="800" t="s">
        <v>18230</v>
      </c>
      <c r="G1472" s="800" t="s">
        <v>18340</v>
      </c>
      <c r="H1472" s="800" t="s">
        <v>10404</v>
      </c>
      <c r="I1472" s="800" t="s">
        <v>10404</v>
      </c>
      <c r="J1472" s="800" t="s">
        <v>10405</v>
      </c>
      <c r="K1472" s="800">
        <v>1</v>
      </c>
      <c r="L1472" s="802" t="s">
        <v>10398</v>
      </c>
      <c r="M1472" s="802" t="s">
        <v>18341</v>
      </c>
      <c r="N1472" s="802" t="s">
        <v>18342</v>
      </c>
      <c r="O1472" s="802" t="s">
        <v>17803</v>
      </c>
      <c r="P1472" s="807" t="s">
        <v>18343</v>
      </c>
    </row>
    <row r="1473" spans="1:16" s="341" customFormat="1" ht="15" customHeight="1">
      <c r="A1473" s="806" t="s">
        <v>109</v>
      </c>
      <c r="B1473" s="800" t="s">
        <v>1262</v>
      </c>
      <c r="C1473" s="800" t="s">
        <v>1262</v>
      </c>
      <c r="D1473" s="800" t="s">
        <v>18344</v>
      </c>
      <c r="E1473" s="801">
        <v>43061</v>
      </c>
      <c r="F1473" s="800" t="s">
        <v>17799</v>
      </c>
      <c r="G1473" s="800" t="s">
        <v>18345</v>
      </c>
      <c r="H1473" s="800" t="s">
        <v>10404</v>
      </c>
      <c r="I1473" s="800" t="s">
        <v>10404</v>
      </c>
      <c r="J1473" s="800" t="s">
        <v>10405</v>
      </c>
      <c r="K1473" s="800">
        <v>1</v>
      </c>
      <c r="L1473" s="802" t="s">
        <v>10398</v>
      </c>
      <c r="M1473" s="802" t="s">
        <v>18346</v>
      </c>
      <c r="N1473" s="802" t="s">
        <v>18347</v>
      </c>
      <c r="O1473" s="802" t="s">
        <v>18348</v>
      </c>
      <c r="P1473" s="807" t="s">
        <v>18349</v>
      </c>
    </row>
    <row r="1474" spans="1:16" s="341" customFormat="1" ht="15" customHeight="1">
      <c r="A1474" s="806" t="s">
        <v>109</v>
      </c>
      <c r="B1474" s="800" t="s">
        <v>1262</v>
      </c>
      <c r="C1474" s="800" t="s">
        <v>1055</v>
      </c>
      <c r="D1474" s="800" t="s">
        <v>18350</v>
      </c>
      <c r="E1474" s="801">
        <v>43064</v>
      </c>
      <c r="F1474" s="800" t="s">
        <v>18351</v>
      </c>
      <c r="G1474" s="800" t="s">
        <v>18352</v>
      </c>
      <c r="H1474" s="800" t="s">
        <v>10531</v>
      </c>
      <c r="I1474" s="800" t="s">
        <v>10531</v>
      </c>
      <c r="J1474" s="800" t="s">
        <v>10397</v>
      </c>
      <c r="K1474" s="800">
        <v>1</v>
      </c>
      <c r="L1474" s="802" t="s">
        <v>10398</v>
      </c>
      <c r="M1474" s="802" t="s">
        <v>18353</v>
      </c>
      <c r="N1474" s="802" t="s">
        <v>18354</v>
      </c>
      <c r="O1474" s="802" t="s">
        <v>18355</v>
      </c>
      <c r="P1474" s="807" t="s">
        <v>32</v>
      </c>
    </row>
    <row r="1475" spans="1:16" s="341" customFormat="1" ht="15" customHeight="1">
      <c r="A1475" s="806" t="s">
        <v>109</v>
      </c>
      <c r="B1475" s="800" t="s">
        <v>1262</v>
      </c>
      <c r="C1475" s="800" t="s">
        <v>1055</v>
      </c>
      <c r="D1475" s="800" t="s">
        <v>18356</v>
      </c>
      <c r="E1475" s="801">
        <v>43063</v>
      </c>
      <c r="F1475" s="800" t="s">
        <v>18357</v>
      </c>
      <c r="G1475" s="800" t="s">
        <v>18358</v>
      </c>
      <c r="H1475" s="800" t="s">
        <v>10531</v>
      </c>
      <c r="I1475" s="800" t="s">
        <v>10531</v>
      </c>
      <c r="J1475" s="800" t="s">
        <v>10397</v>
      </c>
      <c r="K1475" s="800">
        <v>1</v>
      </c>
      <c r="L1475" s="802" t="s">
        <v>10398</v>
      </c>
      <c r="M1475" s="802" t="s">
        <v>18359</v>
      </c>
      <c r="N1475" s="802" t="s">
        <v>18360</v>
      </c>
      <c r="O1475" s="802" t="s">
        <v>18361</v>
      </c>
      <c r="P1475" s="807" t="s">
        <v>32</v>
      </c>
    </row>
    <row r="1476" spans="1:16" s="341" customFormat="1" ht="25.5">
      <c r="A1476" s="806" t="s">
        <v>109</v>
      </c>
      <c r="B1476" s="800" t="s">
        <v>1262</v>
      </c>
      <c r="C1476" s="800" t="s">
        <v>1055</v>
      </c>
      <c r="D1476" s="800" t="s">
        <v>18362</v>
      </c>
      <c r="E1476" s="801">
        <v>43063</v>
      </c>
      <c r="F1476" s="800" t="s">
        <v>10779</v>
      </c>
      <c r="G1476" s="800" t="s">
        <v>18363</v>
      </c>
      <c r="H1476" s="800" t="s">
        <v>10404</v>
      </c>
      <c r="I1476" s="800" t="s">
        <v>10404</v>
      </c>
      <c r="J1476" s="800" t="s">
        <v>10447</v>
      </c>
      <c r="K1476" s="800">
        <v>1</v>
      </c>
      <c r="L1476" s="802" t="s">
        <v>10398</v>
      </c>
      <c r="M1476" s="802" t="s">
        <v>18364</v>
      </c>
      <c r="N1476" s="802" t="s">
        <v>10496</v>
      </c>
      <c r="O1476" s="802" t="s">
        <v>18365</v>
      </c>
      <c r="P1476" s="807" t="s">
        <v>18366</v>
      </c>
    </row>
    <row r="1477" spans="1:16" s="341" customFormat="1" ht="25.5" customHeight="1">
      <c r="A1477" s="806" t="s">
        <v>109</v>
      </c>
      <c r="B1477" s="800" t="s">
        <v>1262</v>
      </c>
      <c r="C1477" s="800" t="s">
        <v>1055</v>
      </c>
      <c r="D1477" s="800" t="s">
        <v>18367</v>
      </c>
      <c r="E1477" s="801">
        <v>43063</v>
      </c>
      <c r="F1477" s="800" t="s">
        <v>6020</v>
      </c>
      <c r="G1477" s="800" t="s">
        <v>18368</v>
      </c>
      <c r="H1477" s="800" t="s">
        <v>10531</v>
      </c>
      <c r="I1477" s="800" t="s">
        <v>10531</v>
      </c>
      <c r="J1477" s="800" t="s">
        <v>10397</v>
      </c>
      <c r="K1477" s="800">
        <v>1</v>
      </c>
      <c r="L1477" s="802" t="s">
        <v>10398</v>
      </c>
      <c r="M1477" s="802" t="s">
        <v>18369</v>
      </c>
      <c r="N1477" s="802" t="s">
        <v>18370</v>
      </c>
      <c r="O1477" s="802" t="s">
        <v>18371</v>
      </c>
      <c r="P1477" s="807" t="s">
        <v>18372</v>
      </c>
    </row>
    <row r="1478" spans="1:16" s="341" customFormat="1" ht="25.5" customHeight="1">
      <c r="A1478" s="806" t="s">
        <v>109</v>
      </c>
      <c r="B1478" s="800" t="s">
        <v>1262</v>
      </c>
      <c r="C1478" s="800" t="s">
        <v>1055</v>
      </c>
      <c r="D1478" s="800" t="s">
        <v>18373</v>
      </c>
      <c r="E1478" s="801">
        <v>43061</v>
      </c>
      <c r="F1478" s="800" t="s">
        <v>6020</v>
      </c>
      <c r="G1478" s="800" t="s">
        <v>18374</v>
      </c>
      <c r="H1478" s="800" t="s">
        <v>10396</v>
      </c>
      <c r="I1478" s="800" t="s">
        <v>10396</v>
      </c>
      <c r="J1478" s="800" t="s">
        <v>10397</v>
      </c>
      <c r="K1478" s="800">
        <v>1</v>
      </c>
      <c r="L1478" s="802" t="s">
        <v>10398</v>
      </c>
      <c r="M1478" s="802" t="s">
        <v>18375</v>
      </c>
      <c r="N1478" s="802" t="s">
        <v>18376</v>
      </c>
      <c r="O1478" s="802" t="s">
        <v>18371</v>
      </c>
      <c r="P1478" s="807" t="s">
        <v>18377</v>
      </c>
    </row>
    <row r="1479" spans="1:16" s="341" customFormat="1" ht="25.5" customHeight="1">
      <c r="A1479" s="806" t="s">
        <v>110</v>
      </c>
      <c r="B1479" s="800" t="s">
        <v>18378</v>
      </c>
      <c r="C1479" s="800" t="s">
        <v>4849</v>
      </c>
      <c r="D1479" s="800" t="s">
        <v>18379</v>
      </c>
      <c r="E1479" s="801">
        <v>43041</v>
      </c>
      <c r="F1479" s="800" t="s">
        <v>18380</v>
      </c>
      <c r="G1479" s="800" t="s">
        <v>18381</v>
      </c>
      <c r="H1479" s="800" t="s">
        <v>10433</v>
      </c>
      <c r="I1479" s="800" t="s">
        <v>10433</v>
      </c>
      <c r="J1479" s="800" t="s">
        <v>10447</v>
      </c>
      <c r="K1479" s="800">
        <v>2</v>
      </c>
      <c r="L1479" s="802" t="s">
        <v>10398</v>
      </c>
      <c r="M1479" s="802" t="s">
        <v>18382</v>
      </c>
      <c r="N1479" s="802" t="s">
        <v>17640</v>
      </c>
      <c r="O1479" s="802" t="s">
        <v>18383</v>
      </c>
      <c r="P1479" s="807" t="s">
        <v>18384</v>
      </c>
    </row>
    <row r="1480" spans="1:16" s="341" customFormat="1" ht="15" customHeight="1">
      <c r="A1480" s="806" t="s">
        <v>110</v>
      </c>
      <c r="B1480" s="800" t="s">
        <v>18378</v>
      </c>
      <c r="C1480" s="800" t="s">
        <v>4849</v>
      </c>
      <c r="D1480" s="800" t="s">
        <v>18379</v>
      </c>
      <c r="E1480" s="801">
        <v>43041</v>
      </c>
      <c r="F1480" s="800" t="s">
        <v>18380</v>
      </c>
      <c r="G1480" s="800" t="s">
        <v>18381</v>
      </c>
      <c r="H1480" s="800" t="s">
        <v>10433</v>
      </c>
      <c r="I1480" s="800" t="s">
        <v>10433</v>
      </c>
      <c r="J1480" s="800" t="s">
        <v>10447</v>
      </c>
      <c r="K1480" s="800">
        <v>2</v>
      </c>
      <c r="L1480" s="802" t="s">
        <v>10398</v>
      </c>
      <c r="M1480" s="802" t="s">
        <v>18385</v>
      </c>
      <c r="N1480" s="802" t="s">
        <v>18386</v>
      </c>
      <c r="O1480" s="802" t="s">
        <v>18387</v>
      </c>
      <c r="P1480" s="807" t="s">
        <v>18384</v>
      </c>
    </row>
    <row r="1481" spans="1:16" s="341" customFormat="1" ht="25.5" customHeight="1">
      <c r="A1481" s="806" t="s">
        <v>110</v>
      </c>
      <c r="B1481" s="800" t="s">
        <v>18378</v>
      </c>
      <c r="C1481" s="800" t="s">
        <v>4849</v>
      </c>
      <c r="D1481" s="800" t="s">
        <v>18388</v>
      </c>
      <c r="E1481" s="801">
        <v>43041</v>
      </c>
      <c r="F1481" s="800" t="s">
        <v>18380</v>
      </c>
      <c r="G1481" s="800" t="s">
        <v>18389</v>
      </c>
      <c r="H1481" s="800" t="s">
        <v>10404</v>
      </c>
      <c r="I1481" s="800" t="s">
        <v>10404</v>
      </c>
      <c r="J1481" s="800" t="s">
        <v>10405</v>
      </c>
      <c r="K1481" s="800">
        <v>1</v>
      </c>
      <c r="L1481" s="802" t="s">
        <v>10398</v>
      </c>
      <c r="M1481" s="802" t="s">
        <v>18390</v>
      </c>
      <c r="N1481" s="802" t="s">
        <v>12775</v>
      </c>
      <c r="O1481" s="802" t="s">
        <v>18391</v>
      </c>
      <c r="P1481" s="807" t="s">
        <v>18392</v>
      </c>
    </row>
    <row r="1482" spans="1:16" s="341" customFormat="1" ht="25.5">
      <c r="A1482" s="806" t="s">
        <v>110</v>
      </c>
      <c r="B1482" s="800" t="s">
        <v>18378</v>
      </c>
      <c r="C1482" s="800" t="s">
        <v>4849</v>
      </c>
      <c r="D1482" s="800" t="s">
        <v>18393</v>
      </c>
      <c r="E1482" s="801">
        <v>43041</v>
      </c>
      <c r="F1482" s="800" t="s">
        <v>18380</v>
      </c>
      <c r="G1482" s="800" t="s">
        <v>18394</v>
      </c>
      <c r="H1482" s="800" t="s">
        <v>10433</v>
      </c>
      <c r="I1482" s="800" t="s">
        <v>10433</v>
      </c>
      <c r="J1482" s="800" t="s">
        <v>10447</v>
      </c>
      <c r="K1482" s="800">
        <v>1</v>
      </c>
      <c r="L1482" s="802" t="s">
        <v>10398</v>
      </c>
      <c r="M1482" s="802" t="s">
        <v>18395</v>
      </c>
      <c r="N1482" s="802" t="s">
        <v>18396</v>
      </c>
      <c r="O1482" s="802" t="s">
        <v>18397</v>
      </c>
      <c r="P1482" s="807" t="s">
        <v>18398</v>
      </c>
    </row>
    <row r="1483" spans="1:16" s="341" customFormat="1" ht="25.5" customHeight="1">
      <c r="A1483" s="806" t="s">
        <v>110</v>
      </c>
      <c r="B1483" s="800" t="s">
        <v>18378</v>
      </c>
      <c r="C1483" s="800" t="s">
        <v>4848</v>
      </c>
      <c r="D1483" s="800" t="s">
        <v>18399</v>
      </c>
      <c r="E1483" s="801">
        <v>43047</v>
      </c>
      <c r="F1483" s="800" t="s">
        <v>5323</v>
      </c>
      <c r="G1483" s="800" t="s">
        <v>18400</v>
      </c>
      <c r="H1483" s="800" t="s">
        <v>10433</v>
      </c>
      <c r="I1483" s="800" t="s">
        <v>10433</v>
      </c>
      <c r="J1483" s="800" t="s">
        <v>4342</v>
      </c>
      <c r="K1483" s="800">
        <v>1</v>
      </c>
      <c r="L1483" s="802" t="s">
        <v>10398</v>
      </c>
      <c r="M1483" s="802" t="s">
        <v>18401</v>
      </c>
      <c r="N1483" s="802" t="s">
        <v>18402</v>
      </c>
      <c r="O1483" s="802" t="s">
        <v>18403</v>
      </c>
      <c r="P1483" s="807" t="s">
        <v>18404</v>
      </c>
    </row>
    <row r="1484" spans="1:16" s="341" customFormat="1" ht="15">
      <c r="A1484" s="806" t="s">
        <v>110</v>
      </c>
      <c r="B1484" s="800" t="s">
        <v>18378</v>
      </c>
      <c r="C1484" s="800" t="s">
        <v>4848</v>
      </c>
      <c r="D1484" s="800" t="s">
        <v>18405</v>
      </c>
      <c r="E1484" s="801">
        <v>43047</v>
      </c>
      <c r="F1484" s="800" t="s">
        <v>18406</v>
      </c>
      <c r="G1484" s="800" t="s">
        <v>18407</v>
      </c>
      <c r="H1484" s="800" t="s">
        <v>10433</v>
      </c>
      <c r="I1484" s="800" t="s">
        <v>10433</v>
      </c>
      <c r="J1484" s="800" t="s">
        <v>4342</v>
      </c>
      <c r="K1484" s="800">
        <v>1</v>
      </c>
      <c r="L1484" s="802" t="s">
        <v>10398</v>
      </c>
      <c r="M1484" s="802" t="s">
        <v>18408</v>
      </c>
      <c r="N1484" s="802" t="s">
        <v>18409</v>
      </c>
      <c r="O1484" s="802" t="s">
        <v>18410</v>
      </c>
      <c r="P1484" s="807" t="s">
        <v>18411</v>
      </c>
    </row>
    <row r="1485" spans="1:16" s="341" customFormat="1" ht="25.5">
      <c r="A1485" s="806" t="s">
        <v>110</v>
      </c>
      <c r="B1485" s="800" t="s">
        <v>18378</v>
      </c>
      <c r="C1485" s="800" t="s">
        <v>4848</v>
      </c>
      <c r="D1485" s="800" t="s">
        <v>18412</v>
      </c>
      <c r="E1485" s="801">
        <v>43047</v>
      </c>
      <c r="F1485" s="800" t="s">
        <v>18413</v>
      </c>
      <c r="G1485" s="800" t="s">
        <v>18414</v>
      </c>
      <c r="H1485" s="800" t="s">
        <v>10396</v>
      </c>
      <c r="I1485" s="800" t="s">
        <v>10396</v>
      </c>
      <c r="J1485" s="800" t="s">
        <v>10447</v>
      </c>
      <c r="K1485" s="800">
        <v>1</v>
      </c>
      <c r="L1485" s="802" t="s">
        <v>10398</v>
      </c>
      <c r="M1485" s="802" t="s">
        <v>18415</v>
      </c>
      <c r="N1485" s="802" t="s">
        <v>11269</v>
      </c>
      <c r="O1485" s="802" t="s">
        <v>18416</v>
      </c>
      <c r="P1485" s="807" t="s">
        <v>18417</v>
      </c>
    </row>
    <row r="1486" spans="1:16" s="341" customFormat="1" ht="25.5">
      <c r="A1486" s="806" t="s">
        <v>110</v>
      </c>
      <c r="B1486" s="800" t="s">
        <v>18378</v>
      </c>
      <c r="C1486" s="800" t="s">
        <v>4848</v>
      </c>
      <c r="D1486" s="800" t="s">
        <v>18418</v>
      </c>
      <c r="E1486" s="801">
        <v>43047</v>
      </c>
      <c r="F1486" s="800" t="s">
        <v>18406</v>
      </c>
      <c r="G1486" s="800" t="s">
        <v>18419</v>
      </c>
      <c r="H1486" s="800" t="s">
        <v>10433</v>
      </c>
      <c r="I1486" s="800" t="s">
        <v>10433</v>
      </c>
      <c r="J1486" s="800" t="s">
        <v>10397</v>
      </c>
      <c r="K1486" s="800">
        <v>1</v>
      </c>
      <c r="L1486" s="802" t="s">
        <v>10398</v>
      </c>
      <c r="M1486" s="802" t="s">
        <v>18420</v>
      </c>
      <c r="N1486" s="802" t="s">
        <v>18421</v>
      </c>
      <c r="O1486" s="802" t="s">
        <v>18422</v>
      </c>
      <c r="P1486" s="807" t="s">
        <v>18423</v>
      </c>
    </row>
    <row r="1487" spans="1:16" s="341" customFormat="1" ht="25.5">
      <c r="A1487" s="806" t="s">
        <v>110</v>
      </c>
      <c r="B1487" s="800" t="s">
        <v>18378</v>
      </c>
      <c r="C1487" s="800" t="s">
        <v>4848</v>
      </c>
      <c r="D1487" s="800" t="s">
        <v>18424</v>
      </c>
      <c r="E1487" s="801">
        <v>43041</v>
      </c>
      <c r="F1487" s="800" t="s">
        <v>18425</v>
      </c>
      <c r="G1487" s="800" t="s">
        <v>18426</v>
      </c>
      <c r="H1487" s="800" t="s">
        <v>10433</v>
      </c>
      <c r="I1487" s="800" t="s">
        <v>10433</v>
      </c>
      <c r="J1487" s="800" t="s">
        <v>10447</v>
      </c>
      <c r="K1487" s="800">
        <v>1</v>
      </c>
      <c r="L1487" s="802" t="s">
        <v>10398</v>
      </c>
      <c r="M1487" s="802" t="s">
        <v>18427</v>
      </c>
      <c r="N1487" s="802" t="s">
        <v>18428</v>
      </c>
      <c r="O1487" s="802" t="s">
        <v>18429</v>
      </c>
      <c r="P1487" s="807" t="s">
        <v>18430</v>
      </c>
    </row>
    <row r="1488" spans="1:16" s="341" customFormat="1" ht="25.5" customHeight="1">
      <c r="A1488" s="806" t="s">
        <v>110</v>
      </c>
      <c r="B1488" s="800" t="s">
        <v>18378</v>
      </c>
      <c r="C1488" s="800" t="s">
        <v>4848</v>
      </c>
      <c r="D1488" s="800" t="s">
        <v>18431</v>
      </c>
      <c r="E1488" s="801">
        <v>43041</v>
      </c>
      <c r="F1488" s="800" t="s">
        <v>7314</v>
      </c>
      <c r="G1488" s="800" t="s">
        <v>18432</v>
      </c>
      <c r="H1488" s="800" t="s">
        <v>10396</v>
      </c>
      <c r="I1488" s="800" t="s">
        <v>10396</v>
      </c>
      <c r="J1488" s="800" t="s">
        <v>10447</v>
      </c>
      <c r="K1488" s="800">
        <v>1</v>
      </c>
      <c r="L1488" s="802" t="s">
        <v>10398</v>
      </c>
      <c r="M1488" s="802" t="s">
        <v>18433</v>
      </c>
      <c r="N1488" s="802" t="s">
        <v>18434</v>
      </c>
      <c r="O1488" s="802" t="s">
        <v>18435</v>
      </c>
      <c r="P1488" s="807" t="s">
        <v>18436</v>
      </c>
    </row>
    <row r="1489" spans="1:16" s="341" customFormat="1" ht="15" customHeight="1">
      <c r="A1489" s="806" t="s">
        <v>110</v>
      </c>
      <c r="B1489" s="800" t="s">
        <v>18378</v>
      </c>
      <c r="C1489" s="800" t="s">
        <v>4848</v>
      </c>
      <c r="D1489" s="800" t="s">
        <v>18437</v>
      </c>
      <c r="E1489" s="801">
        <v>43041</v>
      </c>
      <c r="F1489" s="800" t="s">
        <v>18425</v>
      </c>
      <c r="G1489" s="800" t="s">
        <v>18438</v>
      </c>
      <c r="H1489" s="800" t="s">
        <v>10396</v>
      </c>
      <c r="I1489" s="800" t="s">
        <v>10396</v>
      </c>
      <c r="J1489" s="800" t="s">
        <v>10397</v>
      </c>
      <c r="K1489" s="800">
        <v>1</v>
      </c>
      <c r="L1489" s="802" t="s">
        <v>10398</v>
      </c>
      <c r="M1489" s="802" t="s">
        <v>18439</v>
      </c>
      <c r="N1489" s="802" t="s">
        <v>11635</v>
      </c>
      <c r="O1489" s="802" t="s">
        <v>18440</v>
      </c>
      <c r="P1489" s="807" t="s">
        <v>18441</v>
      </c>
    </row>
    <row r="1490" spans="1:16" s="341" customFormat="1" ht="15" customHeight="1">
      <c r="A1490" s="806" t="s">
        <v>110</v>
      </c>
      <c r="B1490" s="800" t="s">
        <v>18378</v>
      </c>
      <c r="C1490" s="800" t="s">
        <v>4848</v>
      </c>
      <c r="D1490" s="800" t="s">
        <v>18442</v>
      </c>
      <c r="E1490" s="801">
        <v>43041</v>
      </c>
      <c r="F1490" s="800" t="s">
        <v>18406</v>
      </c>
      <c r="G1490" s="800" t="s">
        <v>18443</v>
      </c>
      <c r="H1490" s="800" t="s">
        <v>10396</v>
      </c>
      <c r="I1490" s="800" t="s">
        <v>10396</v>
      </c>
      <c r="J1490" s="800" t="s">
        <v>10397</v>
      </c>
      <c r="K1490" s="800">
        <v>1</v>
      </c>
      <c r="L1490" s="802" t="s">
        <v>10398</v>
      </c>
      <c r="M1490" s="802" t="s">
        <v>18444</v>
      </c>
      <c r="N1490" s="802" t="s">
        <v>18445</v>
      </c>
      <c r="O1490" s="802" t="s">
        <v>18446</v>
      </c>
      <c r="P1490" s="807" t="s">
        <v>18447</v>
      </c>
    </row>
    <row r="1491" spans="1:16" s="341" customFormat="1" ht="15" customHeight="1">
      <c r="A1491" s="806" t="s">
        <v>110</v>
      </c>
      <c r="B1491" s="800" t="s">
        <v>18378</v>
      </c>
      <c r="C1491" s="800" t="s">
        <v>4848</v>
      </c>
      <c r="D1491" s="800" t="s">
        <v>18448</v>
      </c>
      <c r="E1491" s="801">
        <v>43041</v>
      </c>
      <c r="F1491" s="800" t="s">
        <v>7314</v>
      </c>
      <c r="G1491" s="800" t="s">
        <v>18449</v>
      </c>
      <c r="H1491" s="800" t="s">
        <v>10433</v>
      </c>
      <c r="I1491" s="800" t="s">
        <v>10433</v>
      </c>
      <c r="J1491" s="800" t="s">
        <v>10447</v>
      </c>
      <c r="K1491" s="800">
        <v>1</v>
      </c>
      <c r="L1491" s="802" t="s">
        <v>10398</v>
      </c>
      <c r="M1491" s="802" t="s">
        <v>18450</v>
      </c>
      <c r="N1491" s="802" t="s">
        <v>18451</v>
      </c>
      <c r="O1491" s="802" t="s">
        <v>18435</v>
      </c>
      <c r="P1491" s="807" t="s">
        <v>18452</v>
      </c>
    </row>
    <row r="1492" spans="1:16" s="341" customFormat="1" ht="15" customHeight="1">
      <c r="A1492" s="806" t="s">
        <v>110</v>
      </c>
      <c r="B1492" s="800" t="s">
        <v>18378</v>
      </c>
      <c r="C1492" s="800" t="s">
        <v>4848</v>
      </c>
      <c r="D1492" s="800" t="s">
        <v>18453</v>
      </c>
      <c r="E1492" s="801">
        <v>43041</v>
      </c>
      <c r="F1492" s="800" t="s">
        <v>18406</v>
      </c>
      <c r="G1492" s="800" t="s">
        <v>18454</v>
      </c>
      <c r="H1492" s="800" t="s">
        <v>10433</v>
      </c>
      <c r="I1492" s="800" t="s">
        <v>10433</v>
      </c>
      <c r="J1492" s="800" t="s">
        <v>10397</v>
      </c>
      <c r="K1492" s="800">
        <v>1</v>
      </c>
      <c r="L1492" s="802" t="s">
        <v>10398</v>
      </c>
      <c r="M1492" s="802" t="s">
        <v>18455</v>
      </c>
      <c r="N1492" s="802" t="s">
        <v>18456</v>
      </c>
      <c r="O1492" s="802" t="s">
        <v>18457</v>
      </c>
      <c r="P1492" s="807" t="s">
        <v>18458</v>
      </c>
    </row>
    <row r="1493" spans="1:16" s="341" customFormat="1" ht="15" customHeight="1">
      <c r="A1493" s="806" t="s">
        <v>110</v>
      </c>
      <c r="B1493" s="800" t="s">
        <v>18378</v>
      </c>
      <c r="C1493" s="800" t="s">
        <v>4848</v>
      </c>
      <c r="D1493" s="800" t="s">
        <v>18459</v>
      </c>
      <c r="E1493" s="801">
        <v>43041</v>
      </c>
      <c r="F1493" s="800" t="s">
        <v>18406</v>
      </c>
      <c r="G1493" s="800" t="s">
        <v>18460</v>
      </c>
      <c r="H1493" s="800" t="s">
        <v>10433</v>
      </c>
      <c r="I1493" s="800" t="s">
        <v>10433</v>
      </c>
      <c r="J1493" s="800" t="s">
        <v>10447</v>
      </c>
      <c r="K1493" s="800">
        <v>1</v>
      </c>
      <c r="L1493" s="802" t="s">
        <v>10398</v>
      </c>
      <c r="M1493" s="802" t="s">
        <v>18461</v>
      </c>
      <c r="N1493" s="802" t="s">
        <v>18462</v>
      </c>
      <c r="O1493" s="802" t="s">
        <v>18463</v>
      </c>
      <c r="P1493" s="807" t="s">
        <v>18464</v>
      </c>
    </row>
    <row r="1494" spans="1:16" s="341" customFormat="1" ht="15" customHeight="1">
      <c r="A1494" s="806" t="s">
        <v>110</v>
      </c>
      <c r="B1494" s="800" t="s">
        <v>18378</v>
      </c>
      <c r="C1494" s="800" t="s">
        <v>4848</v>
      </c>
      <c r="D1494" s="800" t="s">
        <v>18465</v>
      </c>
      <c r="E1494" s="801">
        <v>43041</v>
      </c>
      <c r="F1494" s="800" t="s">
        <v>7314</v>
      </c>
      <c r="G1494" s="800" t="s">
        <v>18466</v>
      </c>
      <c r="H1494" s="800" t="s">
        <v>10433</v>
      </c>
      <c r="I1494" s="800" t="s">
        <v>10433</v>
      </c>
      <c r="J1494" s="800" t="s">
        <v>10397</v>
      </c>
      <c r="K1494" s="800">
        <v>1</v>
      </c>
      <c r="L1494" s="802" t="s">
        <v>10398</v>
      </c>
      <c r="M1494" s="802" t="s">
        <v>18467</v>
      </c>
      <c r="N1494" s="802" t="s">
        <v>18468</v>
      </c>
      <c r="O1494" s="802" t="s">
        <v>18469</v>
      </c>
      <c r="P1494" s="807" t="s">
        <v>18470</v>
      </c>
    </row>
    <row r="1495" spans="1:16" s="341" customFormat="1" ht="15" customHeight="1">
      <c r="A1495" s="806" t="s">
        <v>110</v>
      </c>
      <c r="B1495" s="800" t="s">
        <v>18378</v>
      </c>
      <c r="C1495" s="800" t="s">
        <v>4848</v>
      </c>
      <c r="D1495" s="800" t="s">
        <v>18471</v>
      </c>
      <c r="E1495" s="801">
        <v>43041</v>
      </c>
      <c r="F1495" s="800" t="s">
        <v>18472</v>
      </c>
      <c r="G1495" s="800" t="s">
        <v>18473</v>
      </c>
      <c r="H1495" s="800" t="s">
        <v>10396</v>
      </c>
      <c r="I1495" s="800" t="s">
        <v>10396</v>
      </c>
      <c r="J1495" s="800" t="s">
        <v>10397</v>
      </c>
      <c r="K1495" s="800">
        <v>1</v>
      </c>
      <c r="L1495" s="802" t="s">
        <v>10398</v>
      </c>
      <c r="M1495" s="802" t="s">
        <v>18474</v>
      </c>
      <c r="N1495" s="802" t="s">
        <v>10577</v>
      </c>
      <c r="O1495" s="802" t="s">
        <v>18475</v>
      </c>
      <c r="P1495" s="807" t="s">
        <v>18476</v>
      </c>
    </row>
    <row r="1496" spans="1:16" s="341" customFormat="1" ht="15" customHeight="1">
      <c r="A1496" s="806" t="s">
        <v>110</v>
      </c>
      <c r="B1496" s="800" t="s">
        <v>18378</v>
      </c>
      <c r="C1496" s="800" t="s">
        <v>4848</v>
      </c>
      <c r="D1496" s="800" t="s">
        <v>18477</v>
      </c>
      <c r="E1496" s="801">
        <v>43041</v>
      </c>
      <c r="F1496" s="800" t="s">
        <v>18478</v>
      </c>
      <c r="G1496" s="800" t="s">
        <v>18479</v>
      </c>
      <c r="H1496" s="800" t="s">
        <v>10433</v>
      </c>
      <c r="I1496" s="800" t="s">
        <v>10433</v>
      </c>
      <c r="J1496" s="800" t="s">
        <v>10447</v>
      </c>
      <c r="K1496" s="800">
        <v>1</v>
      </c>
      <c r="L1496" s="802" t="s">
        <v>10398</v>
      </c>
      <c r="M1496" s="802" t="s">
        <v>18480</v>
      </c>
      <c r="N1496" s="802" t="s">
        <v>18481</v>
      </c>
      <c r="O1496" s="802" t="s">
        <v>18482</v>
      </c>
      <c r="P1496" s="807" t="s">
        <v>18483</v>
      </c>
    </row>
    <row r="1497" spans="1:16" s="341" customFormat="1" ht="15" customHeight="1">
      <c r="A1497" s="806" t="s">
        <v>110</v>
      </c>
      <c r="B1497" s="800" t="s">
        <v>18378</v>
      </c>
      <c r="C1497" s="800" t="s">
        <v>4848</v>
      </c>
      <c r="D1497" s="800" t="s">
        <v>18484</v>
      </c>
      <c r="E1497" s="801">
        <v>43041</v>
      </c>
      <c r="F1497" s="800" t="s">
        <v>18485</v>
      </c>
      <c r="G1497" s="800" t="s">
        <v>18486</v>
      </c>
      <c r="H1497" s="800" t="s">
        <v>10396</v>
      </c>
      <c r="I1497" s="800" t="s">
        <v>10396</v>
      </c>
      <c r="J1497" s="800" t="s">
        <v>10397</v>
      </c>
      <c r="K1497" s="800">
        <v>1</v>
      </c>
      <c r="L1497" s="802" t="s">
        <v>11026</v>
      </c>
      <c r="M1497" s="802" t="s">
        <v>18487</v>
      </c>
      <c r="N1497" s="802" t="s">
        <v>18488</v>
      </c>
      <c r="O1497" s="802" t="s">
        <v>18489</v>
      </c>
      <c r="P1497" s="807" t="s">
        <v>18490</v>
      </c>
    </row>
    <row r="1498" spans="1:16" s="341" customFormat="1" ht="25.5" customHeight="1">
      <c r="A1498" s="806" t="s">
        <v>110</v>
      </c>
      <c r="B1498" s="800" t="s">
        <v>18378</v>
      </c>
      <c r="C1498" s="800" t="s">
        <v>4848</v>
      </c>
      <c r="D1498" s="800" t="s">
        <v>18491</v>
      </c>
      <c r="E1498" s="801">
        <v>43041</v>
      </c>
      <c r="F1498" s="800" t="s">
        <v>18485</v>
      </c>
      <c r="G1498" s="800" t="s">
        <v>18492</v>
      </c>
      <c r="H1498" s="800" t="s">
        <v>10433</v>
      </c>
      <c r="I1498" s="800" t="s">
        <v>10433</v>
      </c>
      <c r="J1498" s="800" t="s">
        <v>10447</v>
      </c>
      <c r="K1498" s="800">
        <v>1</v>
      </c>
      <c r="L1498" s="802" t="s">
        <v>11026</v>
      </c>
      <c r="M1498" s="802" t="s">
        <v>18493</v>
      </c>
      <c r="N1498" s="802" t="s">
        <v>18494</v>
      </c>
      <c r="O1498" s="802" t="s">
        <v>18495</v>
      </c>
      <c r="P1498" s="807" t="s">
        <v>18496</v>
      </c>
    </row>
    <row r="1499" spans="1:16" s="341" customFormat="1" ht="25.5" customHeight="1">
      <c r="A1499" s="806" t="s">
        <v>110</v>
      </c>
      <c r="B1499" s="800" t="s">
        <v>18378</v>
      </c>
      <c r="C1499" s="800" t="s">
        <v>4848</v>
      </c>
      <c r="D1499" s="800" t="s">
        <v>18497</v>
      </c>
      <c r="E1499" s="801">
        <v>43041</v>
      </c>
      <c r="F1499" s="800" t="s">
        <v>18485</v>
      </c>
      <c r="G1499" s="800" t="s">
        <v>18498</v>
      </c>
      <c r="H1499" s="800" t="s">
        <v>10433</v>
      </c>
      <c r="I1499" s="800" t="s">
        <v>10433</v>
      </c>
      <c r="J1499" s="800" t="s">
        <v>10447</v>
      </c>
      <c r="K1499" s="800">
        <v>1</v>
      </c>
      <c r="L1499" s="802" t="s">
        <v>11026</v>
      </c>
      <c r="M1499" s="802" t="s">
        <v>18499</v>
      </c>
      <c r="N1499" s="802" t="s">
        <v>18500</v>
      </c>
      <c r="O1499" s="802" t="s">
        <v>18501</v>
      </c>
      <c r="P1499" s="807" t="s">
        <v>18502</v>
      </c>
    </row>
    <row r="1500" spans="1:16" s="341" customFormat="1" ht="15" customHeight="1">
      <c r="A1500" s="806" t="s">
        <v>110</v>
      </c>
      <c r="B1500" s="800" t="s">
        <v>18378</v>
      </c>
      <c r="C1500" s="800" t="s">
        <v>4848</v>
      </c>
      <c r="D1500" s="800" t="s">
        <v>18503</v>
      </c>
      <c r="E1500" s="801">
        <v>43041</v>
      </c>
      <c r="F1500" s="800" t="s">
        <v>18504</v>
      </c>
      <c r="G1500" s="800" t="s">
        <v>18505</v>
      </c>
      <c r="H1500" s="800" t="s">
        <v>10433</v>
      </c>
      <c r="I1500" s="800" t="s">
        <v>10433</v>
      </c>
      <c r="J1500" s="800" t="s">
        <v>10447</v>
      </c>
      <c r="K1500" s="800">
        <v>1</v>
      </c>
      <c r="L1500" s="802" t="s">
        <v>10398</v>
      </c>
      <c r="M1500" s="802" t="s">
        <v>18506</v>
      </c>
      <c r="N1500" s="802" t="s">
        <v>18507</v>
      </c>
      <c r="O1500" s="802" t="s">
        <v>18508</v>
      </c>
      <c r="P1500" s="807" t="s">
        <v>18509</v>
      </c>
    </row>
    <row r="1501" spans="1:16" s="341" customFormat="1" ht="25.5" customHeight="1">
      <c r="A1501" s="806" t="s">
        <v>110</v>
      </c>
      <c r="B1501" s="800" t="s">
        <v>18378</v>
      </c>
      <c r="C1501" s="800" t="s">
        <v>4848</v>
      </c>
      <c r="D1501" s="800" t="s">
        <v>18510</v>
      </c>
      <c r="E1501" s="801">
        <v>43041</v>
      </c>
      <c r="F1501" s="800" t="s">
        <v>18504</v>
      </c>
      <c r="G1501" s="800" t="s">
        <v>18511</v>
      </c>
      <c r="H1501" s="800" t="s">
        <v>10396</v>
      </c>
      <c r="I1501" s="800" t="s">
        <v>10396</v>
      </c>
      <c r="J1501" s="800" t="s">
        <v>10397</v>
      </c>
      <c r="K1501" s="800">
        <v>1</v>
      </c>
      <c r="L1501" s="802" t="s">
        <v>10398</v>
      </c>
      <c r="M1501" s="802" t="s">
        <v>18512</v>
      </c>
      <c r="N1501" s="802" t="s">
        <v>18513</v>
      </c>
      <c r="O1501" s="802" t="s">
        <v>18514</v>
      </c>
      <c r="P1501" s="807" t="s">
        <v>18515</v>
      </c>
    </row>
    <row r="1502" spans="1:16" s="341" customFormat="1" ht="25.5" customHeight="1">
      <c r="A1502" s="806" t="s">
        <v>110</v>
      </c>
      <c r="B1502" s="800" t="s">
        <v>18378</v>
      </c>
      <c r="C1502" s="800" t="s">
        <v>4848</v>
      </c>
      <c r="D1502" s="800" t="s">
        <v>18516</v>
      </c>
      <c r="E1502" s="801">
        <v>43041</v>
      </c>
      <c r="F1502" s="800" t="s">
        <v>18504</v>
      </c>
      <c r="G1502" s="800" t="s">
        <v>18517</v>
      </c>
      <c r="H1502" s="800" t="s">
        <v>10433</v>
      </c>
      <c r="I1502" s="800" t="s">
        <v>10433</v>
      </c>
      <c r="J1502" s="800" t="s">
        <v>4342</v>
      </c>
      <c r="K1502" s="800">
        <v>1</v>
      </c>
      <c r="L1502" s="802" t="s">
        <v>10398</v>
      </c>
      <c r="M1502" s="802" t="s">
        <v>18518</v>
      </c>
      <c r="N1502" s="802" t="s">
        <v>18519</v>
      </c>
      <c r="O1502" s="802" t="s">
        <v>18520</v>
      </c>
      <c r="P1502" s="807" t="s">
        <v>32</v>
      </c>
    </row>
    <row r="1503" spans="1:16" s="341" customFormat="1" ht="25.5" customHeight="1">
      <c r="A1503" s="806" t="s">
        <v>110</v>
      </c>
      <c r="B1503" s="800" t="s">
        <v>18378</v>
      </c>
      <c r="C1503" s="800" t="s">
        <v>5326</v>
      </c>
      <c r="D1503" s="800" t="s">
        <v>18521</v>
      </c>
      <c r="E1503" s="801">
        <v>43047</v>
      </c>
      <c r="F1503" s="800" t="s">
        <v>5326</v>
      </c>
      <c r="G1503" s="800" t="s">
        <v>18522</v>
      </c>
      <c r="H1503" s="800" t="s">
        <v>10433</v>
      </c>
      <c r="I1503" s="800" t="s">
        <v>10433</v>
      </c>
      <c r="J1503" s="800" t="s">
        <v>4342</v>
      </c>
      <c r="K1503" s="800">
        <v>1</v>
      </c>
      <c r="L1503" s="802" t="s">
        <v>10398</v>
      </c>
      <c r="M1503" s="802" t="s">
        <v>18523</v>
      </c>
      <c r="N1503" s="802" t="s">
        <v>18524</v>
      </c>
      <c r="O1503" s="802" t="s">
        <v>18525</v>
      </c>
      <c r="P1503" s="807" t="s">
        <v>18526</v>
      </c>
    </row>
    <row r="1504" spans="1:16" s="341" customFormat="1" ht="25.5">
      <c r="A1504" s="806" t="s">
        <v>110</v>
      </c>
      <c r="B1504" s="800" t="s">
        <v>18378</v>
      </c>
      <c r="C1504" s="800" t="s">
        <v>5326</v>
      </c>
      <c r="D1504" s="800" t="s">
        <v>18527</v>
      </c>
      <c r="E1504" s="801">
        <v>43041</v>
      </c>
      <c r="F1504" s="800" t="s">
        <v>18528</v>
      </c>
      <c r="G1504" s="800" t="s">
        <v>18529</v>
      </c>
      <c r="H1504" s="800" t="s">
        <v>10433</v>
      </c>
      <c r="I1504" s="800" t="s">
        <v>10433</v>
      </c>
      <c r="J1504" s="800" t="s">
        <v>10447</v>
      </c>
      <c r="K1504" s="800">
        <v>1</v>
      </c>
      <c r="L1504" s="802" t="s">
        <v>10398</v>
      </c>
      <c r="M1504" s="802" t="s">
        <v>18530</v>
      </c>
      <c r="N1504" s="802" t="s">
        <v>18531</v>
      </c>
      <c r="O1504" s="802" t="s">
        <v>18532</v>
      </c>
      <c r="P1504" s="807" t="s">
        <v>32</v>
      </c>
    </row>
    <row r="1505" spans="1:16" s="341" customFormat="1" ht="25.5" customHeight="1">
      <c r="A1505" s="806" t="s">
        <v>110</v>
      </c>
      <c r="B1505" s="800" t="s">
        <v>18378</v>
      </c>
      <c r="C1505" s="800" t="s">
        <v>5326</v>
      </c>
      <c r="D1505" s="800" t="s">
        <v>18533</v>
      </c>
      <c r="E1505" s="801">
        <v>43041</v>
      </c>
      <c r="F1505" s="800" t="s">
        <v>7786</v>
      </c>
      <c r="G1505" s="800" t="s">
        <v>18534</v>
      </c>
      <c r="H1505" s="800" t="s">
        <v>10433</v>
      </c>
      <c r="I1505" s="800" t="s">
        <v>10433</v>
      </c>
      <c r="J1505" s="800" t="s">
        <v>10447</v>
      </c>
      <c r="K1505" s="800">
        <v>1</v>
      </c>
      <c r="L1505" s="802" t="s">
        <v>10398</v>
      </c>
      <c r="M1505" s="802" t="s">
        <v>18535</v>
      </c>
      <c r="N1505" s="802" t="s">
        <v>12350</v>
      </c>
      <c r="O1505" s="802" t="s">
        <v>18536</v>
      </c>
      <c r="P1505" s="807" t="s">
        <v>18537</v>
      </c>
    </row>
    <row r="1506" spans="1:16" s="341" customFormat="1" ht="25.5" customHeight="1">
      <c r="A1506" s="806" t="s">
        <v>110</v>
      </c>
      <c r="B1506" s="800" t="s">
        <v>18378</v>
      </c>
      <c r="C1506" s="800" t="s">
        <v>5326</v>
      </c>
      <c r="D1506" s="800" t="s">
        <v>18538</v>
      </c>
      <c r="E1506" s="801">
        <v>43041</v>
      </c>
      <c r="F1506" s="800" t="s">
        <v>18478</v>
      </c>
      <c r="G1506" s="800" t="s">
        <v>18539</v>
      </c>
      <c r="H1506" s="800" t="s">
        <v>10433</v>
      </c>
      <c r="I1506" s="800" t="s">
        <v>10433</v>
      </c>
      <c r="J1506" s="800" t="s">
        <v>10447</v>
      </c>
      <c r="K1506" s="800">
        <v>1</v>
      </c>
      <c r="L1506" s="802" t="s">
        <v>10398</v>
      </c>
      <c r="M1506" s="802" t="s">
        <v>18540</v>
      </c>
      <c r="N1506" s="802" t="s">
        <v>15622</v>
      </c>
      <c r="O1506" s="802" t="s">
        <v>18541</v>
      </c>
      <c r="P1506" s="807" t="s">
        <v>18542</v>
      </c>
    </row>
    <row r="1507" spans="1:16" s="341" customFormat="1" ht="25.5" customHeight="1">
      <c r="A1507" s="806" t="s">
        <v>110</v>
      </c>
      <c r="B1507" s="800" t="s">
        <v>18378</v>
      </c>
      <c r="C1507" s="800" t="s">
        <v>5326</v>
      </c>
      <c r="D1507" s="800" t="s">
        <v>18543</v>
      </c>
      <c r="E1507" s="801">
        <v>43041</v>
      </c>
      <c r="F1507" s="800" t="s">
        <v>18544</v>
      </c>
      <c r="G1507" s="800" t="s">
        <v>18545</v>
      </c>
      <c r="H1507" s="800" t="s">
        <v>10396</v>
      </c>
      <c r="I1507" s="800" t="s">
        <v>10396</v>
      </c>
      <c r="J1507" s="800" t="s">
        <v>10397</v>
      </c>
      <c r="K1507" s="800">
        <v>1</v>
      </c>
      <c r="L1507" s="802" t="s">
        <v>10398</v>
      </c>
      <c r="M1507" s="802" t="s">
        <v>18546</v>
      </c>
      <c r="N1507" s="802" t="s">
        <v>18547</v>
      </c>
      <c r="O1507" s="802" t="s">
        <v>18548</v>
      </c>
      <c r="P1507" s="807" t="s">
        <v>18549</v>
      </c>
    </row>
    <row r="1508" spans="1:16" s="341" customFormat="1" ht="25.5" customHeight="1">
      <c r="A1508" s="806" t="s">
        <v>110</v>
      </c>
      <c r="B1508" s="800" t="s">
        <v>18378</v>
      </c>
      <c r="C1508" s="800" t="s">
        <v>5326</v>
      </c>
      <c r="D1508" s="800" t="s">
        <v>18550</v>
      </c>
      <c r="E1508" s="801">
        <v>43041</v>
      </c>
      <c r="F1508" s="800" t="s">
        <v>18544</v>
      </c>
      <c r="G1508" s="800" t="s">
        <v>18551</v>
      </c>
      <c r="H1508" s="800" t="s">
        <v>10433</v>
      </c>
      <c r="I1508" s="800" t="s">
        <v>10433</v>
      </c>
      <c r="J1508" s="800" t="s">
        <v>10447</v>
      </c>
      <c r="K1508" s="800">
        <v>1</v>
      </c>
      <c r="L1508" s="802" t="s">
        <v>10398</v>
      </c>
      <c r="M1508" s="802" t="s">
        <v>18552</v>
      </c>
      <c r="N1508" s="802" t="s">
        <v>18553</v>
      </c>
      <c r="O1508" s="802" t="s">
        <v>18554</v>
      </c>
      <c r="P1508" s="807" t="s">
        <v>18555</v>
      </c>
    </row>
    <row r="1509" spans="1:16" s="341" customFormat="1" ht="25.5" customHeight="1">
      <c r="A1509" s="806" t="s">
        <v>110</v>
      </c>
      <c r="B1509" s="800" t="s">
        <v>18378</v>
      </c>
      <c r="C1509" s="800" t="s">
        <v>5326</v>
      </c>
      <c r="D1509" s="800" t="s">
        <v>18556</v>
      </c>
      <c r="E1509" s="801">
        <v>43041</v>
      </c>
      <c r="F1509" s="800" t="s">
        <v>18557</v>
      </c>
      <c r="G1509" s="800" t="s">
        <v>18558</v>
      </c>
      <c r="H1509" s="800" t="s">
        <v>10433</v>
      </c>
      <c r="I1509" s="800" t="s">
        <v>10433</v>
      </c>
      <c r="J1509" s="800" t="s">
        <v>10447</v>
      </c>
      <c r="K1509" s="800">
        <v>1</v>
      </c>
      <c r="L1509" s="802" t="s">
        <v>10398</v>
      </c>
      <c r="M1509" s="802" t="s">
        <v>18559</v>
      </c>
      <c r="N1509" s="802" t="s">
        <v>18560</v>
      </c>
      <c r="O1509" s="802" t="s">
        <v>18561</v>
      </c>
      <c r="P1509" s="807" t="s">
        <v>18562</v>
      </c>
    </row>
    <row r="1510" spans="1:16" s="341" customFormat="1" ht="25.5" customHeight="1">
      <c r="A1510" s="806" t="s">
        <v>110</v>
      </c>
      <c r="B1510" s="800" t="s">
        <v>18378</v>
      </c>
      <c r="C1510" s="800" t="s">
        <v>5326</v>
      </c>
      <c r="D1510" s="800" t="s">
        <v>18563</v>
      </c>
      <c r="E1510" s="801">
        <v>43041</v>
      </c>
      <c r="F1510" s="800" t="s">
        <v>18557</v>
      </c>
      <c r="G1510" s="800" t="s">
        <v>18564</v>
      </c>
      <c r="H1510" s="800" t="s">
        <v>10433</v>
      </c>
      <c r="I1510" s="800" t="s">
        <v>10433</v>
      </c>
      <c r="J1510" s="800" t="s">
        <v>10447</v>
      </c>
      <c r="K1510" s="800">
        <v>1</v>
      </c>
      <c r="L1510" s="802" t="s">
        <v>10398</v>
      </c>
      <c r="M1510" s="802" t="s">
        <v>18565</v>
      </c>
      <c r="N1510" s="802" t="s">
        <v>18566</v>
      </c>
      <c r="O1510" s="802" t="s">
        <v>18567</v>
      </c>
      <c r="P1510" s="807" t="s">
        <v>18568</v>
      </c>
    </row>
    <row r="1511" spans="1:16" s="341" customFormat="1" ht="25.5" customHeight="1">
      <c r="A1511" s="806" t="s">
        <v>110</v>
      </c>
      <c r="B1511" s="800" t="s">
        <v>18378</v>
      </c>
      <c r="C1511" s="800" t="s">
        <v>5326</v>
      </c>
      <c r="D1511" s="800" t="s">
        <v>18569</v>
      </c>
      <c r="E1511" s="801">
        <v>43041</v>
      </c>
      <c r="F1511" s="800" t="s">
        <v>18544</v>
      </c>
      <c r="G1511" s="800" t="s">
        <v>18570</v>
      </c>
      <c r="H1511" s="800" t="s">
        <v>10433</v>
      </c>
      <c r="I1511" s="800" t="s">
        <v>10433</v>
      </c>
      <c r="J1511" s="800" t="s">
        <v>10447</v>
      </c>
      <c r="K1511" s="800">
        <v>1</v>
      </c>
      <c r="L1511" s="802" t="s">
        <v>10398</v>
      </c>
      <c r="M1511" s="802" t="s">
        <v>18571</v>
      </c>
      <c r="N1511" s="802" t="s">
        <v>18572</v>
      </c>
      <c r="O1511" s="802" t="s">
        <v>18573</v>
      </c>
      <c r="P1511" s="807" t="s">
        <v>18574</v>
      </c>
    </row>
    <row r="1512" spans="1:16" s="341" customFormat="1" ht="15" customHeight="1">
      <c r="A1512" s="806" t="s">
        <v>110</v>
      </c>
      <c r="B1512" s="800" t="s">
        <v>3751</v>
      </c>
      <c r="C1512" s="800" t="s">
        <v>3893</v>
      </c>
      <c r="D1512" s="800" t="s">
        <v>18575</v>
      </c>
      <c r="E1512" s="801">
        <v>43061</v>
      </c>
      <c r="F1512" s="800" t="s">
        <v>18576</v>
      </c>
      <c r="G1512" s="800" t="s">
        <v>18577</v>
      </c>
      <c r="H1512" s="800" t="s">
        <v>10433</v>
      </c>
      <c r="I1512" s="800" t="s">
        <v>10433</v>
      </c>
      <c r="J1512" s="800" t="s">
        <v>10447</v>
      </c>
      <c r="K1512" s="800">
        <v>1</v>
      </c>
      <c r="L1512" s="802" t="s">
        <v>10398</v>
      </c>
      <c r="M1512" s="802" t="s">
        <v>18578</v>
      </c>
      <c r="N1512" s="802" t="s">
        <v>18579</v>
      </c>
      <c r="O1512" s="802" t="s">
        <v>18580</v>
      </c>
      <c r="P1512" s="807" t="s">
        <v>32</v>
      </c>
    </row>
    <row r="1513" spans="1:16" s="341" customFormat="1" ht="25.5" customHeight="1">
      <c r="A1513" s="806" t="s">
        <v>110</v>
      </c>
      <c r="B1513" s="800" t="s">
        <v>3751</v>
      </c>
      <c r="C1513" s="800" t="s">
        <v>3893</v>
      </c>
      <c r="D1513" s="800" t="s">
        <v>18581</v>
      </c>
      <c r="E1513" s="801">
        <v>43061</v>
      </c>
      <c r="F1513" s="800" t="s">
        <v>18576</v>
      </c>
      <c r="G1513" s="800" t="s">
        <v>18577</v>
      </c>
      <c r="H1513" s="800" t="s">
        <v>10433</v>
      </c>
      <c r="I1513" s="800" t="s">
        <v>10433</v>
      </c>
      <c r="J1513" s="800" t="s">
        <v>10447</v>
      </c>
      <c r="K1513" s="800">
        <v>1</v>
      </c>
      <c r="L1513" s="802" t="s">
        <v>10398</v>
      </c>
      <c r="M1513" s="802" t="s">
        <v>18582</v>
      </c>
      <c r="N1513" s="802" t="s">
        <v>18583</v>
      </c>
      <c r="O1513" s="802" t="s">
        <v>18584</v>
      </c>
      <c r="P1513" s="807" t="s">
        <v>32</v>
      </c>
    </row>
    <row r="1514" spans="1:16" s="341" customFormat="1" ht="25.5" customHeight="1">
      <c r="A1514" s="806" t="s">
        <v>110</v>
      </c>
      <c r="B1514" s="800" t="s">
        <v>3751</v>
      </c>
      <c r="C1514" s="800" t="s">
        <v>3893</v>
      </c>
      <c r="D1514" s="800" t="s">
        <v>18585</v>
      </c>
      <c r="E1514" s="801">
        <v>43061</v>
      </c>
      <c r="F1514" s="800" t="s">
        <v>18576</v>
      </c>
      <c r="G1514" s="800" t="s">
        <v>18586</v>
      </c>
      <c r="H1514" s="800" t="s">
        <v>10433</v>
      </c>
      <c r="I1514" s="800" t="s">
        <v>10433</v>
      </c>
      <c r="J1514" s="800" t="s">
        <v>10447</v>
      </c>
      <c r="K1514" s="800">
        <v>1</v>
      </c>
      <c r="L1514" s="802" t="s">
        <v>10398</v>
      </c>
      <c r="M1514" s="802" t="s">
        <v>18587</v>
      </c>
      <c r="N1514" s="802" t="s">
        <v>15576</v>
      </c>
      <c r="O1514" s="802" t="s">
        <v>18588</v>
      </c>
      <c r="P1514" s="807" t="s">
        <v>18589</v>
      </c>
    </row>
    <row r="1515" spans="1:16" s="341" customFormat="1" ht="25.5">
      <c r="A1515" s="806" t="s">
        <v>110</v>
      </c>
      <c r="B1515" s="800" t="s">
        <v>3751</v>
      </c>
      <c r="C1515" s="800" t="s">
        <v>3893</v>
      </c>
      <c r="D1515" s="800" t="s">
        <v>18590</v>
      </c>
      <c r="E1515" s="801">
        <v>43061</v>
      </c>
      <c r="F1515" s="800" t="s">
        <v>18576</v>
      </c>
      <c r="G1515" s="800" t="s">
        <v>18591</v>
      </c>
      <c r="H1515" s="800" t="s">
        <v>10433</v>
      </c>
      <c r="I1515" s="800" t="s">
        <v>10433</v>
      </c>
      <c r="J1515" s="800" t="s">
        <v>10447</v>
      </c>
      <c r="K1515" s="800">
        <v>1</v>
      </c>
      <c r="L1515" s="802" t="s">
        <v>10398</v>
      </c>
      <c r="M1515" s="802" t="s">
        <v>18592</v>
      </c>
      <c r="N1515" s="802" t="s">
        <v>13901</v>
      </c>
      <c r="O1515" s="802" t="s">
        <v>18593</v>
      </c>
      <c r="P1515" s="807" t="s">
        <v>18594</v>
      </c>
    </row>
    <row r="1516" spans="1:16" s="341" customFormat="1" ht="25.5">
      <c r="A1516" s="806" t="s">
        <v>110</v>
      </c>
      <c r="B1516" s="800" t="s">
        <v>3751</v>
      </c>
      <c r="C1516" s="800" t="s">
        <v>3893</v>
      </c>
      <c r="D1516" s="800" t="s">
        <v>18595</v>
      </c>
      <c r="E1516" s="801">
        <v>43061</v>
      </c>
      <c r="F1516" s="800" t="s">
        <v>18576</v>
      </c>
      <c r="G1516" s="800" t="s">
        <v>18596</v>
      </c>
      <c r="H1516" s="800" t="s">
        <v>10433</v>
      </c>
      <c r="I1516" s="800" t="s">
        <v>10433</v>
      </c>
      <c r="J1516" s="800" t="s">
        <v>10447</v>
      </c>
      <c r="K1516" s="800">
        <v>1</v>
      </c>
      <c r="L1516" s="802" t="s">
        <v>10398</v>
      </c>
      <c r="M1516" s="802" t="s">
        <v>18597</v>
      </c>
      <c r="N1516" s="802" t="s">
        <v>18598</v>
      </c>
      <c r="O1516" s="802" t="s">
        <v>18599</v>
      </c>
      <c r="P1516" s="807" t="s">
        <v>18600</v>
      </c>
    </row>
    <row r="1517" spans="1:16" s="341" customFormat="1" ht="25.5" customHeight="1">
      <c r="A1517" s="806" t="s">
        <v>110</v>
      </c>
      <c r="B1517" s="800" t="s">
        <v>3751</v>
      </c>
      <c r="C1517" s="800" t="s">
        <v>3893</v>
      </c>
      <c r="D1517" s="800" t="s">
        <v>18601</v>
      </c>
      <c r="E1517" s="801">
        <v>43061</v>
      </c>
      <c r="F1517" s="800" t="s">
        <v>18576</v>
      </c>
      <c r="G1517" s="800" t="s">
        <v>18602</v>
      </c>
      <c r="H1517" s="800" t="s">
        <v>10433</v>
      </c>
      <c r="I1517" s="800" t="s">
        <v>10433</v>
      </c>
      <c r="J1517" s="800" t="s">
        <v>10447</v>
      </c>
      <c r="K1517" s="800">
        <v>1</v>
      </c>
      <c r="L1517" s="802" t="s">
        <v>10398</v>
      </c>
      <c r="M1517" s="802" t="s">
        <v>18603</v>
      </c>
      <c r="N1517" s="802" t="s">
        <v>12457</v>
      </c>
      <c r="O1517" s="802" t="s">
        <v>18604</v>
      </c>
      <c r="P1517" s="807" t="s">
        <v>18605</v>
      </c>
    </row>
    <row r="1518" spans="1:16" s="341" customFormat="1" ht="25.5" customHeight="1">
      <c r="A1518" s="806" t="s">
        <v>110</v>
      </c>
      <c r="B1518" s="800" t="s">
        <v>3751</v>
      </c>
      <c r="C1518" s="800" t="s">
        <v>3893</v>
      </c>
      <c r="D1518" s="800" t="s">
        <v>18606</v>
      </c>
      <c r="E1518" s="801">
        <v>43061</v>
      </c>
      <c r="F1518" s="800" t="s">
        <v>18576</v>
      </c>
      <c r="G1518" s="800" t="s">
        <v>18607</v>
      </c>
      <c r="H1518" s="800" t="s">
        <v>10433</v>
      </c>
      <c r="I1518" s="800" t="s">
        <v>10433</v>
      </c>
      <c r="J1518" s="800" t="s">
        <v>10447</v>
      </c>
      <c r="K1518" s="800">
        <v>1</v>
      </c>
      <c r="L1518" s="802" t="s">
        <v>10398</v>
      </c>
      <c r="M1518" s="802" t="s">
        <v>18608</v>
      </c>
      <c r="N1518" s="802" t="s">
        <v>18609</v>
      </c>
      <c r="O1518" s="802" t="s">
        <v>18580</v>
      </c>
      <c r="P1518" s="807" t="s">
        <v>18610</v>
      </c>
    </row>
    <row r="1519" spans="1:16" s="341" customFormat="1" ht="15" customHeight="1">
      <c r="A1519" s="806" t="s">
        <v>110</v>
      </c>
      <c r="B1519" s="800" t="s">
        <v>3751</v>
      </c>
      <c r="C1519" s="800" t="s">
        <v>3893</v>
      </c>
      <c r="D1519" s="800" t="s">
        <v>18611</v>
      </c>
      <c r="E1519" s="801">
        <v>43061</v>
      </c>
      <c r="F1519" s="800" t="s">
        <v>18576</v>
      </c>
      <c r="G1519" s="800" t="s">
        <v>18612</v>
      </c>
      <c r="H1519" s="800" t="s">
        <v>10433</v>
      </c>
      <c r="I1519" s="800" t="s">
        <v>10433</v>
      </c>
      <c r="J1519" s="800" t="s">
        <v>10447</v>
      </c>
      <c r="K1519" s="800">
        <v>1</v>
      </c>
      <c r="L1519" s="802" t="s">
        <v>10398</v>
      </c>
      <c r="M1519" s="802" t="s">
        <v>18613</v>
      </c>
      <c r="N1519" s="802" t="s">
        <v>18614</v>
      </c>
      <c r="O1519" s="802" t="s">
        <v>18615</v>
      </c>
      <c r="P1519" s="807" t="s">
        <v>18616</v>
      </c>
    </row>
    <row r="1520" spans="1:16" s="341" customFormat="1" ht="25.5" customHeight="1">
      <c r="A1520" s="806" t="s">
        <v>110</v>
      </c>
      <c r="B1520" s="800" t="s">
        <v>3751</v>
      </c>
      <c r="C1520" s="800" t="s">
        <v>3893</v>
      </c>
      <c r="D1520" s="800" t="s">
        <v>18617</v>
      </c>
      <c r="E1520" s="801">
        <v>43061</v>
      </c>
      <c r="F1520" s="800" t="s">
        <v>18576</v>
      </c>
      <c r="G1520" s="800" t="s">
        <v>18618</v>
      </c>
      <c r="H1520" s="800" t="s">
        <v>10433</v>
      </c>
      <c r="I1520" s="800" t="s">
        <v>10433</v>
      </c>
      <c r="J1520" s="800" t="s">
        <v>10447</v>
      </c>
      <c r="K1520" s="800">
        <v>1</v>
      </c>
      <c r="L1520" s="802" t="s">
        <v>10398</v>
      </c>
      <c r="M1520" s="802" t="s">
        <v>18619</v>
      </c>
      <c r="N1520" s="802" t="s">
        <v>18620</v>
      </c>
      <c r="O1520" s="802" t="s">
        <v>18621</v>
      </c>
      <c r="P1520" s="807" t="s">
        <v>18622</v>
      </c>
    </row>
    <row r="1521" spans="1:16" s="341" customFormat="1" ht="25.5" customHeight="1">
      <c r="A1521" s="806" t="s">
        <v>110</v>
      </c>
      <c r="B1521" s="800" t="s">
        <v>3751</v>
      </c>
      <c r="C1521" s="800" t="s">
        <v>3893</v>
      </c>
      <c r="D1521" s="800" t="s">
        <v>18623</v>
      </c>
      <c r="E1521" s="801">
        <v>43061</v>
      </c>
      <c r="F1521" s="800" t="s">
        <v>18576</v>
      </c>
      <c r="G1521" s="800" t="s">
        <v>18624</v>
      </c>
      <c r="H1521" s="800" t="s">
        <v>10433</v>
      </c>
      <c r="I1521" s="800" t="s">
        <v>10433</v>
      </c>
      <c r="J1521" s="800" t="s">
        <v>10447</v>
      </c>
      <c r="K1521" s="800">
        <v>1</v>
      </c>
      <c r="L1521" s="802" t="s">
        <v>10398</v>
      </c>
      <c r="M1521" s="802" t="s">
        <v>18625</v>
      </c>
      <c r="N1521" s="802" t="s">
        <v>18626</v>
      </c>
      <c r="O1521" s="802" t="s">
        <v>18627</v>
      </c>
      <c r="P1521" s="807" t="s">
        <v>18628</v>
      </c>
    </row>
    <row r="1522" spans="1:16" s="341" customFormat="1" ht="25.5" customHeight="1">
      <c r="A1522" s="806" t="s">
        <v>110</v>
      </c>
      <c r="B1522" s="800" t="s">
        <v>3751</v>
      </c>
      <c r="C1522" s="800" t="s">
        <v>3893</v>
      </c>
      <c r="D1522" s="800" t="s">
        <v>18629</v>
      </c>
      <c r="E1522" s="801">
        <v>43061</v>
      </c>
      <c r="F1522" s="800" t="s">
        <v>18576</v>
      </c>
      <c r="G1522" s="800" t="s">
        <v>18630</v>
      </c>
      <c r="H1522" s="800" t="s">
        <v>10433</v>
      </c>
      <c r="I1522" s="800" t="s">
        <v>10433</v>
      </c>
      <c r="J1522" s="800" t="s">
        <v>10447</v>
      </c>
      <c r="K1522" s="800">
        <v>1</v>
      </c>
      <c r="L1522" s="802" t="s">
        <v>10398</v>
      </c>
      <c r="M1522" s="802" t="s">
        <v>18631</v>
      </c>
      <c r="N1522" s="802" t="s">
        <v>18632</v>
      </c>
      <c r="O1522" s="802" t="s">
        <v>18633</v>
      </c>
      <c r="P1522" s="807" t="s">
        <v>18634</v>
      </c>
    </row>
    <row r="1523" spans="1:16" s="341" customFormat="1" ht="25.5">
      <c r="A1523" s="806" t="s">
        <v>110</v>
      </c>
      <c r="B1523" s="800" t="s">
        <v>3751</v>
      </c>
      <c r="C1523" s="800" t="s">
        <v>3893</v>
      </c>
      <c r="D1523" s="800" t="s">
        <v>18635</v>
      </c>
      <c r="E1523" s="801">
        <v>43061</v>
      </c>
      <c r="F1523" s="800" t="s">
        <v>18576</v>
      </c>
      <c r="G1523" s="800" t="s">
        <v>18630</v>
      </c>
      <c r="H1523" s="800" t="s">
        <v>10433</v>
      </c>
      <c r="I1523" s="800" t="s">
        <v>10433</v>
      </c>
      <c r="J1523" s="800" t="s">
        <v>10447</v>
      </c>
      <c r="K1523" s="800">
        <v>1</v>
      </c>
      <c r="L1523" s="802" t="s">
        <v>10398</v>
      </c>
      <c r="M1523" s="802" t="s">
        <v>18636</v>
      </c>
      <c r="N1523" s="802" t="s">
        <v>11371</v>
      </c>
      <c r="O1523" s="802" t="s">
        <v>18627</v>
      </c>
      <c r="P1523" s="807" t="s">
        <v>18637</v>
      </c>
    </row>
    <row r="1524" spans="1:16" s="341" customFormat="1" ht="15" customHeight="1">
      <c r="A1524" s="806" t="s">
        <v>110</v>
      </c>
      <c r="B1524" s="800" t="s">
        <v>3751</v>
      </c>
      <c r="C1524" s="800" t="s">
        <v>3893</v>
      </c>
      <c r="D1524" s="800" t="s">
        <v>18638</v>
      </c>
      <c r="E1524" s="801">
        <v>43061</v>
      </c>
      <c r="F1524" s="800" t="s">
        <v>18576</v>
      </c>
      <c r="G1524" s="800" t="s">
        <v>18639</v>
      </c>
      <c r="H1524" s="800" t="s">
        <v>10433</v>
      </c>
      <c r="I1524" s="800" t="s">
        <v>10433</v>
      </c>
      <c r="J1524" s="800" t="s">
        <v>10447</v>
      </c>
      <c r="K1524" s="800">
        <v>1</v>
      </c>
      <c r="L1524" s="802" t="s">
        <v>10398</v>
      </c>
      <c r="M1524" s="802" t="s">
        <v>18640</v>
      </c>
      <c r="N1524" s="802" t="s">
        <v>18641</v>
      </c>
      <c r="O1524" s="802" t="s">
        <v>18580</v>
      </c>
      <c r="P1524" s="807" t="s">
        <v>32</v>
      </c>
    </row>
    <row r="1525" spans="1:16" s="341" customFormat="1" ht="25.5" customHeight="1">
      <c r="A1525" s="806" t="s">
        <v>110</v>
      </c>
      <c r="B1525" s="800" t="s">
        <v>3751</v>
      </c>
      <c r="C1525" s="800" t="s">
        <v>3893</v>
      </c>
      <c r="D1525" s="800" t="s">
        <v>18642</v>
      </c>
      <c r="E1525" s="801">
        <v>43061</v>
      </c>
      <c r="F1525" s="800" t="s">
        <v>18643</v>
      </c>
      <c r="G1525" s="800" t="s">
        <v>18644</v>
      </c>
      <c r="H1525" s="800" t="s">
        <v>10433</v>
      </c>
      <c r="I1525" s="800" t="s">
        <v>10433</v>
      </c>
      <c r="J1525" s="800" t="s">
        <v>10447</v>
      </c>
      <c r="K1525" s="800">
        <v>1</v>
      </c>
      <c r="L1525" s="802" t="s">
        <v>10398</v>
      </c>
      <c r="M1525" s="802" t="s">
        <v>18645</v>
      </c>
      <c r="N1525" s="802" t="s">
        <v>18646</v>
      </c>
      <c r="O1525" s="802" t="s">
        <v>18647</v>
      </c>
      <c r="P1525" s="807" t="s">
        <v>18648</v>
      </c>
    </row>
    <row r="1526" spans="1:16" s="341" customFormat="1" ht="25.5" customHeight="1">
      <c r="A1526" s="806" t="s">
        <v>110</v>
      </c>
      <c r="B1526" s="800" t="s">
        <v>3751</v>
      </c>
      <c r="C1526" s="800" t="s">
        <v>3893</v>
      </c>
      <c r="D1526" s="800" t="s">
        <v>18649</v>
      </c>
      <c r="E1526" s="801">
        <v>43061</v>
      </c>
      <c r="F1526" s="800" t="s">
        <v>18643</v>
      </c>
      <c r="G1526" s="800" t="s">
        <v>18650</v>
      </c>
      <c r="H1526" s="800" t="s">
        <v>10433</v>
      </c>
      <c r="I1526" s="800" t="s">
        <v>10433</v>
      </c>
      <c r="J1526" s="800" t="s">
        <v>10447</v>
      </c>
      <c r="K1526" s="800">
        <v>1</v>
      </c>
      <c r="L1526" s="802" t="s">
        <v>10398</v>
      </c>
      <c r="M1526" s="802" t="s">
        <v>18651</v>
      </c>
      <c r="N1526" s="802" t="s">
        <v>18652</v>
      </c>
      <c r="O1526" s="802" t="s">
        <v>18653</v>
      </c>
      <c r="P1526" s="807" t="s">
        <v>18654</v>
      </c>
    </row>
    <row r="1527" spans="1:16" s="341" customFormat="1" ht="25.5" customHeight="1">
      <c r="A1527" s="806" t="s">
        <v>110</v>
      </c>
      <c r="B1527" s="800" t="s">
        <v>3751</v>
      </c>
      <c r="C1527" s="800" t="s">
        <v>3893</v>
      </c>
      <c r="D1527" s="800" t="s">
        <v>18655</v>
      </c>
      <c r="E1527" s="801">
        <v>43061</v>
      </c>
      <c r="F1527" s="800" t="s">
        <v>18643</v>
      </c>
      <c r="G1527" s="800" t="s">
        <v>18650</v>
      </c>
      <c r="H1527" s="800" t="s">
        <v>10433</v>
      </c>
      <c r="I1527" s="800" t="s">
        <v>10433</v>
      </c>
      <c r="J1527" s="800" t="s">
        <v>10447</v>
      </c>
      <c r="K1527" s="800">
        <v>1</v>
      </c>
      <c r="L1527" s="802" t="s">
        <v>10398</v>
      </c>
      <c r="M1527" s="802" t="s">
        <v>18656</v>
      </c>
      <c r="N1527" s="802" t="s">
        <v>18657</v>
      </c>
      <c r="O1527" s="802" t="s">
        <v>18658</v>
      </c>
      <c r="P1527" s="807" t="s">
        <v>18659</v>
      </c>
    </row>
    <row r="1528" spans="1:16" s="341" customFormat="1" ht="25.5" customHeight="1">
      <c r="A1528" s="806" t="s">
        <v>110</v>
      </c>
      <c r="B1528" s="800" t="s">
        <v>3751</v>
      </c>
      <c r="C1528" s="800" t="s">
        <v>3893</v>
      </c>
      <c r="D1528" s="800" t="s">
        <v>18660</v>
      </c>
      <c r="E1528" s="801">
        <v>43061</v>
      </c>
      <c r="F1528" s="800" t="s">
        <v>18643</v>
      </c>
      <c r="G1528" s="800" t="s">
        <v>32</v>
      </c>
      <c r="H1528" s="800" t="s">
        <v>10396</v>
      </c>
      <c r="I1528" s="800" t="s">
        <v>10396</v>
      </c>
      <c r="J1528" s="800" t="s">
        <v>10447</v>
      </c>
      <c r="K1528" s="800">
        <v>1</v>
      </c>
      <c r="L1528" s="802" t="s">
        <v>10398</v>
      </c>
      <c r="M1528" s="802" t="s">
        <v>18661</v>
      </c>
      <c r="N1528" s="802" t="s">
        <v>12470</v>
      </c>
      <c r="O1528" s="802" t="s">
        <v>18662</v>
      </c>
      <c r="P1528" s="807" t="s">
        <v>18663</v>
      </c>
    </row>
    <row r="1529" spans="1:16" s="341" customFormat="1" ht="25.5" customHeight="1">
      <c r="A1529" s="806" t="s">
        <v>110</v>
      </c>
      <c r="B1529" s="800" t="s">
        <v>3751</v>
      </c>
      <c r="C1529" s="800" t="s">
        <v>3893</v>
      </c>
      <c r="D1529" s="800" t="s">
        <v>18664</v>
      </c>
      <c r="E1529" s="801">
        <v>43061</v>
      </c>
      <c r="F1529" s="800" t="s">
        <v>18643</v>
      </c>
      <c r="G1529" s="800" t="s">
        <v>32</v>
      </c>
      <c r="H1529" s="800" t="s">
        <v>10433</v>
      </c>
      <c r="I1529" s="800" t="s">
        <v>10433</v>
      </c>
      <c r="J1529" s="800" t="s">
        <v>10447</v>
      </c>
      <c r="K1529" s="800">
        <v>1</v>
      </c>
      <c r="L1529" s="802" t="s">
        <v>10398</v>
      </c>
      <c r="M1529" s="802" t="s">
        <v>32</v>
      </c>
      <c r="N1529" s="802" t="s">
        <v>18665</v>
      </c>
      <c r="O1529" s="802" t="s">
        <v>13297</v>
      </c>
      <c r="P1529" s="807" t="s">
        <v>18666</v>
      </c>
    </row>
    <row r="1530" spans="1:16" s="341" customFormat="1" ht="25.5" customHeight="1">
      <c r="A1530" s="806" t="s">
        <v>110</v>
      </c>
      <c r="B1530" s="800" t="s">
        <v>3751</v>
      </c>
      <c r="C1530" s="800" t="s">
        <v>3893</v>
      </c>
      <c r="D1530" s="800" t="s">
        <v>18667</v>
      </c>
      <c r="E1530" s="801">
        <v>43061</v>
      </c>
      <c r="F1530" s="800" t="s">
        <v>18643</v>
      </c>
      <c r="G1530" s="800" t="s">
        <v>18668</v>
      </c>
      <c r="H1530" s="800" t="s">
        <v>10531</v>
      </c>
      <c r="I1530" s="800" t="s">
        <v>10531</v>
      </c>
      <c r="J1530" s="800" t="s">
        <v>10447</v>
      </c>
      <c r="K1530" s="800">
        <v>1</v>
      </c>
      <c r="L1530" s="802" t="s">
        <v>10398</v>
      </c>
      <c r="M1530" s="802" t="s">
        <v>18669</v>
      </c>
      <c r="N1530" s="802" t="s">
        <v>18670</v>
      </c>
      <c r="O1530" s="802" t="s">
        <v>18671</v>
      </c>
      <c r="P1530" s="807" t="s">
        <v>18672</v>
      </c>
    </row>
    <row r="1531" spans="1:16" s="341" customFormat="1" ht="25.5" customHeight="1">
      <c r="A1531" s="806" t="s">
        <v>110</v>
      </c>
      <c r="B1531" s="800" t="s">
        <v>3751</v>
      </c>
      <c r="C1531" s="800" t="s">
        <v>3893</v>
      </c>
      <c r="D1531" s="800" t="s">
        <v>18673</v>
      </c>
      <c r="E1531" s="801">
        <v>43061</v>
      </c>
      <c r="F1531" s="800" t="s">
        <v>18643</v>
      </c>
      <c r="G1531" s="800" t="s">
        <v>32</v>
      </c>
      <c r="H1531" s="800" t="s">
        <v>10531</v>
      </c>
      <c r="I1531" s="800" t="s">
        <v>10531</v>
      </c>
      <c r="J1531" s="800" t="s">
        <v>10447</v>
      </c>
      <c r="K1531" s="800">
        <v>1</v>
      </c>
      <c r="L1531" s="802" t="s">
        <v>10398</v>
      </c>
      <c r="M1531" s="802" t="s">
        <v>18674</v>
      </c>
      <c r="N1531" s="802" t="s">
        <v>18675</v>
      </c>
      <c r="O1531" s="802" t="s">
        <v>18676</v>
      </c>
      <c r="P1531" s="807" t="s">
        <v>18677</v>
      </c>
    </row>
    <row r="1532" spans="1:16" s="341" customFormat="1" ht="25.5" customHeight="1">
      <c r="A1532" s="806" t="s">
        <v>110</v>
      </c>
      <c r="B1532" s="800" t="s">
        <v>3751</v>
      </c>
      <c r="C1532" s="800" t="s">
        <v>3893</v>
      </c>
      <c r="D1532" s="800" t="s">
        <v>18678</v>
      </c>
      <c r="E1532" s="801">
        <v>43061</v>
      </c>
      <c r="F1532" s="800" t="s">
        <v>18643</v>
      </c>
      <c r="G1532" s="800" t="s">
        <v>18679</v>
      </c>
      <c r="H1532" s="800" t="s">
        <v>10531</v>
      </c>
      <c r="I1532" s="800" t="s">
        <v>10531</v>
      </c>
      <c r="J1532" s="800" t="s">
        <v>10447</v>
      </c>
      <c r="K1532" s="800">
        <v>1</v>
      </c>
      <c r="L1532" s="802" t="s">
        <v>10398</v>
      </c>
      <c r="M1532" s="802" t="s">
        <v>18680</v>
      </c>
      <c r="N1532" s="802" t="s">
        <v>18681</v>
      </c>
      <c r="O1532" s="802" t="s">
        <v>18676</v>
      </c>
      <c r="P1532" s="807" t="s">
        <v>18682</v>
      </c>
    </row>
    <row r="1533" spans="1:16" s="341" customFormat="1" ht="15" customHeight="1">
      <c r="A1533" s="806" t="s">
        <v>110</v>
      </c>
      <c r="B1533" s="800" t="s">
        <v>3751</v>
      </c>
      <c r="C1533" s="800" t="s">
        <v>3893</v>
      </c>
      <c r="D1533" s="800" t="s">
        <v>18683</v>
      </c>
      <c r="E1533" s="801">
        <v>43061</v>
      </c>
      <c r="F1533" s="800" t="s">
        <v>18643</v>
      </c>
      <c r="G1533" s="800" t="s">
        <v>32</v>
      </c>
      <c r="H1533" s="800" t="s">
        <v>10531</v>
      </c>
      <c r="I1533" s="800" t="s">
        <v>10531</v>
      </c>
      <c r="J1533" s="800" t="s">
        <v>10447</v>
      </c>
      <c r="K1533" s="800">
        <v>1</v>
      </c>
      <c r="L1533" s="802" t="s">
        <v>10398</v>
      </c>
      <c r="M1533" s="802" t="s">
        <v>18684</v>
      </c>
      <c r="N1533" s="802" t="s">
        <v>18685</v>
      </c>
      <c r="O1533" s="802" t="s">
        <v>18580</v>
      </c>
      <c r="P1533" s="807" t="s">
        <v>18686</v>
      </c>
    </row>
    <row r="1534" spans="1:16" s="341" customFormat="1" ht="15" customHeight="1">
      <c r="A1534" s="806" t="s">
        <v>110</v>
      </c>
      <c r="B1534" s="800" t="s">
        <v>3751</v>
      </c>
      <c r="C1534" s="800" t="s">
        <v>3893</v>
      </c>
      <c r="D1534" s="800" t="s">
        <v>18687</v>
      </c>
      <c r="E1534" s="801">
        <v>43061</v>
      </c>
      <c r="F1534" s="800" t="s">
        <v>18643</v>
      </c>
      <c r="G1534" s="800" t="s">
        <v>32</v>
      </c>
      <c r="H1534" s="800" t="s">
        <v>10531</v>
      </c>
      <c r="I1534" s="800" t="s">
        <v>10531</v>
      </c>
      <c r="J1534" s="800" t="s">
        <v>10447</v>
      </c>
      <c r="K1534" s="800">
        <v>1</v>
      </c>
      <c r="L1534" s="802" t="s">
        <v>10398</v>
      </c>
      <c r="M1534" s="802" t="s">
        <v>18688</v>
      </c>
      <c r="N1534" s="802" t="s">
        <v>18689</v>
      </c>
      <c r="O1534" s="802" t="s">
        <v>18690</v>
      </c>
      <c r="P1534" s="807" t="s">
        <v>18691</v>
      </c>
    </row>
    <row r="1535" spans="1:16" s="341" customFormat="1" ht="15" customHeight="1">
      <c r="A1535" s="806" t="s">
        <v>110</v>
      </c>
      <c r="B1535" s="800" t="s">
        <v>3751</v>
      </c>
      <c r="C1535" s="800" t="s">
        <v>3893</v>
      </c>
      <c r="D1535" s="800" t="s">
        <v>18692</v>
      </c>
      <c r="E1535" s="801">
        <v>43061</v>
      </c>
      <c r="F1535" s="800" t="s">
        <v>18643</v>
      </c>
      <c r="G1535" s="800" t="s">
        <v>32</v>
      </c>
      <c r="H1535" s="800" t="s">
        <v>10531</v>
      </c>
      <c r="I1535" s="800" t="s">
        <v>10531</v>
      </c>
      <c r="J1535" s="800" t="s">
        <v>10447</v>
      </c>
      <c r="K1535" s="800">
        <v>1</v>
      </c>
      <c r="L1535" s="802" t="s">
        <v>10398</v>
      </c>
      <c r="M1535" s="802" t="s">
        <v>32</v>
      </c>
      <c r="N1535" s="802" t="s">
        <v>18693</v>
      </c>
      <c r="O1535" s="802" t="s">
        <v>18694</v>
      </c>
      <c r="P1535" s="807" t="s">
        <v>18695</v>
      </c>
    </row>
    <row r="1536" spans="1:16" s="341" customFormat="1" ht="25.5" customHeight="1">
      <c r="A1536" s="806" t="s">
        <v>110</v>
      </c>
      <c r="B1536" s="800" t="s">
        <v>3751</v>
      </c>
      <c r="C1536" s="800" t="s">
        <v>3893</v>
      </c>
      <c r="D1536" s="800" t="s">
        <v>18696</v>
      </c>
      <c r="E1536" s="801">
        <v>43061</v>
      </c>
      <c r="F1536" s="800" t="s">
        <v>18643</v>
      </c>
      <c r="G1536" s="800" t="s">
        <v>32</v>
      </c>
      <c r="H1536" s="800" t="s">
        <v>10433</v>
      </c>
      <c r="I1536" s="800" t="s">
        <v>10433</v>
      </c>
      <c r="J1536" s="800" t="s">
        <v>10447</v>
      </c>
      <c r="K1536" s="800">
        <v>1</v>
      </c>
      <c r="L1536" s="802" t="s">
        <v>10398</v>
      </c>
      <c r="M1536" s="802" t="s">
        <v>18697</v>
      </c>
      <c r="N1536" s="802" t="s">
        <v>18698</v>
      </c>
      <c r="O1536" s="802" t="s">
        <v>18699</v>
      </c>
      <c r="P1536" s="807" t="s">
        <v>32</v>
      </c>
    </row>
    <row r="1537" spans="1:16" s="341" customFormat="1" ht="15" customHeight="1">
      <c r="A1537" s="806" t="s">
        <v>110</v>
      </c>
      <c r="B1537" s="800" t="s">
        <v>3751</v>
      </c>
      <c r="C1537" s="800" t="s">
        <v>3893</v>
      </c>
      <c r="D1537" s="800" t="s">
        <v>18700</v>
      </c>
      <c r="E1537" s="801">
        <v>43061</v>
      </c>
      <c r="F1537" s="800" t="s">
        <v>18643</v>
      </c>
      <c r="G1537" s="800" t="s">
        <v>32</v>
      </c>
      <c r="H1537" s="800" t="s">
        <v>10531</v>
      </c>
      <c r="I1537" s="800" t="s">
        <v>10531</v>
      </c>
      <c r="J1537" s="800" t="s">
        <v>10447</v>
      </c>
      <c r="K1537" s="800">
        <v>1</v>
      </c>
      <c r="L1537" s="802" t="s">
        <v>10398</v>
      </c>
      <c r="M1537" s="802" t="s">
        <v>18701</v>
      </c>
      <c r="N1537" s="802" t="s">
        <v>18702</v>
      </c>
      <c r="O1537" s="802" t="s">
        <v>18703</v>
      </c>
      <c r="P1537" s="807" t="s">
        <v>18704</v>
      </c>
    </row>
    <row r="1538" spans="1:16" s="341" customFormat="1" ht="15" customHeight="1">
      <c r="A1538" s="806" t="s">
        <v>110</v>
      </c>
      <c r="B1538" s="800" t="s">
        <v>3751</v>
      </c>
      <c r="C1538" s="800" t="s">
        <v>3893</v>
      </c>
      <c r="D1538" s="800" t="s">
        <v>18705</v>
      </c>
      <c r="E1538" s="801">
        <v>43061</v>
      </c>
      <c r="F1538" s="800" t="s">
        <v>18643</v>
      </c>
      <c r="G1538" s="800" t="s">
        <v>32</v>
      </c>
      <c r="H1538" s="800" t="s">
        <v>10531</v>
      </c>
      <c r="I1538" s="800" t="s">
        <v>10531</v>
      </c>
      <c r="J1538" s="800" t="s">
        <v>10447</v>
      </c>
      <c r="K1538" s="800">
        <v>1</v>
      </c>
      <c r="L1538" s="802" t="s">
        <v>10398</v>
      </c>
      <c r="M1538" s="802" t="s">
        <v>18706</v>
      </c>
      <c r="N1538" s="802" t="s">
        <v>11155</v>
      </c>
      <c r="O1538" s="802" t="s">
        <v>18707</v>
      </c>
      <c r="P1538" s="807" t="s">
        <v>18708</v>
      </c>
    </row>
    <row r="1539" spans="1:16" s="341" customFormat="1" ht="15" customHeight="1">
      <c r="A1539" s="806" t="s">
        <v>110</v>
      </c>
      <c r="B1539" s="800" t="s">
        <v>3751</v>
      </c>
      <c r="C1539" s="800" t="s">
        <v>3893</v>
      </c>
      <c r="D1539" s="800" t="s">
        <v>18709</v>
      </c>
      <c r="E1539" s="801">
        <v>43041</v>
      </c>
      <c r="F1539" s="800" t="s">
        <v>18643</v>
      </c>
      <c r="G1539" s="800" t="s">
        <v>32</v>
      </c>
      <c r="H1539" s="800" t="s">
        <v>10531</v>
      </c>
      <c r="I1539" s="800" t="s">
        <v>10531</v>
      </c>
      <c r="J1539" s="800" t="s">
        <v>10447</v>
      </c>
      <c r="K1539" s="800">
        <v>1</v>
      </c>
      <c r="L1539" s="802" t="s">
        <v>10398</v>
      </c>
      <c r="M1539" s="802" t="s">
        <v>18710</v>
      </c>
      <c r="N1539" s="802" t="s">
        <v>18711</v>
      </c>
      <c r="O1539" s="802" t="s">
        <v>18712</v>
      </c>
      <c r="P1539" s="807" t="s">
        <v>18713</v>
      </c>
    </row>
    <row r="1540" spans="1:16" s="341" customFormat="1" ht="15" customHeight="1">
      <c r="A1540" s="806" t="s">
        <v>110</v>
      </c>
      <c r="B1540" s="800" t="s">
        <v>3751</v>
      </c>
      <c r="C1540" s="800" t="s">
        <v>3893</v>
      </c>
      <c r="D1540" s="800" t="s">
        <v>18714</v>
      </c>
      <c r="E1540" s="801">
        <v>43061</v>
      </c>
      <c r="F1540" s="800" t="s">
        <v>18643</v>
      </c>
      <c r="G1540" s="800" t="s">
        <v>32</v>
      </c>
      <c r="H1540" s="800" t="s">
        <v>10531</v>
      </c>
      <c r="I1540" s="800" t="s">
        <v>10531</v>
      </c>
      <c r="J1540" s="800" t="s">
        <v>10447</v>
      </c>
      <c r="K1540" s="800">
        <v>1</v>
      </c>
      <c r="L1540" s="802" t="s">
        <v>10398</v>
      </c>
      <c r="M1540" s="802" t="s">
        <v>18715</v>
      </c>
      <c r="N1540" s="802" t="s">
        <v>18716</v>
      </c>
      <c r="O1540" s="802" t="s">
        <v>18712</v>
      </c>
      <c r="P1540" s="807" t="s">
        <v>18717</v>
      </c>
    </row>
    <row r="1541" spans="1:16" s="341" customFormat="1" ht="25.5" customHeight="1">
      <c r="A1541" s="806" t="s">
        <v>110</v>
      </c>
      <c r="B1541" s="800" t="s">
        <v>3751</v>
      </c>
      <c r="C1541" s="800" t="s">
        <v>3893</v>
      </c>
      <c r="D1541" s="800" t="s">
        <v>18718</v>
      </c>
      <c r="E1541" s="801">
        <v>43061</v>
      </c>
      <c r="F1541" s="800" t="s">
        <v>18643</v>
      </c>
      <c r="G1541" s="800" t="s">
        <v>32</v>
      </c>
      <c r="H1541" s="800" t="s">
        <v>10531</v>
      </c>
      <c r="I1541" s="800" t="s">
        <v>10531</v>
      </c>
      <c r="J1541" s="800" t="s">
        <v>10447</v>
      </c>
      <c r="K1541" s="800">
        <v>1</v>
      </c>
      <c r="L1541" s="802" t="s">
        <v>10398</v>
      </c>
      <c r="M1541" s="802"/>
      <c r="N1541" s="802" t="s">
        <v>18719</v>
      </c>
      <c r="O1541" s="802" t="s">
        <v>18720</v>
      </c>
      <c r="P1541" s="807" t="s">
        <v>18717</v>
      </c>
    </row>
    <row r="1542" spans="1:16" s="341" customFormat="1" ht="25.5" customHeight="1">
      <c r="A1542" s="806" t="s">
        <v>110</v>
      </c>
      <c r="B1542" s="800" t="s">
        <v>3751</v>
      </c>
      <c r="C1542" s="800" t="s">
        <v>3893</v>
      </c>
      <c r="D1542" s="800" t="s">
        <v>18721</v>
      </c>
      <c r="E1542" s="801">
        <v>43061</v>
      </c>
      <c r="F1542" s="800" t="s">
        <v>18643</v>
      </c>
      <c r="G1542" s="800" t="s">
        <v>18722</v>
      </c>
      <c r="H1542" s="800" t="s">
        <v>10531</v>
      </c>
      <c r="I1542" s="800" t="s">
        <v>10531</v>
      </c>
      <c r="J1542" s="800" t="s">
        <v>10447</v>
      </c>
      <c r="K1542" s="800">
        <v>2</v>
      </c>
      <c r="L1542" s="802" t="s">
        <v>10398</v>
      </c>
      <c r="M1542" s="802" t="s">
        <v>18723</v>
      </c>
      <c r="N1542" s="802" t="s">
        <v>10967</v>
      </c>
      <c r="O1542" s="802" t="s">
        <v>18724</v>
      </c>
      <c r="P1542" s="807" t="s">
        <v>18725</v>
      </c>
    </row>
    <row r="1543" spans="1:16" s="341" customFormat="1" ht="25.5" customHeight="1">
      <c r="A1543" s="806" t="s">
        <v>110</v>
      </c>
      <c r="B1543" s="800" t="s">
        <v>3751</v>
      </c>
      <c r="C1543" s="800" t="s">
        <v>3893</v>
      </c>
      <c r="D1543" s="800" t="s">
        <v>18721</v>
      </c>
      <c r="E1543" s="801">
        <v>43061</v>
      </c>
      <c r="F1543" s="800" t="s">
        <v>18643</v>
      </c>
      <c r="G1543" s="800" t="s">
        <v>18722</v>
      </c>
      <c r="H1543" s="800" t="s">
        <v>10531</v>
      </c>
      <c r="I1543" s="800" t="s">
        <v>10531</v>
      </c>
      <c r="J1543" s="800" t="s">
        <v>10447</v>
      </c>
      <c r="K1543" s="800">
        <v>2</v>
      </c>
      <c r="L1543" s="802" t="s">
        <v>10398</v>
      </c>
      <c r="M1543" s="802" t="s">
        <v>18726</v>
      </c>
      <c r="N1543" s="802" t="s">
        <v>18727</v>
      </c>
      <c r="O1543" s="802" t="s">
        <v>18720</v>
      </c>
      <c r="P1543" s="807" t="s">
        <v>18725</v>
      </c>
    </row>
    <row r="1544" spans="1:16" s="341" customFormat="1" ht="25.5">
      <c r="A1544" s="806" t="s">
        <v>110</v>
      </c>
      <c r="B1544" s="800" t="s">
        <v>3751</v>
      </c>
      <c r="C1544" s="800" t="s">
        <v>3893</v>
      </c>
      <c r="D1544" s="800" t="s">
        <v>18728</v>
      </c>
      <c r="E1544" s="801">
        <v>43061</v>
      </c>
      <c r="F1544" s="800" t="s">
        <v>18643</v>
      </c>
      <c r="G1544" s="800" t="s">
        <v>18729</v>
      </c>
      <c r="H1544" s="800" t="s">
        <v>10531</v>
      </c>
      <c r="I1544" s="800" t="s">
        <v>10531</v>
      </c>
      <c r="J1544" s="800" t="s">
        <v>10447</v>
      </c>
      <c r="K1544" s="800">
        <v>1</v>
      </c>
      <c r="L1544" s="802" t="s">
        <v>10398</v>
      </c>
      <c r="M1544" s="802" t="s">
        <v>18730</v>
      </c>
      <c r="N1544" s="802" t="s">
        <v>11404</v>
      </c>
      <c r="O1544" s="802" t="s">
        <v>18731</v>
      </c>
      <c r="P1544" s="807" t="s">
        <v>18732</v>
      </c>
    </row>
    <row r="1545" spans="1:16" s="341" customFormat="1" ht="25.5" customHeight="1">
      <c r="A1545" s="806" t="s">
        <v>110</v>
      </c>
      <c r="B1545" s="800" t="s">
        <v>3751</v>
      </c>
      <c r="C1545" s="800" t="s">
        <v>3893</v>
      </c>
      <c r="D1545" s="800" t="s">
        <v>18733</v>
      </c>
      <c r="E1545" s="801">
        <v>43061</v>
      </c>
      <c r="F1545" s="800" t="s">
        <v>18643</v>
      </c>
      <c r="G1545" s="800" t="s">
        <v>18734</v>
      </c>
      <c r="H1545" s="800" t="s">
        <v>10531</v>
      </c>
      <c r="I1545" s="800" t="s">
        <v>10531</v>
      </c>
      <c r="J1545" s="800" t="s">
        <v>10447</v>
      </c>
      <c r="K1545" s="800">
        <v>1</v>
      </c>
      <c r="L1545" s="802" t="s">
        <v>10398</v>
      </c>
      <c r="M1545" s="802" t="s">
        <v>32</v>
      </c>
      <c r="N1545" s="802" t="s">
        <v>18735</v>
      </c>
      <c r="O1545" s="802" t="s">
        <v>18736</v>
      </c>
      <c r="P1545" s="807" t="s">
        <v>18737</v>
      </c>
    </row>
    <row r="1546" spans="1:16" s="341" customFormat="1" ht="15" customHeight="1">
      <c r="A1546" s="806" t="s">
        <v>110</v>
      </c>
      <c r="B1546" s="800" t="s">
        <v>3751</v>
      </c>
      <c r="C1546" s="800" t="s">
        <v>3893</v>
      </c>
      <c r="D1546" s="800" t="s">
        <v>18738</v>
      </c>
      <c r="E1546" s="801">
        <v>43061</v>
      </c>
      <c r="F1546" s="800" t="s">
        <v>18643</v>
      </c>
      <c r="G1546" s="800" t="s">
        <v>18739</v>
      </c>
      <c r="H1546" s="800" t="s">
        <v>10396</v>
      </c>
      <c r="I1546" s="800" t="s">
        <v>10396</v>
      </c>
      <c r="J1546" s="800" t="s">
        <v>10405</v>
      </c>
      <c r="K1546" s="800">
        <v>1</v>
      </c>
      <c r="L1546" s="802" t="s">
        <v>10398</v>
      </c>
      <c r="M1546" s="802" t="s">
        <v>18740</v>
      </c>
      <c r="N1546" s="802" t="s">
        <v>14140</v>
      </c>
      <c r="O1546" s="802" t="s">
        <v>18741</v>
      </c>
      <c r="P1546" s="807" t="s">
        <v>18742</v>
      </c>
    </row>
    <row r="1547" spans="1:16" s="341" customFormat="1" ht="25.5" customHeight="1">
      <c r="A1547" s="806" t="s">
        <v>110</v>
      </c>
      <c r="B1547" s="800" t="s">
        <v>3751</v>
      </c>
      <c r="C1547" s="800" t="s">
        <v>3893</v>
      </c>
      <c r="D1547" s="800" t="s">
        <v>18743</v>
      </c>
      <c r="E1547" s="801">
        <v>43061</v>
      </c>
      <c r="F1547" s="800" t="s">
        <v>18643</v>
      </c>
      <c r="G1547" s="800" t="s">
        <v>18744</v>
      </c>
      <c r="H1547" s="800" t="s">
        <v>10396</v>
      </c>
      <c r="I1547" s="800" t="s">
        <v>10396</v>
      </c>
      <c r="J1547" s="800" t="s">
        <v>10447</v>
      </c>
      <c r="K1547" s="800">
        <v>1</v>
      </c>
      <c r="L1547" s="802" t="s">
        <v>10398</v>
      </c>
      <c r="M1547" s="802" t="s">
        <v>18745</v>
      </c>
      <c r="N1547" s="802" t="s">
        <v>14580</v>
      </c>
      <c r="O1547" s="802" t="s">
        <v>18741</v>
      </c>
      <c r="P1547" s="807" t="s">
        <v>18746</v>
      </c>
    </row>
    <row r="1548" spans="1:16" s="341" customFormat="1" ht="25.5" customHeight="1">
      <c r="A1548" s="806" t="s">
        <v>110</v>
      </c>
      <c r="B1548" s="800" t="s">
        <v>3751</v>
      </c>
      <c r="C1548" s="800" t="s">
        <v>3893</v>
      </c>
      <c r="D1548" s="800" t="s">
        <v>18747</v>
      </c>
      <c r="E1548" s="801">
        <v>43061</v>
      </c>
      <c r="F1548" s="800" t="s">
        <v>18643</v>
      </c>
      <c r="G1548" s="800" t="s">
        <v>32</v>
      </c>
      <c r="H1548" s="800" t="s">
        <v>10396</v>
      </c>
      <c r="I1548" s="800" t="s">
        <v>10396</v>
      </c>
      <c r="J1548" s="800" t="s">
        <v>10447</v>
      </c>
      <c r="K1548" s="800">
        <v>1</v>
      </c>
      <c r="L1548" s="802" t="s">
        <v>10398</v>
      </c>
      <c r="M1548" s="802" t="s">
        <v>18748</v>
      </c>
      <c r="N1548" s="802" t="s">
        <v>18749</v>
      </c>
      <c r="O1548" s="802" t="s">
        <v>18750</v>
      </c>
      <c r="P1548" s="807" t="s">
        <v>32</v>
      </c>
    </row>
    <row r="1549" spans="1:16" s="341" customFormat="1" ht="25.5" customHeight="1">
      <c r="A1549" s="806" t="s">
        <v>110</v>
      </c>
      <c r="B1549" s="800" t="s">
        <v>3751</v>
      </c>
      <c r="C1549" s="800" t="s">
        <v>3893</v>
      </c>
      <c r="D1549" s="800" t="s">
        <v>18751</v>
      </c>
      <c r="E1549" s="801">
        <v>43061</v>
      </c>
      <c r="F1549" s="800" t="s">
        <v>18643</v>
      </c>
      <c r="G1549" s="800" t="s">
        <v>18752</v>
      </c>
      <c r="H1549" s="800" t="s">
        <v>10531</v>
      </c>
      <c r="I1549" s="800" t="s">
        <v>10531</v>
      </c>
      <c r="J1549" s="800" t="s">
        <v>10447</v>
      </c>
      <c r="K1549" s="800">
        <v>1</v>
      </c>
      <c r="L1549" s="802" t="s">
        <v>10398</v>
      </c>
      <c r="M1549" s="802" t="s">
        <v>18753</v>
      </c>
      <c r="N1549" s="802" t="s">
        <v>18754</v>
      </c>
      <c r="O1549" s="802" t="s">
        <v>11579</v>
      </c>
      <c r="P1549" s="807" t="s">
        <v>18755</v>
      </c>
    </row>
    <row r="1550" spans="1:16" s="341" customFormat="1" ht="15" customHeight="1">
      <c r="A1550" s="806" t="s">
        <v>110</v>
      </c>
      <c r="B1550" s="800" t="s">
        <v>3751</v>
      </c>
      <c r="C1550" s="800" t="s">
        <v>3893</v>
      </c>
      <c r="D1550" s="800" t="s">
        <v>18756</v>
      </c>
      <c r="E1550" s="801">
        <v>43061</v>
      </c>
      <c r="F1550" s="800" t="s">
        <v>18643</v>
      </c>
      <c r="G1550" s="800" t="s">
        <v>18757</v>
      </c>
      <c r="H1550" s="800" t="s">
        <v>10396</v>
      </c>
      <c r="I1550" s="800" t="s">
        <v>10396</v>
      </c>
      <c r="J1550" s="800" t="s">
        <v>10447</v>
      </c>
      <c r="K1550" s="800">
        <v>1</v>
      </c>
      <c r="L1550" s="802" t="s">
        <v>10398</v>
      </c>
      <c r="M1550" s="802" t="s">
        <v>18758</v>
      </c>
      <c r="N1550" s="802" t="s">
        <v>18759</v>
      </c>
      <c r="O1550" s="802" t="s">
        <v>18741</v>
      </c>
      <c r="P1550" s="807" t="s">
        <v>32</v>
      </c>
    </row>
    <row r="1551" spans="1:16" s="341" customFormat="1" ht="25.5" customHeight="1">
      <c r="A1551" s="806" t="s">
        <v>110</v>
      </c>
      <c r="B1551" s="800" t="s">
        <v>3751</v>
      </c>
      <c r="C1551" s="800" t="s">
        <v>3893</v>
      </c>
      <c r="D1551" s="800" t="s">
        <v>18760</v>
      </c>
      <c r="E1551" s="801">
        <v>43061</v>
      </c>
      <c r="F1551" s="800" t="s">
        <v>18643</v>
      </c>
      <c r="G1551" s="800" t="s">
        <v>18761</v>
      </c>
      <c r="H1551" s="800" t="s">
        <v>10531</v>
      </c>
      <c r="I1551" s="800" t="s">
        <v>10531</v>
      </c>
      <c r="J1551" s="800" t="s">
        <v>10447</v>
      </c>
      <c r="K1551" s="800">
        <v>1</v>
      </c>
      <c r="L1551" s="802" t="s">
        <v>10398</v>
      </c>
      <c r="M1551" s="802" t="s">
        <v>18762</v>
      </c>
      <c r="N1551" s="802" t="s">
        <v>12803</v>
      </c>
      <c r="O1551" s="802" t="s">
        <v>18763</v>
      </c>
      <c r="P1551" s="807" t="s">
        <v>18764</v>
      </c>
    </row>
    <row r="1552" spans="1:16" s="341" customFormat="1" ht="25.5" customHeight="1">
      <c r="A1552" s="806" t="s">
        <v>110</v>
      </c>
      <c r="B1552" s="800" t="s">
        <v>3751</v>
      </c>
      <c r="C1552" s="800" t="s">
        <v>3893</v>
      </c>
      <c r="D1552" s="800" t="s">
        <v>18765</v>
      </c>
      <c r="E1552" s="801">
        <v>43061</v>
      </c>
      <c r="F1552" s="800" t="s">
        <v>18643</v>
      </c>
      <c r="G1552" s="800" t="s">
        <v>32</v>
      </c>
      <c r="H1552" s="800" t="s">
        <v>10531</v>
      </c>
      <c r="I1552" s="800" t="s">
        <v>10531</v>
      </c>
      <c r="J1552" s="800" t="s">
        <v>10447</v>
      </c>
      <c r="K1552" s="800">
        <v>1</v>
      </c>
      <c r="L1552" s="802" t="s">
        <v>10398</v>
      </c>
      <c r="M1552" s="802" t="s">
        <v>18753</v>
      </c>
      <c r="N1552" s="802" t="s">
        <v>18754</v>
      </c>
      <c r="O1552" s="802" t="s">
        <v>11579</v>
      </c>
      <c r="P1552" s="807" t="s">
        <v>18755</v>
      </c>
    </row>
    <row r="1553" spans="1:16" s="341" customFormat="1" ht="25.5">
      <c r="A1553" s="806" t="s">
        <v>110</v>
      </c>
      <c r="B1553" s="800" t="s">
        <v>3751</v>
      </c>
      <c r="C1553" s="800" t="s">
        <v>3893</v>
      </c>
      <c r="D1553" s="800" t="s">
        <v>18766</v>
      </c>
      <c r="E1553" s="801">
        <v>43061</v>
      </c>
      <c r="F1553" s="800" t="s">
        <v>18643</v>
      </c>
      <c r="G1553" s="800" t="s">
        <v>32</v>
      </c>
      <c r="H1553" s="800" t="s">
        <v>10531</v>
      </c>
      <c r="I1553" s="800" t="s">
        <v>10531</v>
      </c>
      <c r="J1553" s="800" t="s">
        <v>10447</v>
      </c>
      <c r="K1553" s="800">
        <v>1</v>
      </c>
      <c r="L1553" s="802" t="s">
        <v>10398</v>
      </c>
      <c r="M1553" s="802" t="s">
        <v>18767</v>
      </c>
      <c r="N1553" s="802" t="s">
        <v>18768</v>
      </c>
      <c r="O1553" s="802" t="s">
        <v>18769</v>
      </c>
      <c r="P1553" s="807" t="s">
        <v>18770</v>
      </c>
    </row>
    <row r="1554" spans="1:16" s="341" customFormat="1" ht="25.5" customHeight="1">
      <c r="A1554" s="806" t="s">
        <v>110</v>
      </c>
      <c r="B1554" s="800" t="s">
        <v>3751</v>
      </c>
      <c r="C1554" s="800" t="s">
        <v>3893</v>
      </c>
      <c r="D1554" s="800" t="s">
        <v>18771</v>
      </c>
      <c r="E1554" s="801">
        <v>43061</v>
      </c>
      <c r="F1554" s="800" t="s">
        <v>18643</v>
      </c>
      <c r="G1554" s="800" t="s">
        <v>32</v>
      </c>
      <c r="H1554" s="800" t="s">
        <v>10531</v>
      </c>
      <c r="I1554" s="800" t="s">
        <v>10531</v>
      </c>
      <c r="J1554" s="800" t="s">
        <v>10447</v>
      </c>
      <c r="K1554" s="800">
        <v>1</v>
      </c>
      <c r="L1554" s="802" t="s">
        <v>10398</v>
      </c>
      <c r="M1554" s="802" t="s">
        <v>18772</v>
      </c>
      <c r="N1554" s="802" t="s">
        <v>18773</v>
      </c>
      <c r="O1554" s="802" t="s">
        <v>18769</v>
      </c>
      <c r="P1554" s="807" t="s">
        <v>32</v>
      </c>
    </row>
    <row r="1555" spans="1:16" s="341" customFormat="1" ht="25.5" customHeight="1">
      <c r="A1555" s="806" t="s">
        <v>110</v>
      </c>
      <c r="B1555" s="800" t="s">
        <v>3751</v>
      </c>
      <c r="C1555" s="800" t="s">
        <v>3893</v>
      </c>
      <c r="D1555" s="800" t="s">
        <v>18774</v>
      </c>
      <c r="E1555" s="801">
        <v>43061</v>
      </c>
      <c r="F1555" s="800" t="s">
        <v>18643</v>
      </c>
      <c r="G1555" s="800" t="s">
        <v>32</v>
      </c>
      <c r="H1555" s="800" t="s">
        <v>10531</v>
      </c>
      <c r="I1555" s="800" t="s">
        <v>10531</v>
      </c>
      <c r="J1555" s="800" t="s">
        <v>10447</v>
      </c>
      <c r="K1555" s="800">
        <v>2</v>
      </c>
      <c r="L1555" s="802" t="s">
        <v>10398</v>
      </c>
      <c r="M1555" s="802" t="s">
        <v>18775</v>
      </c>
      <c r="N1555" s="802" t="s">
        <v>18776</v>
      </c>
      <c r="O1555" s="802" t="s">
        <v>18777</v>
      </c>
      <c r="P1555" s="807" t="s">
        <v>18778</v>
      </c>
    </row>
    <row r="1556" spans="1:16" s="341" customFormat="1" ht="25.5">
      <c r="A1556" s="806" t="s">
        <v>110</v>
      </c>
      <c r="B1556" s="800" t="s">
        <v>3751</v>
      </c>
      <c r="C1556" s="800" t="s">
        <v>3893</v>
      </c>
      <c r="D1556" s="800" t="s">
        <v>18774</v>
      </c>
      <c r="E1556" s="801">
        <v>43061</v>
      </c>
      <c r="F1556" s="800" t="s">
        <v>18643</v>
      </c>
      <c r="G1556" s="800" t="s">
        <v>32</v>
      </c>
      <c r="H1556" s="800" t="s">
        <v>10531</v>
      </c>
      <c r="I1556" s="800" t="s">
        <v>10531</v>
      </c>
      <c r="J1556" s="800" t="s">
        <v>10447</v>
      </c>
      <c r="K1556" s="800">
        <v>2</v>
      </c>
      <c r="L1556" s="802" t="s">
        <v>10398</v>
      </c>
      <c r="M1556" s="802" t="s">
        <v>18779</v>
      </c>
      <c r="N1556" s="802" t="s">
        <v>18780</v>
      </c>
      <c r="O1556" s="802" t="s">
        <v>18781</v>
      </c>
      <c r="P1556" s="807" t="s">
        <v>18778</v>
      </c>
    </row>
    <row r="1557" spans="1:16" s="341" customFormat="1" ht="15" customHeight="1">
      <c r="A1557" s="806" t="s">
        <v>110</v>
      </c>
      <c r="B1557" s="800" t="s">
        <v>3751</v>
      </c>
      <c r="C1557" s="800" t="s">
        <v>3893</v>
      </c>
      <c r="D1557" s="800" t="s">
        <v>18782</v>
      </c>
      <c r="E1557" s="801">
        <v>43061</v>
      </c>
      <c r="F1557" s="800" t="s">
        <v>10195</v>
      </c>
      <c r="G1557" s="800" t="s">
        <v>32</v>
      </c>
      <c r="H1557" s="800" t="s">
        <v>10433</v>
      </c>
      <c r="I1557" s="800" t="s">
        <v>10433</v>
      </c>
      <c r="J1557" s="800" t="s">
        <v>10447</v>
      </c>
      <c r="K1557" s="800">
        <v>1</v>
      </c>
      <c r="L1557" s="802" t="s">
        <v>10398</v>
      </c>
      <c r="M1557" s="802" t="s">
        <v>18783</v>
      </c>
      <c r="N1557" s="802" t="s">
        <v>18784</v>
      </c>
      <c r="O1557" s="802" t="s">
        <v>18785</v>
      </c>
      <c r="P1557" s="807" t="s">
        <v>18786</v>
      </c>
    </row>
    <row r="1558" spans="1:16" s="341" customFormat="1" ht="25.5">
      <c r="A1558" s="806" t="s">
        <v>110</v>
      </c>
      <c r="B1558" s="800" t="s">
        <v>3751</v>
      </c>
      <c r="C1558" s="800" t="s">
        <v>3893</v>
      </c>
      <c r="D1558" s="800" t="s">
        <v>18787</v>
      </c>
      <c r="E1558" s="801">
        <v>43061</v>
      </c>
      <c r="F1558" s="800" t="s">
        <v>10195</v>
      </c>
      <c r="G1558" s="800" t="s">
        <v>32</v>
      </c>
      <c r="H1558" s="800" t="s">
        <v>10531</v>
      </c>
      <c r="I1558" s="800" t="s">
        <v>10531</v>
      </c>
      <c r="J1558" s="800" t="s">
        <v>10447</v>
      </c>
      <c r="K1558" s="800">
        <v>1</v>
      </c>
      <c r="L1558" s="802" t="s">
        <v>10398</v>
      </c>
      <c r="M1558" s="802" t="s">
        <v>18788</v>
      </c>
      <c r="N1558" s="802" t="s">
        <v>18789</v>
      </c>
      <c r="O1558" s="802" t="s">
        <v>18790</v>
      </c>
      <c r="P1558" s="807" t="s">
        <v>32</v>
      </c>
    </row>
    <row r="1559" spans="1:16" s="341" customFormat="1" ht="25.5">
      <c r="A1559" s="806" t="s">
        <v>110</v>
      </c>
      <c r="B1559" s="800" t="s">
        <v>3751</v>
      </c>
      <c r="C1559" s="800" t="s">
        <v>3893</v>
      </c>
      <c r="D1559" s="800" t="s">
        <v>18791</v>
      </c>
      <c r="E1559" s="801">
        <v>43061</v>
      </c>
      <c r="F1559" s="800" t="s">
        <v>10195</v>
      </c>
      <c r="G1559" s="800" t="s">
        <v>18792</v>
      </c>
      <c r="H1559" s="800" t="s">
        <v>10531</v>
      </c>
      <c r="I1559" s="800" t="s">
        <v>10531</v>
      </c>
      <c r="J1559" s="800" t="s">
        <v>10447</v>
      </c>
      <c r="K1559" s="800">
        <v>1</v>
      </c>
      <c r="L1559" s="802" t="s">
        <v>10398</v>
      </c>
      <c r="M1559" s="802" t="s">
        <v>18793</v>
      </c>
      <c r="N1559" s="802" t="s">
        <v>18794</v>
      </c>
      <c r="O1559" s="802" t="s">
        <v>18785</v>
      </c>
      <c r="P1559" s="807" t="s">
        <v>18795</v>
      </c>
    </row>
    <row r="1560" spans="1:16" s="341" customFormat="1" ht="15">
      <c r="A1560" s="806" t="s">
        <v>110</v>
      </c>
      <c r="B1560" s="800" t="s">
        <v>3751</v>
      </c>
      <c r="C1560" s="800" t="s">
        <v>3893</v>
      </c>
      <c r="D1560" s="800" t="s">
        <v>18796</v>
      </c>
      <c r="E1560" s="801">
        <v>43061</v>
      </c>
      <c r="F1560" s="800" t="s">
        <v>10195</v>
      </c>
      <c r="G1560" s="800" t="s">
        <v>32</v>
      </c>
      <c r="H1560" s="800" t="s">
        <v>10433</v>
      </c>
      <c r="I1560" s="800" t="s">
        <v>10433</v>
      </c>
      <c r="J1560" s="800" t="s">
        <v>10447</v>
      </c>
      <c r="K1560" s="800">
        <v>1</v>
      </c>
      <c r="L1560" s="802" t="s">
        <v>10398</v>
      </c>
      <c r="M1560" s="802" t="s">
        <v>18797</v>
      </c>
      <c r="N1560" s="802" t="s">
        <v>12532</v>
      </c>
      <c r="O1560" s="802" t="s">
        <v>18798</v>
      </c>
      <c r="P1560" s="807" t="s">
        <v>32</v>
      </c>
    </row>
    <row r="1561" spans="1:16" s="341" customFormat="1" ht="25.5">
      <c r="A1561" s="806" t="s">
        <v>110</v>
      </c>
      <c r="B1561" s="800" t="s">
        <v>3751</v>
      </c>
      <c r="C1561" s="800" t="s">
        <v>3893</v>
      </c>
      <c r="D1561" s="800" t="s">
        <v>18799</v>
      </c>
      <c r="E1561" s="801">
        <v>43061</v>
      </c>
      <c r="F1561" s="800" t="s">
        <v>10195</v>
      </c>
      <c r="G1561" s="800" t="s">
        <v>32</v>
      </c>
      <c r="H1561" s="800" t="s">
        <v>10531</v>
      </c>
      <c r="I1561" s="800" t="s">
        <v>10531</v>
      </c>
      <c r="J1561" s="800" t="s">
        <v>10447</v>
      </c>
      <c r="K1561" s="800">
        <v>1</v>
      </c>
      <c r="L1561" s="802" t="s">
        <v>10398</v>
      </c>
      <c r="M1561" s="802" t="s">
        <v>18800</v>
      </c>
      <c r="N1561" s="802" t="s">
        <v>18801</v>
      </c>
      <c r="O1561" s="802" t="s">
        <v>18785</v>
      </c>
      <c r="P1561" s="807" t="s">
        <v>18795</v>
      </c>
    </row>
    <row r="1562" spans="1:16" s="341" customFormat="1" ht="25.5">
      <c r="A1562" s="806" t="s">
        <v>110</v>
      </c>
      <c r="B1562" s="800" t="s">
        <v>3751</v>
      </c>
      <c r="C1562" s="800" t="s">
        <v>3893</v>
      </c>
      <c r="D1562" s="800" t="s">
        <v>18802</v>
      </c>
      <c r="E1562" s="801">
        <v>43061</v>
      </c>
      <c r="F1562" s="800" t="s">
        <v>10195</v>
      </c>
      <c r="G1562" s="800" t="s">
        <v>32</v>
      </c>
      <c r="H1562" s="800" t="s">
        <v>10531</v>
      </c>
      <c r="I1562" s="800" t="s">
        <v>10531</v>
      </c>
      <c r="J1562" s="800" t="s">
        <v>10447</v>
      </c>
      <c r="K1562" s="800">
        <v>1</v>
      </c>
      <c r="L1562" s="802" t="s">
        <v>10398</v>
      </c>
      <c r="M1562" s="802" t="s">
        <v>18803</v>
      </c>
      <c r="N1562" s="802" t="s">
        <v>18804</v>
      </c>
      <c r="O1562" s="802" t="s">
        <v>18805</v>
      </c>
      <c r="P1562" s="807" t="s">
        <v>18806</v>
      </c>
    </row>
    <row r="1563" spans="1:16" s="341" customFormat="1" ht="25.5" customHeight="1">
      <c r="A1563" s="806" t="s">
        <v>110</v>
      </c>
      <c r="B1563" s="800" t="s">
        <v>3751</v>
      </c>
      <c r="C1563" s="800" t="s">
        <v>3893</v>
      </c>
      <c r="D1563" s="800" t="s">
        <v>18807</v>
      </c>
      <c r="E1563" s="801">
        <v>43061</v>
      </c>
      <c r="F1563" s="800" t="s">
        <v>10195</v>
      </c>
      <c r="G1563" s="800" t="s">
        <v>32</v>
      </c>
      <c r="H1563" s="800" t="s">
        <v>10531</v>
      </c>
      <c r="I1563" s="800" t="s">
        <v>10531</v>
      </c>
      <c r="J1563" s="800" t="s">
        <v>10447</v>
      </c>
      <c r="K1563" s="800">
        <v>1</v>
      </c>
      <c r="L1563" s="802" t="s">
        <v>10398</v>
      </c>
      <c r="M1563" s="802" t="s">
        <v>18808</v>
      </c>
      <c r="N1563" s="802" t="s">
        <v>4203</v>
      </c>
      <c r="O1563" s="802" t="s">
        <v>18809</v>
      </c>
      <c r="P1563" s="807" t="s">
        <v>32</v>
      </c>
    </row>
    <row r="1564" spans="1:16" s="341" customFormat="1" ht="25.5" customHeight="1">
      <c r="A1564" s="806" t="s">
        <v>110</v>
      </c>
      <c r="B1564" s="800" t="s">
        <v>3751</v>
      </c>
      <c r="C1564" s="800" t="s">
        <v>3893</v>
      </c>
      <c r="D1564" s="800" t="s">
        <v>18810</v>
      </c>
      <c r="E1564" s="801">
        <v>43061</v>
      </c>
      <c r="F1564" s="800" t="s">
        <v>10195</v>
      </c>
      <c r="G1564" s="800" t="s">
        <v>18811</v>
      </c>
      <c r="H1564" s="800" t="s">
        <v>10531</v>
      </c>
      <c r="I1564" s="800" t="s">
        <v>10531</v>
      </c>
      <c r="J1564" s="800" t="s">
        <v>10447</v>
      </c>
      <c r="K1564" s="800">
        <v>1</v>
      </c>
      <c r="L1564" s="802" t="s">
        <v>10398</v>
      </c>
      <c r="M1564" s="802" t="s">
        <v>32</v>
      </c>
      <c r="N1564" s="802" t="s">
        <v>11952</v>
      </c>
      <c r="O1564" s="802" t="s">
        <v>32</v>
      </c>
      <c r="P1564" s="807" t="s">
        <v>18812</v>
      </c>
    </row>
    <row r="1565" spans="1:16" s="341" customFormat="1" ht="15" customHeight="1">
      <c r="A1565" s="806" t="s">
        <v>110</v>
      </c>
      <c r="B1565" s="800" t="s">
        <v>3751</v>
      </c>
      <c r="C1565" s="800" t="s">
        <v>3893</v>
      </c>
      <c r="D1565" s="800" t="s">
        <v>18813</v>
      </c>
      <c r="E1565" s="801">
        <v>43061</v>
      </c>
      <c r="F1565" s="800" t="s">
        <v>10195</v>
      </c>
      <c r="G1565" s="800" t="s">
        <v>18811</v>
      </c>
      <c r="H1565" s="800" t="s">
        <v>10531</v>
      </c>
      <c r="I1565" s="800" t="s">
        <v>10531</v>
      </c>
      <c r="J1565" s="800" t="s">
        <v>10447</v>
      </c>
      <c r="K1565" s="800">
        <v>1</v>
      </c>
      <c r="L1565" s="802" t="s">
        <v>10398</v>
      </c>
      <c r="M1565" s="802" t="s">
        <v>18814</v>
      </c>
      <c r="N1565" s="802" t="s">
        <v>18815</v>
      </c>
      <c r="O1565" s="802" t="s">
        <v>18816</v>
      </c>
      <c r="P1565" s="807" t="s">
        <v>18817</v>
      </c>
    </row>
    <row r="1566" spans="1:16" s="341" customFormat="1" ht="15" customHeight="1">
      <c r="A1566" s="806" t="s">
        <v>110</v>
      </c>
      <c r="B1566" s="800" t="s">
        <v>3751</v>
      </c>
      <c r="C1566" s="800" t="s">
        <v>3893</v>
      </c>
      <c r="D1566" s="800" t="s">
        <v>18818</v>
      </c>
      <c r="E1566" s="801">
        <v>43061</v>
      </c>
      <c r="F1566" s="800" t="s">
        <v>10195</v>
      </c>
      <c r="G1566" s="800" t="s">
        <v>18819</v>
      </c>
      <c r="H1566" s="800" t="s">
        <v>10433</v>
      </c>
      <c r="I1566" s="800" t="s">
        <v>10433</v>
      </c>
      <c r="J1566" s="800" t="s">
        <v>10447</v>
      </c>
      <c r="K1566" s="800">
        <v>1</v>
      </c>
      <c r="L1566" s="802" t="s">
        <v>10398</v>
      </c>
      <c r="M1566" s="802" t="s">
        <v>18820</v>
      </c>
      <c r="N1566" s="802" t="s">
        <v>18821</v>
      </c>
      <c r="O1566" s="802" t="s">
        <v>18822</v>
      </c>
      <c r="P1566" s="807" t="s">
        <v>18823</v>
      </c>
    </row>
    <row r="1567" spans="1:16" s="341" customFormat="1" ht="15" customHeight="1">
      <c r="A1567" s="806" t="s">
        <v>110</v>
      </c>
      <c r="B1567" s="800" t="s">
        <v>3751</v>
      </c>
      <c r="C1567" s="800" t="s">
        <v>3893</v>
      </c>
      <c r="D1567" s="800" t="s">
        <v>18824</v>
      </c>
      <c r="E1567" s="801">
        <v>43061</v>
      </c>
      <c r="F1567" s="800" t="s">
        <v>3929</v>
      </c>
      <c r="G1567" s="800" t="s">
        <v>18825</v>
      </c>
      <c r="H1567" s="800" t="s">
        <v>10433</v>
      </c>
      <c r="I1567" s="800" t="s">
        <v>10433</v>
      </c>
      <c r="J1567" s="800" t="s">
        <v>10447</v>
      </c>
      <c r="K1567" s="800">
        <v>1</v>
      </c>
      <c r="L1567" s="802" t="s">
        <v>10398</v>
      </c>
      <c r="M1567" s="802" t="s">
        <v>18826</v>
      </c>
      <c r="N1567" s="802" t="s">
        <v>14977</v>
      </c>
      <c r="O1567" s="802" t="s">
        <v>18827</v>
      </c>
      <c r="P1567" s="807" t="s">
        <v>18828</v>
      </c>
    </row>
    <row r="1568" spans="1:16" s="341" customFormat="1" ht="15" customHeight="1">
      <c r="A1568" s="806" t="s">
        <v>110</v>
      </c>
      <c r="B1568" s="800" t="s">
        <v>3751</v>
      </c>
      <c r="C1568" s="800" t="s">
        <v>3893</v>
      </c>
      <c r="D1568" s="800" t="s">
        <v>18829</v>
      </c>
      <c r="E1568" s="801">
        <v>43061</v>
      </c>
      <c r="F1568" s="800" t="s">
        <v>3929</v>
      </c>
      <c r="G1568" s="800" t="s">
        <v>18830</v>
      </c>
      <c r="H1568" s="800" t="s">
        <v>10433</v>
      </c>
      <c r="I1568" s="800" t="s">
        <v>10433</v>
      </c>
      <c r="J1568" s="800" t="s">
        <v>10447</v>
      </c>
      <c r="K1568" s="800">
        <v>1</v>
      </c>
      <c r="L1568" s="802" t="s">
        <v>10398</v>
      </c>
      <c r="M1568" s="802" t="s">
        <v>18831</v>
      </c>
      <c r="N1568" s="802" t="s">
        <v>18832</v>
      </c>
      <c r="O1568" s="802" t="s">
        <v>18833</v>
      </c>
      <c r="P1568" s="807" t="s">
        <v>32</v>
      </c>
    </row>
    <row r="1569" spans="1:16" s="341" customFormat="1" ht="15" customHeight="1">
      <c r="A1569" s="806" t="s">
        <v>110</v>
      </c>
      <c r="B1569" s="800" t="s">
        <v>3751</v>
      </c>
      <c r="C1569" s="800" t="s">
        <v>3893</v>
      </c>
      <c r="D1569" s="800" t="s">
        <v>18834</v>
      </c>
      <c r="E1569" s="801">
        <v>43061</v>
      </c>
      <c r="F1569" s="800" t="s">
        <v>3929</v>
      </c>
      <c r="G1569" s="800" t="s">
        <v>18835</v>
      </c>
      <c r="H1569" s="800" t="s">
        <v>10433</v>
      </c>
      <c r="I1569" s="800" t="s">
        <v>10433</v>
      </c>
      <c r="J1569" s="800" t="s">
        <v>10447</v>
      </c>
      <c r="K1569" s="800">
        <v>1</v>
      </c>
      <c r="L1569" s="802" t="s">
        <v>10398</v>
      </c>
      <c r="M1569" s="802" t="s">
        <v>18836</v>
      </c>
      <c r="N1569" s="802" t="s">
        <v>12551</v>
      </c>
      <c r="O1569" s="802" t="s">
        <v>18837</v>
      </c>
      <c r="P1569" s="807" t="s">
        <v>18838</v>
      </c>
    </row>
    <row r="1570" spans="1:16" s="341" customFormat="1" ht="15" customHeight="1">
      <c r="A1570" s="806" t="s">
        <v>110</v>
      </c>
      <c r="B1570" s="800" t="s">
        <v>3751</v>
      </c>
      <c r="C1570" s="800" t="s">
        <v>3893</v>
      </c>
      <c r="D1570" s="800" t="s">
        <v>18839</v>
      </c>
      <c r="E1570" s="801">
        <v>43053</v>
      </c>
      <c r="F1570" s="800" t="s">
        <v>18576</v>
      </c>
      <c r="G1570" s="800" t="s">
        <v>18840</v>
      </c>
      <c r="H1570" s="800" t="s">
        <v>10433</v>
      </c>
      <c r="I1570" s="800" t="s">
        <v>10433</v>
      </c>
      <c r="J1570" s="800" t="s">
        <v>10447</v>
      </c>
      <c r="K1570" s="800">
        <v>1</v>
      </c>
      <c r="L1570" s="802" t="s">
        <v>10398</v>
      </c>
      <c r="M1570" s="802" t="s">
        <v>18841</v>
      </c>
      <c r="N1570" s="802" t="s">
        <v>18842</v>
      </c>
      <c r="O1570" s="802" t="s">
        <v>18843</v>
      </c>
      <c r="P1570" s="807" t="s">
        <v>18844</v>
      </c>
    </row>
    <row r="1571" spans="1:16" s="341" customFormat="1" ht="15" customHeight="1">
      <c r="A1571" s="806" t="s">
        <v>110</v>
      </c>
      <c r="B1571" s="800" t="s">
        <v>3751</v>
      </c>
      <c r="C1571" s="800" t="s">
        <v>3893</v>
      </c>
      <c r="D1571" s="800" t="s">
        <v>18845</v>
      </c>
      <c r="E1571" s="801">
        <v>43053</v>
      </c>
      <c r="F1571" s="800" t="s">
        <v>18576</v>
      </c>
      <c r="G1571" s="800" t="s">
        <v>18846</v>
      </c>
      <c r="H1571" s="800" t="s">
        <v>10433</v>
      </c>
      <c r="I1571" s="800" t="s">
        <v>10433</v>
      </c>
      <c r="J1571" s="800" t="s">
        <v>10447</v>
      </c>
      <c r="K1571" s="800">
        <v>1</v>
      </c>
      <c r="L1571" s="802" t="s">
        <v>10398</v>
      </c>
      <c r="M1571" s="802" t="s">
        <v>18847</v>
      </c>
      <c r="N1571" s="802" t="s">
        <v>18848</v>
      </c>
      <c r="O1571" s="802" t="s">
        <v>18849</v>
      </c>
      <c r="P1571" s="807" t="s">
        <v>18850</v>
      </c>
    </row>
    <row r="1572" spans="1:16" s="341" customFormat="1" ht="15" customHeight="1">
      <c r="A1572" s="806" t="s">
        <v>110</v>
      </c>
      <c r="B1572" s="800" t="s">
        <v>3751</v>
      </c>
      <c r="C1572" s="800" t="s">
        <v>3893</v>
      </c>
      <c r="D1572" s="800" t="s">
        <v>18851</v>
      </c>
      <c r="E1572" s="800"/>
      <c r="F1572" s="800" t="s">
        <v>18576</v>
      </c>
      <c r="G1572" s="800" t="s">
        <v>18852</v>
      </c>
      <c r="H1572" s="800" t="s">
        <v>10433</v>
      </c>
      <c r="I1572" s="800" t="s">
        <v>10433</v>
      </c>
      <c r="J1572" s="800" t="s">
        <v>10447</v>
      </c>
      <c r="K1572" s="800">
        <v>1</v>
      </c>
      <c r="L1572" s="802" t="s">
        <v>10398</v>
      </c>
      <c r="M1572" s="802" t="s">
        <v>18853</v>
      </c>
      <c r="N1572" s="802" t="s">
        <v>18854</v>
      </c>
      <c r="O1572" s="802" t="s">
        <v>18580</v>
      </c>
      <c r="P1572" s="807" t="s">
        <v>18855</v>
      </c>
    </row>
    <row r="1573" spans="1:16" s="341" customFormat="1" ht="15" customHeight="1">
      <c r="A1573" s="806" t="s">
        <v>110</v>
      </c>
      <c r="B1573" s="800" t="s">
        <v>3751</v>
      </c>
      <c r="C1573" s="800" t="s">
        <v>3751</v>
      </c>
      <c r="D1573" s="800" t="s">
        <v>18856</v>
      </c>
      <c r="E1573" s="801">
        <v>43061</v>
      </c>
      <c r="F1573" s="800" t="s">
        <v>3929</v>
      </c>
      <c r="G1573" s="800" t="s">
        <v>18857</v>
      </c>
      <c r="H1573" s="800" t="s">
        <v>10433</v>
      </c>
      <c r="I1573" s="800" t="s">
        <v>10433</v>
      </c>
      <c r="J1573" s="800" t="s">
        <v>10447</v>
      </c>
      <c r="K1573" s="800">
        <v>1</v>
      </c>
      <c r="L1573" s="802" t="s">
        <v>10398</v>
      </c>
      <c r="M1573" s="802" t="s">
        <v>18858</v>
      </c>
      <c r="N1573" s="802" t="s">
        <v>18859</v>
      </c>
      <c r="O1573" s="802" t="s">
        <v>18860</v>
      </c>
      <c r="P1573" s="807" t="s">
        <v>18838</v>
      </c>
    </row>
    <row r="1574" spans="1:16" s="341" customFormat="1" ht="15" customHeight="1">
      <c r="A1574" s="806" t="s">
        <v>110</v>
      </c>
      <c r="B1574" s="800" t="s">
        <v>3751</v>
      </c>
      <c r="C1574" s="800" t="s">
        <v>3751</v>
      </c>
      <c r="D1574" s="800" t="s">
        <v>18861</v>
      </c>
      <c r="E1574" s="801">
        <v>43061</v>
      </c>
      <c r="F1574" s="800" t="s">
        <v>3929</v>
      </c>
      <c r="G1574" s="800" t="s">
        <v>18862</v>
      </c>
      <c r="H1574" s="800" t="s">
        <v>10433</v>
      </c>
      <c r="I1574" s="800" t="s">
        <v>10433</v>
      </c>
      <c r="J1574" s="800" t="s">
        <v>10447</v>
      </c>
      <c r="K1574" s="800">
        <v>1</v>
      </c>
      <c r="L1574" s="802" t="s">
        <v>10398</v>
      </c>
      <c r="M1574" s="802" t="s">
        <v>18863</v>
      </c>
      <c r="N1574" s="802" t="s">
        <v>12585</v>
      </c>
      <c r="O1574" s="802" t="s">
        <v>18833</v>
      </c>
      <c r="P1574" s="807" t="s">
        <v>18864</v>
      </c>
    </row>
    <row r="1575" spans="1:16" s="341" customFormat="1" ht="15" customHeight="1">
      <c r="A1575" s="806" t="s">
        <v>110</v>
      </c>
      <c r="B1575" s="800" t="s">
        <v>3751</v>
      </c>
      <c r="C1575" s="800" t="s">
        <v>3751</v>
      </c>
      <c r="D1575" s="800" t="s">
        <v>18865</v>
      </c>
      <c r="E1575" s="801">
        <v>43061</v>
      </c>
      <c r="F1575" s="800" t="s">
        <v>3929</v>
      </c>
      <c r="G1575" s="800" t="s">
        <v>18866</v>
      </c>
      <c r="H1575" s="800" t="s">
        <v>10433</v>
      </c>
      <c r="I1575" s="800" t="s">
        <v>10433</v>
      </c>
      <c r="J1575" s="800" t="s">
        <v>10447</v>
      </c>
      <c r="K1575" s="800">
        <v>1</v>
      </c>
      <c r="L1575" s="802" t="s">
        <v>10398</v>
      </c>
      <c r="M1575" s="802" t="s">
        <v>18867</v>
      </c>
      <c r="N1575" s="802" t="s">
        <v>18868</v>
      </c>
      <c r="O1575" s="802" t="s">
        <v>18869</v>
      </c>
      <c r="P1575" s="807" t="s">
        <v>32</v>
      </c>
    </row>
    <row r="1576" spans="1:16" s="341" customFormat="1" ht="15" customHeight="1">
      <c r="A1576" s="806" t="s">
        <v>110</v>
      </c>
      <c r="B1576" s="800" t="s">
        <v>3751</v>
      </c>
      <c r="C1576" s="800" t="s">
        <v>3751</v>
      </c>
      <c r="D1576" s="800" t="s">
        <v>18870</v>
      </c>
      <c r="E1576" s="801">
        <v>43061</v>
      </c>
      <c r="F1576" s="800" t="s">
        <v>3929</v>
      </c>
      <c r="G1576" s="800" t="s">
        <v>18871</v>
      </c>
      <c r="H1576" s="800" t="s">
        <v>10433</v>
      </c>
      <c r="I1576" s="800" t="s">
        <v>10433</v>
      </c>
      <c r="J1576" s="800" t="s">
        <v>10447</v>
      </c>
      <c r="K1576" s="800">
        <v>1</v>
      </c>
      <c r="L1576" s="802" t="s">
        <v>10398</v>
      </c>
      <c r="M1576" s="802" t="s">
        <v>18872</v>
      </c>
      <c r="N1576" s="802" t="s">
        <v>18873</v>
      </c>
      <c r="O1576" s="802" t="s">
        <v>18874</v>
      </c>
      <c r="P1576" s="807" t="s">
        <v>18875</v>
      </c>
    </row>
    <row r="1577" spans="1:16" s="341" customFormat="1" ht="15" customHeight="1">
      <c r="A1577" s="806" t="s">
        <v>110</v>
      </c>
      <c r="B1577" s="800" t="s">
        <v>3751</v>
      </c>
      <c r="C1577" s="800" t="s">
        <v>3751</v>
      </c>
      <c r="D1577" s="800" t="s">
        <v>18876</v>
      </c>
      <c r="E1577" s="801">
        <v>43061</v>
      </c>
      <c r="F1577" s="800" t="s">
        <v>3929</v>
      </c>
      <c r="G1577" s="800" t="s">
        <v>18877</v>
      </c>
      <c r="H1577" s="800" t="s">
        <v>10433</v>
      </c>
      <c r="I1577" s="800" t="s">
        <v>10433</v>
      </c>
      <c r="J1577" s="800" t="s">
        <v>10447</v>
      </c>
      <c r="K1577" s="800">
        <v>1</v>
      </c>
      <c r="L1577" s="802" t="s">
        <v>10398</v>
      </c>
      <c r="M1577" s="802" t="s">
        <v>18878</v>
      </c>
      <c r="N1577" s="802" t="s">
        <v>18879</v>
      </c>
      <c r="O1577" s="802" t="s">
        <v>18880</v>
      </c>
      <c r="P1577" s="807" t="s">
        <v>32</v>
      </c>
    </row>
    <row r="1578" spans="1:16" s="341" customFormat="1" ht="15" customHeight="1">
      <c r="A1578" s="806" t="s">
        <v>110</v>
      </c>
      <c r="B1578" s="800" t="s">
        <v>3751</v>
      </c>
      <c r="C1578" s="800" t="s">
        <v>3751</v>
      </c>
      <c r="D1578" s="800" t="s">
        <v>18881</v>
      </c>
      <c r="E1578" s="801">
        <v>43061</v>
      </c>
      <c r="F1578" s="800" t="s">
        <v>3929</v>
      </c>
      <c r="G1578" s="800" t="s">
        <v>18830</v>
      </c>
      <c r="H1578" s="800" t="s">
        <v>10433</v>
      </c>
      <c r="I1578" s="800" t="s">
        <v>10433</v>
      </c>
      <c r="J1578" s="800" t="s">
        <v>10447</v>
      </c>
      <c r="K1578" s="800">
        <v>1</v>
      </c>
      <c r="L1578" s="802" t="s">
        <v>10398</v>
      </c>
      <c r="M1578" s="802" t="s">
        <v>18882</v>
      </c>
      <c r="N1578" s="802" t="s">
        <v>18883</v>
      </c>
      <c r="O1578" s="802" t="s">
        <v>18884</v>
      </c>
      <c r="P1578" s="807" t="s">
        <v>18885</v>
      </c>
    </row>
    <row r="1579" spans="1:16" s="341" customFormat="1" ht="15" customHeight="1">
      <c r="A1579" s="806" t="s">
        <v>110</v>
      </c>
      <c r="B1579" s="800" t="s">
        <v>3751</v>
      </c>
      <c r="C1579" s="800" t="s">
        <v>3751</v>
      </c>
      <c r="D1579" s="800" t="s">
        <v>18886</v>
      </c>
      <c r="E1579" s="801">
        <v>43061</v>
      </c>
      <c r="F1579" s="800" t="s">
        <v>3929</v>
      </c>
      <c r="G1579" s="800" t="s">
        <v>18887</v>
      </c>
      <c r="H1579" s="800" t="s">
        <v>10433</v>
      </c>
      <c r="I1579" s="800" t="s">
        <v>10433</v>
      </c>
      <c r="J1579" s="800" t="s">
        <v>10447</v>
      </c>
      <c r="K1579" s="800">
        <v>1</v>
      </c>
      <c r="L1579" s="802" t="s">
        <v>10398</v>
      </c>
      <c r="M1579" s="802" t="s">
        <v>18888</v>
      </c>
      <c r="N1579" s="802" t="s">
        <v>18889</v>
      </c>
      <c r="O1579" s="802" t="s">
        <v>18890</v>
      </c>
      <c r="P1579" s="807" t="s">
        <v>18891</v>
      </c>
    </row>
    <row r="1580" spans="1:16" s="341" customFormat="1" ht="15" customHeight="1">
      <c r="A1580" s="806" t="s">
        <v>110</v>
      </c>
      <c r="B1580" s="800" t="s">
        <v>3751</v>
      </c>
      <c r="C1580" s="800" t="s">
        <v>3751</v>
      </c>
      <c r="D1580" s="800" t="s">
        <v>18892</v>
      </c>
      <c r="E1580" s="801">
        <v>43061</v>
      </c>
      <c r="F1580" s="800" t="s">
        <v>3929</v>
      </c>
      <c r="G1580" s="800" t="s">
        <v>18893</v>
      </c>
      <c r="H1580" s="800" t="s">
        <v>10433</v>
      </c>
      <c r="I1580" s="800" t="s">
        <v>10433</v>
      </c>
      <c r="J1580" s="800" t="s">
        <v>10447</v>
      </c>
      <c r="K1580" s="800">
        <v>1</v>
      </c>
      <c r="L1580" s="802" t="s">
        <v>10398</v>
      </c>
      <c r="M1580" s="802" t="s">
        <v>18894</v>
      </c>
      <c r="N1580" s="802" t="s">
        <v>12181</v>
      </c>
      <c r="O1580" s="802" t="s">
        <v>18895</v>
      </c>
      <c r="P1580" s="807" t="s">
        <v>18896</v>
      </c>
    </row>
    <row r="1581" spans="1:16" s="341" customFormat="1" ht="15" customHeight="1">
      <c r="A1581" s="806" t="s">
        <v>110</v>
      </c>
      <c r="B1581" s="800" t="s">
        <v>3751</v>
      </c>
      <c r="C1581" s="800" t="s">
        <v>3751</v>
      </c>
      <c r="D1581" s="800" t="s">
        <v>18897</v>
      </c>
      <c r="E1581" s="801">
        <v>43061</v>
      </c>
      <c r="F1581" s="800" t="s">
        <v>18898</v>
      </c>
      <c r="G1581" s="800" t="s">
        <v>18899</v>
      </c>
      <c r="H1581" s="800" t="s">
        <v>10433</v>
      </c>
      <c r="I1581" s="800" t="s">
        <v>10433</v>
      </c>
      <c r="J1581" s="800" t="s">
        <v>10447</v>
      </c>
      <c r="K1581" s="800">
        <v>1</v>
      </c>
      <c r="L1581" s="802" t="s">
        <v>10398</v>
      </c>
      <c r="M1581" s="802" t="s">
        <v>18900</v>
      </c>
      <c r="N1581" s="802" t="s">
        <v>18901</v>
      </c>
      <c r="O1581" s="802" t="s">
        <v>18827</v>
      </c>
      <c r="P1581" s="807" t="s">
        <v>18902</v>
      </c>
    </row>
    <row r="1582" spans="1:16" s="341" customFormat="1" ht="25.5" customHeight="1">
      <c r="A1582" s="806" t="s">
        <v>110</v>
      </c>
      <c r="B1582" s="800" t="s">
        <v>3751</v>
      </c>
      <c r="C1582" s="800" t="s">
        <v>3751</v>
      </c>
      <c r="D1582" s="800" t="s">
        <v>18903</v>
      </c>
      <c r="E1582" s="801">
        <v>43061</v>
      </c>
      <c r="F1582" s="800" t="s">
        <v>3929</v>
      </c>
      <c r="G1582" s="800" t="s">
        <v>18866</v>
      </c>
      <c r="H1582" s="800" t="s">
        <v>10433</v>
      </c>
      <c r="I1582" s="800" t="s">
        <v>10433</v>
      </c>
      <c r="J1582" s="800" t="s">
        <v>10447</v>
      </c>
      <c r="K1582" s="800">
        <v>1</v>
      </c>
      <c r="L1582" s="802" t="s">
        <v>10398</v>
      </c>
      <c r="M1582" s="802" t="s">
        <v>18904</v>
      </c>
      <c r="N1582" s="802" t="s">
        <v>12532</v>
      </c>
      <c r="O1582" s="802" t="s">
        <v>18905</v>
      </c>
      <c r="P1582" s="807" t="s">
        <v>18906</v>
      </c>
    </row>
    <row r="1583" spans="1:16" s="341" customFormat="1" ht="15" customHeight="1">
      <c r="A1583" s="806" t="s">
        <v>110</v>
      </c>
      <c r="B1583" s="800" t="s">
        <v>3751</v>
      </c>
      <c r="C1583" s="800" t="s">
        <v>3751</v>
      </c>
      <c r="D1583" s="800" t="s">
        <v>18907</v>
      </c>
      <c r="E1583" s="801">
        <v>43061</v>
      </c>
      <c r="F1583" s="800" t="s">
        <v>3929</v>
      </c>
      <c r="G1583" s="800" t="s">
        <v>18908</v>
      </c>
      <c r="H1583" s="800" t="s">
        <v>10433</v>
      </c>
      <c r="I1583" s="800" t="s">
        <v>10433</v>
      </c>
      <c r="J1583" s="800" t="s">
        <v>10447</v>
      </c>
      <c r="K1583" s="800">
        <v>1</v>
      </c>
      <c r="L1583" s="802" t="s">
        <v>10398</v>
      </c>
      <c r="M1583" s="802" t="s">
        <v>18909</v>
      </c>
      <c r="N1583" s="802" t="s">
        <v>18910</v>
      </c>
      <c r="O1583" s="802" t="s">
        <v>18911</v>
      </c>
      <c r="P1583" s="807" t="s">
        <v>18912</v>
      </c>
    </row>
    <row r="1584" spans="1:16" s="341" customFormat="1" ht="15" customHeight="1">
      <c r="A1584" s="806" t="s">
        <v>110</v>
      </c>
      <c r="B1584" s="800" t="s">
        <v>3751</v>
      </c>
      <c r="C1584" s="800" t="s">
        <v>3751</v>
      </c>
      <c r="D1584" s="800" t="s">
        <v>18913</v>
      </c>
      <c r="E1584" s="801">
        <v>43061</v>
      </c>
      <c r="F1584" s="800" t="s">
        <v>3929</v>
      </c>
      <c r="G1584" s="800" t="s">
        <v>18914</v>
      </c>
      <c r="H1584" s="800" t="s">
        <v>10433</v>
      </c>
      <c r="I1584" s="800" t="s">
        <v>10433</v>
      </c>
      <c r="J1584" s="800" t="s">
        <v>10447</v>
      </c>
      <c r="K1584" s="800">
        <v>1</v>
      </c>
      <c r="L1584" s="802" t="s">
        <v>10398</v>
      </c>
      <c r="M1584" s="802" t="s">
        <v>18915</v>
      </c>
      <c r="N1584" s="802" t="s">
        <v>14177</v>
      </c>
      <c r="O1584" s="802" t="s">
        <v>18916</v>
      </c>
      <c r="P1584" s="807" t="s">
        <v>18917</v>
      </c>
    </row>
    <row r="1585" spans="1:16" s="341" customFormat="1" ht="15" customHeight="1">
      <c r="A1585" s="806" t="s">
        <v>110</v>
      </c>
      <c r="B1585" s="800" t="s">
        <v>3751</v>
      </c>
      <c r="C1585" s="800" t="s">
        <v>3751</v>
      </c>
      <c r="D1585" s="800" t="s">
        <v>18918</v>
      </c>
      <c r="E1585" s="801">
        <v>43061</v>
      </c>
      <c r="F1585" s="800" t="s">
        <v>3929</v>
      </c>
      <c r="G1585" s="800" t="s">
        <v>18919</v>
      </c>
      <c r="H1585" s="800" t="s">
        <v>10433</v>
      </c>
      <c r="I1585" s="800" t="s">
        <v>10433</v>
      </c>
      <c r="J1585" s="800" t="s">
        <v>10447</v>
      </c>
      <c r="K1585" s="800">
        <v>1</v>
      </c>
      <c r="L1585" s="802" t="s">
        <v>10398</v>
      </c>
      <c r="M1585" s="802" t="s">
        <v>18920</v>
      </c>
      <c r="N1585" s="802" t="s">
        <v>18921</v>
      </c>
      <c r="O1585" s="802" t="s">
        <v>18922</v>
      </c>
      <c r="P1585" s="807" t="s">
        <v>18923</v>
      </c>
    </row>
    <row r="1586" spans="1:16" s="341" customFormat="1" ht="15" customHeight="1">
      <c r="A1586" s="806" t="s">
        <v>110</v>
      </c>
      <c r="B1586" s="800" t="s">
        <v>3751</v>
      </c>
      <c r="C1586" s="800" t="s">
        <v>3751</v>
      </c>
      <c r="D1586" s="800" t="s">
        <v>18924</v>
      </c>
      <c r="E1586" s="801">
        <v>43061</v>
      </c>
      <c r="F1586" s="800" t="s">
        <v>3929</v>
      </c>
      <c r="G1586" s="800" t="s">
        <v>18925</v>
      </c>
      <c r="H1586" s="800" t="s">
        <v>10433</v>
      </c>
      <c r="I1586" s="800" t="s">
        <v>10433</v>
      </c>
      <c r="J1586" s="800" t="s">
        <v>10447</v>
      </c>
      <c r="K1586" s="800">
        <v>1</v>
      </c>
      <c r="L1586" s="802" t="s">
        <v>10398</v>
      </c>
      <c r="M1586" s="802" t="s">
        <v>18926</v>
      </c>
      <c r="N1586" s="802" t="s">
        <v>18927</v>
      </c>
      <c r="O1586" s="802" t="s">
        <v>18928</v>
      </c>
      <c r="P1586" s="807" t="s">
        <v>18929</v>
      </c>
    </row>
    <row r="1587" spans="1:16" s="341" customFormat="1" ht="15" customHeight="1">
      <c r="A1587" s="806" t="s">
        <v>110</v>
      </c>
      <c r="B1587" s="800" t="s">
        <v>3751</v>
      </c>
      <c r="C1587" s="800" t="s">
        <v>3751</v>
      </c>
      <c r="D1587" s="800" t="s">
        <v>18930</v>
      </c>
      <c r="E1587" s="801">
        <v>43061</v>
      </c>
      <c r="F1587" s="800" t="s">
        <v>3929</v>
      </c>
      <c r="G1587" s="800" t="s">
        <v>18931</v>
      </c>
      <c r="H1587" s="800" t="s">
        <v>10433</v>
      </c>
      <c r="I1587" s="800" t="s">
        <v>10433</v>
      </c>
      <c r="J1587" s="800" t="s">
        <v>10447</v>
      </c>
      <c r="K1587" s="800">
        <v>1</v>
      </c>
      <c r="L1587" s="802" t="s">
        <v>10398</v>
      </c>
      <c r="M1587" s="802" t="s">
        <v>18932</v>
      </c>
      <c r="N1587" s="802" t="s">
        <v>17677</v>
      </c>
      <c r="O1587" s="802" t="s">
        <v>18933</v>
      </c>
      <c r="P1587" s="807" t="s">
        <v>18934</v>
      </c>
    </row>
    <row r="1588" spans="1:16" s="341" customFormat="1" ht="15" customHeight="1">
      <c r="A1588" s="806" t="s">
        <v>110</v>
      </c>
      <c r="B1588" s="800" t="s">
        <v>3751</v>
      </c>
      <c r="C1588" s="800" t="s">
        <v>3751</v>
      </c>
      <c r="D1588" s="800" t="s">
        <v>18935</v>
      </c>
      <c r="E1588" s="801">
        <v>43061</v>
      </c>
      <c r="F1588" s="800" t="s">
        <v>3929</v>
      </c>
      <c r="G1588" s="800" t="s">
        <v>18936</v>
      </c>
      <c r="H1588" s="800" t="s">
        <v>10433</v>
      </c>
      <c r="I1588" s="800" t="s">
        <v>10433</v>
      </c>
      <c r="J1588" s="800" t="s">
        <v>10447</v>
      </c>
      <c r="K1588" s="800">
        <v>1</v>
      </c>
      <c r="L1588" s="802" t="s">
        <v>10398</v>
      </c>
      <c r="M1588" s="802" t="s">
        <v>18937</v>
      </c>
      <c r="N1588" s="802" t="s">
        <v>18938</v>
      </c>
      <c r="O1588" s="802" t="s">
        <v>18939</v>
      </c>
      <c r="P1588" s="807" t="s">
        <v>32</v>
      </c>
    </row>
    <row r="1589" spans="1:16" s="341" customFormat="1" ht="15" customHeight="1">
      <c r="A1589" s="806" t="s">
        <v>110</v>
      </c>
      <c r="B1589" s="800" t="s">
        <v>3751</v>
      </c>
      <c r="C1589" s="800" t="s">
        <v>3751</v>
      </c>
      <c r="D1589" s="800" t="s">
        <v>18940</v>
      </c>
      <c r="E1589" s="801">
        <v>43039</v>
      </c>
      <c r="F1589" s="800" t="s">
        <v>18941</v>
      </c>
      <c r="G1589" s="800" t="s">
        <v>18942</v>
      </c>
      <c r="H1589" s="800" t="s">
        <v>10433</v>
      </c>
      <c r="I1589" s="800" t="s">
        <v>10433</v>
      </c>
      <c r="J1589" s="800" t="s">
        <v>10447</v>
      </c>
      <c r="K1589" s="800">
        <v>1</v>
      </c>
      <c r="L1589" s="802" t="s">
        <v>10398</v>
      </c>
      <c r="M1589" s="802" t="s">
        <v>18943</v>
      </c>
      <c r="N1589" s="802" t="s">
        <v>18944</v>
      </c>
      <c r="O1589" s="802" t="s">
        <v>18945</v>
      </c>
      <c r="P1589" s="807" t="s">
        <v>18946</v>
      </c>
    </row>
    <row r="1590" spans="1:16" s="341" customFormat="1" ht="15" customHeight="1">
      <c r="A1590" s="806" t="s">
        <v>110</v>
      </c>
      <c r="B1590" s="800" t="s">
        <v>3751</v>
      </c>
      <c r="C1590" s="800" t="s">
        <v>3751</v>
      </c>
      <c r="D1590" s="800" t="s">
        <v>18947</v>
      </c>
      <c r="E1590" s="801">
        <v>43039</v>
      </c>
      <c r="F1590" s="800" t="s">
        <v>18941</v>
      </c>
      <c r="G1590" s="800" t="s">
        <v>18948</v>
      </c>
      <c r="H1590" s="800" t="s">
        <v>10433</v>
      </c>
      <c r="I1590" s="800" t="s">
        <v>10433</v>
      </c>
      <c r="J1590" s="800" t="s">
        <v>10447</v>
      </c>
      <c r="K1590" s="800">
        <v>1</v>
      </c>
      <c r="L1590" s="802" t="s">
        <v>10398</v>
      </c>
      <c r="M1590" s="802" t="s">
        <v>18949</v>
      </c>
      <c r="N1590" s="802" t="s">
        <v>18950</v>
      </c>
      <c r="O1590" s="802" t="s">
        <v>18951</v>
      </c>
      <c r="P1590" s="807" t="s">
        <v>18952</v>
      </c>
    </row>
    <row r="1591" spans="1:16" s="341" customFormat="1" ht="25.5" customHeight="1">
      <c r="A1591" s="806" t="s">
        <v>110</v>
      </c>
      <c r="B1591" s="800" t="s">
        <v>3751</v>
      </c>
      <c r="C1591" s="800" t="s">
        <v>3751</v>
      </c>
      <c r="D1591" s="800" t="s">
        <v>18953</v>
      </c>
      <c r="E1591" s="801">
        <v>43039</v>
      </c>
      <c r="F1591" s="800" t="s">
        <v>18941</v>
      </c>
      <c r="G1591" s="800" t="s">
        <v>18954</v>
      </c>
      <c r="H1591" s="800" t="s">
        <v>10433</v>
      </c>
      <c r="I1591" s="800" t="s">
        <v>10433</v>
      </c>
      <c r="J1591" s="800" t="s">
        <v>10447</v>
      </c>
      <c r="K1591" s="800">
        <v>1</v>
      </c>
      <c r="L1591" s="802" t="s">
        <v>10398</v>
      </c>
      <c r="M1591" s="802" t="s">
        <v>18955</v>
      </c>
      <c r="N1591" s="802" t="s">
        <v>18956</v>
      </c>
      <c r="O1591" s="802" t="s">
        <v>18957</v>
      </c>
      <c r="P1591" s="807" t="s">
        <v>18958</v>
      </c>
    </row>
    <row r="1592" spans="1:16" s="341" customFormat="1" ht="25.5" customHeight="1">
      <c r="A1592" s="806" t="s">
        <v>110</v>
      </c>
      <c r="B1592" s="800" t="s">
        <v>3751</v>
      </c>
      <c r="C1592" s="800" t="s">
        <v>3751</v>
      </c>
      <c r="D1592" s="800" t="s">
        <v>18959</v>
      </c>
      <c r="E1592" s="801">
        <v>43039</v>
      </c>
      <c r="F1592" s="800" t="s">
        <v>18941</v>
      </c>
      <c r="G1592" s="800" t="s">
        <v>18960</v>
      </c>
      <c r="H1592" s="800" t="s">
        <v>10433</v>
      </c>
      <c r="I1592" s="800" t="s">
        <v>10433</v>
      </c>
      <c r="J1592" s="800" t="s">
        <v>10447</v>
      </c>
      <c r="K1592" s="800">
        <v>1</v>
      </c>
      <c r="L1592" s="802" t="s">
        <v>10398</v>
      </c>
      <c r="M1592" s="802" t="s">
        <v>18961</v>
      </c>
      <c r="N1592" s="802" t="s">
        <v>18962</v>
      </c>
      <c r="O1592" s="802" t="s">
        <v>18963</v>
      </c>
      <c r="P1592" s="807" t="s">
        <v>18964</v>
      </c>
    </row>
    <row r="1593" spans="1:16" s="341" customFormat="1" ht="15" customHeight="1">
      <c r="A1593" s="806" t="s">
        <v>110</v>
      </c>
      <c r="B1593" s="800" t="s">
        <v>3751</v>
      </c>
      <c r="C1593" s="800" t="s">
        <v>3751</v>
      </c>
      <c r="D1593" s="800" t="s">
        <v>18965</v>
      </c>
      <c r="E1593" s="801">
        <v>43039</v>
      </c>
      <c r="F1593" s="800" t="s">
        <v>18941</v>
      </c>
      <c r="G1593" s="800" t="s">
        <v>18966</v>
      </c>
      <c r="H1593" s="800" t="s">
        <v>10433</v>
      </c>
      <c r="I1593" s="800" t="s">
        <v>10433</v>
      </c>
      <c r="J1593" s="800" t="s">
        <v>10447</v>
      </c>
      <c r="K1593" s="800">
        <v>1</v>
      </c>
      <c r="L1593" s="802" t="s">
        <v>10398</v>
      </c>
      <c r="M1593" s="802" t="s">
        <v>18967</v>
      </c>
      <c r="N1593" s="802" t="s">
        <v>17845</v>
      </c>
      <c r="O1593" s="802" t="s">
        <v>18968</v>
      </c>
      <c r="P1593" s="807" t="s">
        <v>18946</v>
      </c>
    </row>
    <row r="1594" spans="1:16" s="341" customFormat="1" ht="15" customHeight="1">
      <c r="A1594" s="806" t="s">
        <v>110</v>
      </c>
      <c r="B1594" s="800" t="s">
        <v>3751</v>
      </c>
      <c r="C1594" s="800" t="s">
        <v>3751</v>
      </c>
      <c r="D1594" s="800" t="s">
        <v>18969</v>
      </c>
      <c r="E1594" s="801">
        <v>43039</v>
      </c>
      <c r="F1594" s="800" t="s">
        <v>18941</v>
      </c>
      <c r="G1594" s="800" t="s">
        <v>18970</v>
      </c>
      <c r="H1594" s="800" t="s">
        <v>10433</v>
      </c>
      <c r="I1594" s="800" t="s">
        <v>10433</v>
      </c>
      <c r="J1594" s="800" t="s">
        <v>10447</v>
      </c>
      <c r="K1594" s="800">
        <v>1</v>
      </c>
      <c r="L1594" s="802" t="s">
        <v>10398</v>
      </c>
      <c r="M1594" s="802" t="s">
        <v>18971</v>
      </c>
      <c r="N1594" s="802" t="s">
        <v>18972</v>
      </c>
      <c r="O1594" s="802" t="s">
        <v>18973</v>
      </c>
      <c r="P1594" s="807" t="s">
        <v>18974</v>
      </c>
    </row>
    <row r="1595" spans="1:16" s="341" customFormat="1" ht="15" customHeight="1">
      <c r="A1595" s="806" t="s">
        <v>110</v>
      </c>
      <c r="B1595" s="800" t="s">
        <v>3751</v>
      </c>
      <c r="C1595" s="800" t="s">
        <v>3751</v>
      </c>
      <c r="D1595" s="800" t="s">
        <v>18975</v>
      </c>
      <c r="E1595" s="801">
        <v>43039</v>
      </c>
      <c r="F1595" s="800" t="s">
        <v>18941</v>
      </c>
      <c r="G1595" s="800" t="s">
        <v>18976</v>
      </c>
      <c r="H1595" s="800" t="s">
        <v>10433</v>
      </c>
      <c r="I1595" s="800" t="s">
        <v>10433</v>
      </c>
      <c r="J1595" s="800" t="s">
        <v>10447</v>
      </c>
      <c r="K1595" s="800">
        <v>1</v>
      </c>
      <c r="L1595" s="802" t="s">
        <v>10398</v>
      </c>
      <c r="M1595" s="802" t="s">
        <v>18977</v>
      </c>
      <c r="N1595" s="802" t="s">
        <v>18978</v>
      </c>
      <c r="O1595" s="802" t="s">
        <v>18979</v>
      </c>
      <c r="P1595" s="807" t="s">
        <v>18980</v>
      </c>
    </row>
    <row r="1596" spans="1:16" s="341" customFormat="1" ht="15" customHeight="1">
      <c r="A1596" s="806" t="s">
        <v>110</v>
      </c>
      <c r="B1596" s="800" t="s">
        <v>3751</v>
      </c>
      <c r="C1596" s="800" t="s">
        <v>3751</v>
      </c>
      <c r="D1596" s="800" t="s">
        <v>18981</v>
      </c>
      <c r="E1596" s="801">
        <v>43039</v>
      </c>
      <c r="F1596" s="800" t="s">
        <v>18941</v>
      </c>
      <c r="G1596" s="800" t="s">
        <v>18982</v>
      </c>
      <c r="H1596" s="800" t="s">
        <v>10433</v>
      </c>
      <c r="I1596" s="800" t="s">
        <v>10433</v>
      </c>
      <c r="J1596" s="800" t="s">
        <v>10447</v>
      </c>
      <c r="K1596" s="800">
        <v>1</v>
      </c>
      <c r="L1596" s="802" t="s">
        <v>10398</v>
      </c>
      <c r="M1596" s="802" t="s">
        <v>18983</v>
      </c>
      <c r="N1596" s="802" t="s">
        <v>12406</v>
      </c>
      <c r="O1596" s="802" t="s">
        <v>11579</v>
      </c>
      <c r="P1596" s="807" t="s">
        <v>18984</v>
      </c>
    </row>
    <row r="1597" spans="1:16" s="341" customFormat="1" ht="15" customHeight="1">
      <c r="A1597" s="806" t="s">
        <v>110</v>
      </c>
      <c r="B1597" s="800" t="s">
        <v>3751</v>
      </c>
      <c r="C1597" s="800" t="s">
        <v>3751</v>
      </c>
      <c r="D1597" s="800" t="s">
        <v>18985</v>
      </c>
      <c r="E1597" s="801">
        <v>43039</v>
      </c>
      <c r="F1597" s="800" t="s">
        <v>18941</v>
      </c>
      <c r="G1597" s="800" t="s">
        <v>18986</v>
      </c>
      <c r="H1597" s="800" t="s">
        <v>10433</v>
      </c>
      <c r="I1597" s="800" t="s">
        <v>10433</v>
      </c>
      <c r="J1597" s="800" t="s">
        <v>10447</v>
      </c>
      <c r="K1597" s="800">
        <v>1</v>
      </c>
      <c r="L1597" s="802" t="s">
        <v>10398</v>
      </c>
      <c r="M1597" s="802" t="s">
        <v>18987</v>
      </c>
      <c r="N1597" s="802" t="s">
        <v>14000</v>
      </c>
      <c r="O1597" s="802" t="s">
        <v>18988</v>
      </c>
      <c r="P1597" s="807" t="s">
        <v>18989</v>
      </c>
    </row>
    <row r="1598" spans="1:16" s="341" customFormat="1" ht="25.5" customHeight="1">
      <c r="A1598" s="806" t="s">
        <v>110</v>
      </c>
      <c r="B1598" s="800" t="s">
        <v>3751</v>
      </c>
      <c r="C1598" s="800" t="s">
        <v>3751</v>
      </c>
      <c r="D1598" s="800" t="s">
        <v>18990</v>
      </c>
      <c r="E1598" s="801">
        <v>43039</v>
      </c>
      <c r="F1598" s="800" t="s">
        <v>18941</v>
      </c>
      <c r="G1598" s="800" t="s">
        <v>18991</v>
      </c>
      <c r="H1598" s="800" t="s">
        <v>10433</v>
      </c>
      <c r="I1598" s="800" t="s">
        <v>10433</v>
      </c>
      <c r="J1598" s="800" t="s">
        <v>10447</v>
      </c>
      <c r="K1598" s="800">
        <v>1</v>
      </c>
      <c r="L1598" s="802" t="s">
        <v>10398</v>
      </c>
      <c r="M1598" s="802" t="s">
        <v>18992</v>
      </c>
      <c r="N1598" s="802" t="s">
        <v>11371</v>
      </c>
      <c r="O1598" s="802" t="s">
        <v>18993</v>
      </c>
      <c r="P1598" s="807" t="s">
        <v>18994</v>
      </c>
    </row>
    <row r="1599" spans="1:16" s="341" customFormat="1" ht="15" customHeight="1">
      <c r="A1599" s="806" t="s">
        <v>110</v>
      </c>
      <c r="B1599" s="800" t="s">
        <v>3751</v>
      </c>
      <c r="C1599" s="800" t="s">
        <v>3751</v>
      </c>
      <c r="D1599" s="800" t="s">
        <v>18995</v>
      </c>
      <c r="E1599" s="801">
        <v>43039</v>
      </c>
      <c r="F1599" s="800" t="s">
        <v>18941</v>
      </c>
      <c r="G1599" s="800" t="s">
        <v>18996</v>
      </c>
      <c r="H1599" s="800" t="s">
        <v>10433</v>
      </c>
      <c r="I1599" s="800" t="s">
        <v>10433</v>
      </c>
      <c r="J1599" s="800" t="s">
        <v>10447</v>
      </c>
      <c r="K1599" s="800">
        <v>1</v>
      </c>
      <c r="L1599" s="802" t="s">
        <v>10398</v>
      </c>
      <c r="M1599" s="802" t="s">
        <v>18997</v>
      </c>
      <c r="N1599" s="802" t="s">
        <v>11155</v>
      </c>
      <c r="O1599" s="802" t="s">
        <v>18979</v>
      </c>
      <c r="P1599" s="807" t="s">
        <v>18998</v>
      </c>
    </row>
    <row r="1600" spans="1:16" s="341" customFormat="1" ht="25.5" customHeight="1">
      <c r="A1600" s="806" t="s">
        <v>110</v>
      </c>
      <c r="B1600" s="800" t="s">
        <v>3751</v>
      </c>
      <c r="C1600" s="800" t="s">
        <v>3751</v>
      </c>
      <c r="D1600" s="800" t="s">
        <v>18999</v>
      </c>
      <c r="E1600" s="801">
        <v>43039</v>
      </c>
      <c r="F1600" s="800" t="s">
        <v>18941</v>
      </c>
      <c r="G1600" s="800" t="s">
        <v>19000</v>
      </c>
      <c r="H1600" s="800" t="s">
        <v>10433</v>
      </c>
      <c r="I1600" s="800" t="s">
        <v>10433</v>
      </c>
      <c r="J1600" s="800" t="s">
        <v>10447</v>
      </c>
      <c r="K1600" s="800">
        <v>1</v>
      </c>
      <c r="L1600" s="802" t="s">
        <v>10398</v>
      </c>
      <c r="M1600" s="802" t="s">
        <v>19001</v>
      </c>
      <c r="N1600" s="802" t="s">
        <v>19002</v>
      </c>
      <c r="O1600" s="802" t="s">
        <v>19003</v>
      </c>
      <c r="P1600" s="807" t="s">
        <v>19004</v>
      </c>
    </row>
    <row r="1601" spans="1:16" s="341" customFormat="1" ht="15" customHeight="1">
      <c r="A1601" s="806" t="s">
        <v>110</v>
      </c>
      <c r="B1601" s="800" t="s">
        <v>3751</v>
      </c>
      <c r="C1601" s="800" t="s">
        <v>3751</v>
      </c>
      <c r="D1601" s="800" t="s">
        <v>19005</v>
      </c>
      <c r="E1601" s="801">
        <v>43039</v>
      </c>
      <c r="F1601" s="800" t="s">
        <v>18941</v>
      </c>
      <c r="G1601" s="800" t="s">
        <v>19006</v>
      </c>
      <c r="H1601" s="800" t="s">
        <v>10433</v>
      </c>
      <c r="I1601" s="800" t="s">
        <v>10433</v>
      </c>
      <c r="J1601" s="800" t="s">
        <v>10447</v>
      </c>
      <c r="K1601" s="800">
        <v>1</v>
      </c>
      <c r="L1601" s="802" t="s">
        <v>10398</v>
      </c>
      <c r="M1601" s="802" t="s">
        <v>19007</v>
      </c>
      <c r="N1601" s="802" t="s">
        <v>19008</v>
      </c>
      <c r="O1601" s="802" t="s">
        <v>19009</v>
      </c>
      <c r="P1601" s="807" t="s">
        <v>19010</v>
      </c>
    </row>
    <row r="1602" spans="1:16" s="341" customFormat="1" ht="15" customHeight="1">
      <c r="A1602" s="806" t="s">
        <v>110</v>
      </c>
      <c r="B1602" s="800" t="s">
        <v>3751</v>
      </c>
      <c r="C1602" s="800" t="s">
        <v>3751</v>
      </c>
      <c r="D1602" s="800" t="s">
        <v>19011</v>
      </c>
      <c r="E1602" s="801">
        <v>43039</v>
      </c>
      <c r="F1602" s="800" t="s">
        <v>18941</v>
      </c>
      <c r="G1602" s="800" t="s">
        <v>19012</v>
      </c>
      <c r="H1602" s="800" t="s">
        <v>10433</v>
      </c>
      <c r="I1602" s="800" t="s">
        <v>10433</v>
      </c>
      <c r="J1602" s="800" t="s">
        <v>10447</v>
      </c>
      <c r="K1602" s="800">
        <v>1</v>
      </c>
      <c r="L1602" s="802" t="s">
        <v>10398</v>
      </c>
      <c r="M1602" s="802" t="s">
        <v>19013</v>
      </c>
      <c r="N1602" s="802" t="s">
        <v>19014</v>
      </c>
      <c r="O1602" s="802" t="s">
        <v>19015</v>
      </c>
      <c r="P1602" s="807" t="s">
        <v>32</v>
      </c>
    </row>
    <row r="1603" spans="1:16" s="341" customFormat="1" ht="15" customHeight="1">
      <c r="A1603" s="806" t="s">
        <v>110</v>
      </c>
      <c r="B1603" s="800" t="s">
        <v>3751</v>
      </c>
      <c r="C1603" s="800" t="s">
        <v>3751</v>
      </c>
      <c r="D1603" s="800" t="s">
        <v>19016</v>
      </c>
      <c r="E1603" s="801">
        <v>43039</v>
      </c>
      <c r="F1603" s="800" t="s">
        <v>18941</v>
      </c>
      <c r="G1603" s="800" t="s">
        <v>19017</v>
      </c>
      <c r="H1603" s="800" t="s">
        <v>10433</v>
      </c>
      <c r="I1603" s="800" t="s">
        <v>10433</v>
      </c>
      <c r="J1603" s="800" t="s">
        <v>10447</v>
      </c>
      <c r="K1603" s="800">
        <v>1</v>
      </c>
      <c r="L1603" s="802" t="s">
        <v>10398</v>
      </c>
      <c r="M1603" s="802" t="s">
        <v>19018</v>
      </c>
      <c r="N1603" s="802" t="s">
        <v>19019</v>
      </c>
      <c r="O1603" s="802" t="s">
        <v>19020</v>
      </c>
      <c r="P1603" s="807" t="s">
        <v>32</v>
      </c>
    </row>
    <row r="1604" spans="1:16" s="341" customFormat="1" ht="15" customHeight="1">
      <c r="A1604" s="806" t="s">
        <v>110</v>
      </c>
      <c r="B1604" s="800" t="s">
        <v>3751</v>
      </c>
      <c r="C1604" s="800" t="s">
        <v>3751</v>
      </c>
      <c r="D1604" s="800" t="s">
        <v>19021</v>
      </c>
      <c r="E1604" s="801">
        <v>43039</v>
      </c>
      <c r="F1604" s="800" t="s">
        <v>18941</v>
      </c>
      <c r="G1604" s="800" t="s">
        <v>19022</v>
      </c>
      <c r="H1604" s="800" t="s">
        <v>10433</v>
      </c>
      <c r="I1604" s="800" t="s">
        <v>10433</v>
      </c>
      <c r="J1604" s="800" t="s">
        <v>10447</v>
      </c>
      <c r="K1604" s="800">
        <v>1</v>
      </c>
      <c r="L1604" s="802" t="s">
        <v>10398</v>
      </c>
      <c r="M1604" s="802" t="s">
        <v>19023</v>
      </c>
      <c r="N1604" s="802" t="s">
        <v>15721</v>
      </c>
      <c r="O1604" s="802" t="s">
        <v>19024</v>
      </c>
      <c r="P1604" s="807" t="s">
        <v>19025</v>
      </c>
    </row>
    <row r="1605" spans="1:16" s="341" customFormat="1" ht="15" customHeight="1">
      <c r="A1605" s="806" t="s">
        <v>110</v>
      </c>
      <c r="B1605" s="800" t="s">
        <v>3751</v>
      </c>
      <c r="C1605" s="800" t="s">
        <v>3751</v>
      </c>
      <c r="D1605" s="800" t="s">
        <v>19026</v>
      </c>
      <c r="E1605" s="801">
        <v>43039</v>
      </c>
      <c r="F1605" s="800" t="s">
        <v>19027</v>
      </c>
      <c r="G1605" s="800" t="s">
        <v>19028</v>
      </c>
      <c r="H1605" s="800" t="s">
        <v>10433</v>
      </c>
      <c r="I1605" s="800" t="s">
        <v>10433</v>
      </c>
      <c r="J1605" s="800" t="s">
        <v>10447</v>
      </c>
      <c r="K1605" s="800">
        <v>1</v>
      </c>
      <c r="L1605" s="802" t="s">
        <v>10398</v>
      </c>
      <c r="M1605" s="802" t="s">
        <v>19029</v>
      </c>
      <c r="N1605" s="802" t="s">
        <v>19030</v>
      </c>
      <c r="O1605" s="802" t="s">
        <v>18968</v>
      </c>
      <c r="P1605" s="807" t="s">
        <v>19031</v>
      </c>
    </row>
    <row r="1606" spans="1:16" s="341" customFormat="1" ht="15" customHeight="1">
      <c r="A1606" s="806" t="s">
        <v>110</v>
      </c>
      <c r="B1606" s="800" t="s">
        <v>3751</v>
      </c>
      <c r="C1606" s="800" t="s">
        <v>3751</v>
      </c>
      <c r="D1606" s="800" t="s">
        <v>19032</v>
      </c>
      <c r="E1606" s="801">
        <v>43039</v>
      </c>
      <c r="F1606" s="800" t="s">
        <v>18941</v>
      </c>
      <c r="G1606" s="800" t="s">
        <v>19033</v>
      </c>
      <c r="H1606" s="800" t="s">
        <v>10433</v>
      </c>
      <c r="I1606" s="800" t="s">
        <v>10433</v>
      </c>
      <c r="J1606" s="800" t="s">
        <v>10447</v>
      </c>
      <c r="K1606" s="800">
        <v>1</v>
      </c>
      <c r="L1606" s="802" t="s">
        <v>10398</v>
      </c>
      <c r="M1606" s="802" t="s">
        <v>19034</v>
      </c>
      <c r="N1606" s="802" t="s">
        <v>19035</v>
      </c>
      <c r="O1606" s="802" t="s">
        <v>18968</v>
      </c>
      <c r="P1606" s="807" t="s">
        <v>32</v>
      </c>
    </row>
    <row r="1607" spans="1:16" s="341" customFormat="1" ht="15" customHeight="1">
      <c r="A1607" s="806" t="s">
        <v>110</v>
      </c>
      <c r="B1607" s="800" t="s">
        <v>3751</v>
      </c>
      <c r="C1607" s="800" t="s">
        <v>3751</v>
      </c>
      <c r="D1607" s="800" t="s">
        <v>19036</v>
      </c>
      <c r="E1607" s="801">
        <v>43039</v>
      </c>
      <c r="F1607" s="800" t="s">
        <v>18941</v>
      </c>
      <c r="G1607" s="800" t="s">
        <v>19037</v>
      </c>
      <c r="H1607" s="800" t="s">
        <v>10433</v>
      </c>
      <c r="I1607" s="800" t="s">
        <v>10433</v>
      </c>
      <c r="J1607" s="800" t="s">
        <v>10447</v>
      </c>
      <c r="K1607" s="800">
        <v>1</v>
      </c>
      <c r="L1607" s="802" t="s">
        <v>10398</v>
      </c>
      <c r="M1607" s="802" t="s">
        <v>19038</v>
      </c>
      <c r="N1607" s="802" t="s">
        <v>19039</v>
      </c>
      <c r="O1607" s="802" t="s">
        <v>19040</v>
      </c>
      <c r="P1607" s="807" t="s">
        <v>32</v>
      </c>
    </row>
    <row r="1608" spans="1:16" s="341" customFormat="1" ht="15" customHeight="1">
      <c r="A1608" s="806" t="s">
        <v>110</v>
      </c>
      <c r="B1608" s="800" t="s">
        <v>3751</v>
      </c>
      <c r="C1608" s="800" t="s">
        <v>3751</v>
      </c>
      <c r="D1608" s="800" t="s">
        <v>19041</v>
      </c>
      <c r="E1608" s="801">
        <v>43039</v>
      </c>
      <c r="F1608" s="800" t="s">
        <v>18941</v>
      </c>
      <c r="G1608" s="800" t="s">
        <v>19042</v>
      </c>
      <c r="H1608" s="800" t="s">
        <v>10433</v>
      </c>
      <c r="I1608" s="800" t="s">
        <v>10433</v>
      </c>
      <c r="J1608" s="800" t="s">
        <v>10447</v>
      </c>
      <c r="K1608" s="800">
        <v>1</v>
      </c>
      <c r="L1608" s="802" t="s">
        <v>10398</v>
      </c>
      <c r="M1608" s="802" t="s">
        <v>19043</v>
      </c>
      <c r="N1608" s="802" t="s">
        <v>19044</v>
      </c>
      <c r="O1608" s="802" t="s">
        <v>19045</v>
      </c>
      <c r="P1608" s="807" t="s">
        <v>19046</v>
      </c>
    </row>
    <row r="1609" spans="1:16" s="341" customFormat="1" ht="15" customHeight="1">
      <c r="A1609" s="806" t="s">
        <v>110</v>
      </c>
      <c r="B1609" s="800" t="s">
        <v>3751</v>
      </c>
      <c r="C1609" s="800" t="s">
        <v>3751</v>
      </c>
      <c r="D1609" s="800" t="s">
        <v>19047</v>
      </c>
      <c r="E1609" s="801">
        <v>43039</v>
      </c>
      <c r="F1609" s="800" t="s">
        <v>18941</v>
      </c>
      <c r="G1609" s="800" t="s">
        <v>18966</v>
      </c>
      <c r="H1609" s="800" t="s">
        <v>10433</v>
      </c>
      <c r="I1609" s="800" t="s">
        <v>10433</v>
      </c>
      <c r="J1609" s="800" t="s">
        <v>10447</v>
      </c>
      <c r="K1609" s="800">
        <v>1</v>
      </c>
      <c r="L1609" s="802" t="s">
        <v>10398</v>
      </c>
      <c r="M1609" s="802" t="s">
        <v>19048</v>
      </c>
      <c r="N1609" s="802" t="s">
        <v>19049</v>
      </c>
      <c r="O1609" s="802" t="s">
        <v>19050</v>
      </c>
      <c r="P1609" s="807" t="s">
        <v>19051</v>
      </c>
    </row>
    <row r="1610" spans="1:16" s="341" customFormat="1" ht="15" customHeight="1">
      <c r="A1610" s="806" t="s">
        <v>110</v>
      </c>
      <c r="B1610" s="800" t="s">
        <v>3751</v>
      </c>
      <c r="C1610" s="800" t="s">
        <v>3751</v>
      </c>
      <c r="D1610" s="800" t="s">
        <v>19052</v>
      </c>
      <c r="E1610" s="801">
        <v>43039</v>
      </c>
      <c r="F1610" s="800" t="s">
        <v>18941</v>
      </c>
      <c r="G1610" s="800" t="s">
        <v>19053</v>
      </c>
      <c r="H1610" s="800" t="s">
        <v>10433</v>
      </c>
      <c r="I1610" s="800" t="s">
        <v>10433</v>
      </c>
      <c r="J1610" s="800" t="s">
        <v>10447</v>
      </c>
      <c r="K1610" s="800">
        <v>1</v>
      </c>
      <c r="L1610" s="802" t="s">
        <v>10398</v>
      </c>
      <c r="M1610" s="802" t="s">
        <v>19054</v>
      </c>
      <c r="N1610" s="802" t="s">
        <v>19055</v>
      </c>
      <c r="O1610" s="802" t="s">
        <v>11056</v>
      </c>
      <c r="P1610" s="807" t="s">
        <v>18994</v>
      </c>
    </row>
    <row r="1611" spans="1:16" s="341" customFormat="1" ht="15" customHeight="1">
      <c r="A1611" s="806" t="s">
        <v>110</v>
      </c>
      <c r="B1611" s="800" t="s">
        <v>3751</v>
      </c>
      <c r="C1611" s="800" t="s">
        <v>3751</v>
      </c>
      <c r="D1611" s="800" t="s">
        <v>19056</v>
      </c>
      <c r="E1611" s="801">
        <v>43039</v>
      </c>
      <c r="F1611" s="800" t="s">
        <v>18941</v>
      </c>
      <c r="G1611" s="800" t="s">
        <v>19057</v>
      </c>
      <c r="H1611" s="800" t="s">
        <v>10433</v>
      </c>
      <c r="I1611" s="800" t="s">
        <v>10433</v>
      </c>
      <c r="J1611" s="800" t="s">
        <v>10447</v>
      </c>
      <c r="K1611" s="800">
        <v>1</v>
      </c>
      <c r="L1611" s="802" t="s">
        <v>10398</v>
      </c>
      <c r="M1611" s="802" t="s">
        <v>19058</v>
      </c>
      <c r="N1611" s="802" t="s">
        <v>19059</v>
      </c>
      <c r="O1611" s="802" t="s">
        <v>19060</v>
      </c>
      <c r="P1611" s="807" t="s">
        <v>32</v>
      </c>
    </row>
    <row r="1612" spans="1:16" s="341" customFormat="1" ht="25.5">
      <c r="A1612" s="806" t="s">
        <v>110</v>
      </c>
      <c r="B1612" s="800" t="s">
        <v>3751</v>
      </c>
      <c r="C1612" s="800" t="s">
        <v>3751</v>
      </c>
      <c r="D1612" s="800" t="s">
        <v>19061</v>
      </c>
      <c r="E1612" s="801">
        <v>43039</v>
      </c>
      <c r="F1612" s="800" t="s">
        <v>18941</v>
      </c>
      <c r="G1612" s="800" t="s">
        <v>19062</v>
      </c>
      <c r="H1612" s="800" t="s">
        <v>10433</v>
      </c>
      <c r="I1612" s="800" t="s">
        <v>10433</v>
      </c>
      <c r="J1612" s="800" t="s">
        <v>10447</v>
      </c>
      <c r="K1612" s="800">
        <v>1</v>
      </c>
      <c r="L1612" s="802" t="s">
        <v>10398</v>
      </c>
      <c r="M1612" s="802" t="s">
        <v>19063</v>
      </c>
      <c r="N1612" s="802" t="s">
        <v>19002</v>
      </c>
      <c r="O1612" s="802" t="s">
        <v>19064</v>
      </c>
      <c r="P1612" s="807" t="s">
        <v>19065</v>
      </c>
    </row>
    <row r="1613" spans="1:16" s="341" customFormat="1" ht="25.5">
      <c r="A1613" s="806" t="s">
        <v>110</v>
      </c>
      <c r="B1613" s="800" t="s">
        <v>3751</v>
      </c>
      <c r="C1613" s="800" t="s">
        <v>3751</v>
      </c>
      <c r="D1613" s="800" t="s">
        <v>19066</v>
      </c>
      <c r="E1613" s="801">
        <v>43039</v>
      </c>
      <c r="F1613" s="800" t="s">
        <v>18941</v>
      </c>
      <c r="G1613" s="800" t="s">
        <v>19067</v>
      </c>
      <c r="H1613" s="800" t="s">
        <v>10433</v>
      </c>
      <c r="I1613" s="800" t="s">
        <v>10433</v>
      </c>
      <c r="J1613" s="800" t="s">
        <v>10447</v>
      </c>
      <c r="K1613" s="800">
        <v>1</v>
      </c>
      <c r="L1613" s="802" t="s">
        <v>10398</v>
      </c>
      <c r="M1613" s="802" t="s">
        <v>19068</v>
      </c>
      <c r="N1613" s="802" t="s">
        <v>19069</v>
      </c>
      <c r="O1613" s="802" t="s">
        <v>19070</v>
      </c>
      <c r="P1613" s="807" t="s">
        <v>19071</v>
      </c>
    </row>
    <row r="1614" spans="1:16" s="341" customFormat="1" ht="15">
      <c r="A1614" s="806" t="s">
        <v>110</v>
      </c>
      <c r="B1614" s="800" t="s">
        <v>3751</v>
      </c>
      <c r="C1614" s="800" t="s">
        <v>3751</v>
      </c>
      <c r="D1614" s="800" t="s">
        <v>19072</v>
      </c>
      <c r="E1614" s="801">
        <v>43039</v>
      </c>
      <c r="F1614" s="800" t="s">
        <v>18941</v>
      </c>
      <c r="G1614" s="800" t="s">
        <v>19073</v>
      </c>
      <c r="H1614" s="800" t="s">
        <v>10433</v>
      </c>
      <c r="I1614" s="800" t="s">
        <v>10433</v>
      </c>
      <c r="J1614" s="800" t="s">
        <v>10447</v>
      </c>
      <c r="K1614" s="800">
        <v>1</v>
      </c>
      <c r="L1614" s="802" t="s">
        <v>10398</v>
      </c>
      <c r="M1614" s="802" t="s">
        <v>19074</v>
      </c>
      <c r="N1614" s="802" t="s">
        <v>13250</v>
      </c>
      <c r="O1614" s="802" t="s">
        <v>19075</v>
      </c>
      <c r="P1614" s="807" t="s">
        <v>32</v>
      </c>
    </row>
    <row r="1615" spans="1:16" s="341" customFormat="1" ht="25.5">
      <c r="A1615" s="806" t="s">
        <v>110</v>
      </c>
      <c r="B1615" s="800" t="s">
        <v>3751</v>
      </c>
      <c r="C1615" s="800" t="s">
        <v>3751</v>
      </c>
      <c r="D1615" s="800" t="s">
        <v>19076</v>
      </c>
      <c r="E1615" s="801">
        <v>43039</v>
      </c>
      <c r="F1615" s="800" t="s">
        <v>18941</v>
      </c>
      <c r="G1615" s="800" t="s">
        <v>19077</v>
      </c>
      <c r="H1615" s="800" t="s">
        <v>10433</v>
      </c>
      <c r="I1615" s="800" t="s">
        <v>10433</v>
      </c>
      <c r="J1615" s="800" t="s">
        <v>10447</v>
      </c>
      <c r="K1615" s="800">
        <v>1</v>
      </c>
      <c r="L1615" s="802" t="s">
        <v>10398</v>
      </c>
      <c r="M1615" s="802" t="s">
        <v>19078</v>
      </c>
      <c r="N1615" s="802" t="s">
        <v>11578</v>
      </c>
      <c r="O1615" s="802" t="s">
        <v>19020</v>
      </c>
      <c r="P1615" s="807" t="s">
        <v>19079</v>
      </c>
    </row>
    <row r="1616" spans="1:16" s="341" customFormat="1" ht="25.5">
      <c r="A1616" s="806" t="s">
        <v>110</v>
      </c>
      <c r="B1616" s="800" t="s">
        <v>3751</v>
      </c>
      <c r="C1616" s="800" t="s">
        <v>3751</v>
      </c>
      <c r="D1616" s="800" t="s">
        <v>19080</v>
      </c>
      <c r="E1616" s="801">
        <v>43039</v>
      </c>
      <c r="F1616" s="800" t="s">
        <v>18941</v>
      </c>
      <c r="G1616" s="800" t="s">
        <v>19081</v>
      </c>
      <c r="H1616" s="800" t="s">
        <v>10433</v>
      </c>
      <c r="I1616" s="800" t="s">
        <v>10433</v>
      </c>
      <c r="J1616" s="800" t="s">
        <v>10447</v>
      </c>
      <c r="K1616" s="800">
        <v>1</v>
      </c>
      <c r="L1616" s="802" t="s">
        <v>10398</v>
      </c>
      <c r="M1616" s="802" t="s">
        <v>19082</v>
      </c>
      <c r="N1616" s="802" t="s">
        <v>12660</v>
      </c>
      <c r="O1616" s="802" t="s">
        <v>19083</v>
      </c>
      <c r="P1616" s="807" t="s">
        <v>32</v>
      </c>
    </row>
    <row r="1617" spans="1:16" s="341" customFormat="1" ht="15">
      <c r="A1617" s="806" t="s">
        <v>110</v>
      </c>
      <c r="B1617" s="800" t="s">
        <v>3751</v>
      </c>
      <c r="C1617" s="800" t="s">
        <v>3751</v>
      </c>
      <c r="D1617" s="800" t="s">
        <v>19084</v>
      </c>
      <c r="E1617" s="801">
        <v>43039</v>
      </c>
      <c r="F1617" s="800" t="s">
        <v>19085</v>
      </c>
      <c r="G1617" s="800" t="s">
        <v>19086</v>
      </c>
      <c r="H1617" s="800" t="s">
        <v>10433</v>
      </c>
      <c r="I1617" s="800" t="s">
        <v>10433</v>
      </c>
      <c r="J1617" s="800" t="s">
        <v>10447</v>
      </c>
      <c r="K1617" s="800">
        <v>1</v>
      </c>
      <c r="L1617" s="802" t="s">
        <v>10398</v>
      </c>
      <c r="M1617" s="802" t="s">
        <v>19087</v>
      </c>
      <c r="N1617" s="802" t="s">
        <v>11176</v>
      </c>
      <c r="O1617" s="802" t="s">
        <v>11579</v>
      </c>
      <c r="P1617" s="807" t="s">
        <v>19088</v>
      </c>
    </row>
    <row r="1618" spans="1:16" s="341" customFormat="1" ht="25.5">
      <c r="A1618" s="806" t="s">
        <v>110</v>
      </c>
      <c r="B1618" s="800" t="s">
        <v>3751</v>
      </c>
      <c r="C1618" s="800" t="s">
        <v>3751</v>
      </c>
      <c r="D1618" s="800" t="s">
        <v>19089</v>
      </c>
      <c r="E1618" s="801">
        <v>43039</v>
      </c>
      <c r="F1618" s="800" t="s">
        <v>18941</v>
      </c>
      <c r="G1618" s="800" t="s">
        <v>19090</v>
      </c>
      <c r="H1618" s="800" t="s">
        <v>10433</v>
      </c>
      <c r="I1618" s="800" t="s">
        <v>10433</v>
      </c>
      <c r="J1618" s="800" t="s">
        <v>10447</v>
      </c>
      <c r="K1618" s="800">
        <v>1</v>
      </c>
      <c r="L1618" s="802" t="s">
        <v>10398</v>
      </c>
      <c r="M1618" s="802" t="s">
        <v>19091</v>
      </c>
      <c r="N1618" s="802" t="s">
        <v>10808</v>
      </c>
      <c r="O1618" s="802" t="s">
        <v>18973</v>
      </c>
      <c r="P1618" s="807" t="s">
        <v>19092</v>
      </c>
    </row>
    <row r="1619" spans="1:16" s="341" customFormat="1" ht="25.5">
      <c r="A1619" s="806" t="s">
        <v>110</v>
      </c>
      <c r="B1619" s="800" t="s">
        <v>3751</v>
      </c>
      <c r="C1619" s="800" t="s">
        <v>3751</v>
      </c>
      <c r="D1619" s="800" t="s">
        <v>19093</v>
      </c>
      <c r="E1619" s="801">
        <v>43040</v>
      </c>
      <c r="F1619" s="800" t="s">
        <v>4217</v>
      </c>
      <c r="G1619" s="800" t="s">
        <v>19094</v>
      </c>
      <c r="H1619" s="800" t="s">
        <v>10433</v>
      </c>
      <c r="I1619" s="800" t="s">
        <v>10433</v>
      </c>
      <c r="J1619" s="800" t="s">
        <v>10447</v>
      </c>
      <c r="K1619" s="800">
        <v>1</v>
      </c>
      <c r="L1619" s="802" t="s">
        <v>10398</v>
      </c>
      <c r="M1619" s="802" t="s">
        <v>19095</v>
      </c>
      <c r="N1619" s="802" t="s">
        <v>19096</v>
      </c>
      <c r="O1619" s="802" t="s">
        <v>19097</v>
      </c>
      <c r="P1619" s="807" t="s">
        <v>32</v>
      </c>
    </row>
    <row r="1620" spans="1:16" s="341" customFormat="1" ht="25.5" customHeight="1">
      <c r="A1620" s="806" t="s">
        <v>110</v>
      </c>
      <c r="B1620" s="800" t="s">
        <v>3751</v>
      </c>
      <c r="C1620" s="800" t="s">
        <v>3751</v>
      </c>
      <c r="D1620" s="800" t="s">
        <v>19098</v>
      </c>
      <c r="E1620" s="801">
        <v>43040</v>
      </c>
      <c r="F1620" s="800" t="s">
        <v>4217</v>
      </c>
      <c r="G1620" s="800" t="s">
        <v>19099</v>
      </c>
      <c r="H1620" s="800" t="s">
        <v>10433</v>
      </c>
      <c r="I1620" s="800" t="s">
        <v>10433</v>
      </c>
      <c r="J1620" s="800" t="s">
        <v>10447</v>
      </c>
      <c r="K1620" s="800">
        <v>1</v>
      </c>
      <c r="L1620" s="802" t="s">
        <v>10398</v>
      </c>
      <c r="M1620" s="802" t="s">
        <v>19100</v>
      </c>
      <c r="N1620" s="802" t="s">
        <v>19101</v>
      </c>
      <c r="O1620" s="802" t="s">
        <v>19102</v>
      </c>
      <c r="P1620" s="807" t="s">
        <v>32</v>
      </c>
    </row>
    <row r="1621" spans="1:16" s="341" customFormat="1" ht="15">
      <c r="A1621" s="806" t="s">
        <v>110</v>
      </c>
      <c r="B1621" s="800" t="s">
        <v>3751</v>
      </c>
      <c r="C1621" s="800" t="s">
        <v>3751</v>
      </c>
      <c r="D1621" s="800" t="s">
        <v>19103</v>
      </c>
      <c r="E1621" s="801">
        <v>43040</v>
      </c>
      <c r="F1621" s="800" t="s">
        <v>4217</v>
      </c>
      <c r="G1621" s="800" t="s">
        <v>19104</v>
      </c>
      <c r="H1621" s="800" t="s">
        <v>10433</v>
      </c>
      <c r="I1621" s="800" t="s">
        <v>10433</v>
      </c>
      <c r="J1621" s="800" t="s">
        <v>10447</v>
      </c>
      <c r="K1621" s="800">
        <v>1</v>
      </c>
      <c r="L1621" s="802" t="s">
        <v>10398</v>
      </c>
      <c r="M1621" s="802" t="s">
        <v>19105</v>
      </c>
      <c r="N1621" s="802" t="s">
        <v>19106</v>
      </c>
      <c r="O1621" s="802" t="s">
        <v>19107</v>
      </c>
      <c r="P1621" s="807" t="s">
        <v>19108</v>
      </c>
    </row>
    <row r="1622" spans="1:16" s="341" customFormat="1" ht="25.5">
      <c r="A1622" s="806" t="s">
        <v>110</v>
      </c>
      <c r="B1622" s="800" t="s">
        <v>3751</v>
      </c>
      <c r="C1622" s="800" t="s">
        <v>3751</v>
      </c>
      <c r="D1622" s="800" t="s">
        <v>19109</v>
      </c>
      <c r="E1622" s="801">
        <v>43040</v>
      </c>
      <c r="F1622" s="800" t="s">
        <v>4217</v>
      </c>
      <c r="G1622" s="800" t="s">
        <v>19110</v>
      </c>
      <c r="H1622" s="800" t="s">
        <v>10433</v>
      </c>
      <c r="I1622" s="800" t="s">
        <v>10433</v>
      </c>
      <c r="J1622" s="800" t="s">
        <v>10447</v>
      </c>
      <c r="K1622" s="800">
        <v>1</v>
      </c>
      <c r="L1622" s="802" t="s">
        <v>10398</v>
      </c>
      <c r="M1622" s="802" t="s">
        <v>19111</v>
      </c>
      <c r="N1622" s="802" t="s">
        <v>19112</v>
      </c>
      <c r="O1622" s="802" t="s">
        <v>19113</v>
      </c>
      <c r="P1622" s="807" t="s">
        <v>19114</v>
      </c>
    </row>
    <row r="1623" spans="1:16" s="341" customFormat="1" ht="25.5" customHeight="1">
      <c r="A1623" s="806" t="s">
        <v>110</v>
      </c>
      <c r="B1623" s="800" t="s">
        <v>3751</v>
      </c>
      <c r="C1623" s="800" t="s">
        <v>3751</v>
      </c>
      <c r="D1623" s="800" t="s">
        <v>19115</v>
      </c>
      <c r="E1623" s="801">
        <v>43040</v>
      </c>
      <c r="F1623" s="800" t="s">
        <v>4217</v>
      </c>
      <c r="G1623" s="800" t="s">
        <v>19116</v>
      </c>
      <c r="H1623" s="800" t="s">
        <v>10433</v>
      </c>
      <c r="I1623" s="800" t="s">
        <v>10433</v>
      </c>
      <c r="J1623" s="800" t="s">
        <v>10447</v>
      </c>
      <c r="K1623" s="800">
        <v>1</v>
      </c>
      <c r="L1623" s="802" t="s">
        <v>10398</v>
      </c>
      <c r="M1623" s="802" t="s">
        <v>19117</v>
      </c>
      <c r="N1623" s="802" t="s">
        <v>11461</v>
      </c>
      <c r="O1623" s="802" t="s">
        <v>19118</v>
      </c>
      <c r="P1623" s="807" t="s">
        <v>19119</v>
      </c>
    </row>
    <row r="1624" spans="1:16" s="341" customFormat="1" ht="15" customHeight="1">
      <c r="A1624" s="806" t="s">
        <v>110</v>
      </c>
      <c r="B1624" s="800" t="s">
        <v>3751</v>
      </c>
      <c r="C1624" s="800" t="s">
        <v>3751</v>
      </c>
      <c r="D1624" s="800" t="s">
        <v>19120</v>
      </c>
      <c r="E1624" s="801">
        <v>43039</v>
      </c>
      <c r="F1624" s="800" t="s">
        <v>4217</v>
      </c>
      <c r="G1624" s="800" t="s">
        <v>19121</v>
      </c>
      <c r="H1624" s="800" t="s">
        <v>10433</v>
      </c>
      <c r="I1624" s="800" t="s">
        <v>10433</v>
      </c>
      <c r="J1624" s="800" t="s">
        <v>10447</v>
      </c>
      <c r="K1624" s="800">
        <v>1</v>
      </c>
      <c r="L1624" s="802" t="s">
        <v>10398</v>
      </c>
      <c r="M1624" s="802" t="s">
        <v>19122</v>
      </c>
      <c r="N1624" s="802" t="s">
        <v>19123</v>
      </c>
      <c r="O1624" s="802" t="s">
        <v>19124</v>
      </c>
      <c r="P1624" s="807" t="s">
        <v>32</v>
      </c>
    </row>
    <row r="1625" spans="1:16" s="341" customFormat="1" ht="15" customHeight="1">
      <c r="A1625" s="806" t="s">
        <v>110</v>
      </c>
      <c r="B1625" s="800" t="s">
        <v>3751</v>
      </c>
      <c r="C1625" s="800" t="s">
        <v>3751</v>
      </c>
      <c r="D1625" s="800" t="s">
        <v>19125</v>
      </c>
      <c r="E1625" s="801">
        <v>43039</v>
      </c>
      <c r="F1625" s="800" t="s">
        <v>4217</v>
      </c>
      <c r="G1625" s="800" t="s">
        <v>19126</v>
      </c>
      <c r="H1625" s="800" t="s">
        <v>10433</v>
      </c>
      <c r="I1625" s="800" t="s">
        <v>10433</v>
      </c>
      <c r="J1625" s="800" t="s">
        <v>10447</v>
      </c>
      <c r="K1625" s="800">
        <v>1</v>
      </c>
      <c r="L1625" s="802" t="s">
        <v>10398</v>
      </c>
      <c r="M1625" s="802" t="s">
        <v>19127</v>
      </c>
      <c r="N1625" s="802" t="s">
        <v>19128</v>
      </c>
      <c r="O1625" s="802" t="s">
        <v>19129</v>
      </c>
      <c r="P1625" s="807" t="s">
        <v>19130</v>
      </c>
    </row>
    <row r="1626" spans="1:16" s="341" customFormat="1" ht="15" customHeight="1">
      <c r="A1626" s="806" t="s">
        <v>110</v>
      </c>
      <c r="B1626" s="800" t="s">
        <v>3751</v>
      </c>
      <c r="C1626" s="800" t="s">
        <v>3751</v>
      </c>
      <c r="D1626" s="800" t="s">
        <v>19131</v>
      </c>
      <c r="E1626" s="801">
        <v>43039</v>
      </c>
      <c r="F1626" s="800" t="s">
        <v>4217</v>
      </c>
      <c r="G1626" s="800" t="s">
        <v>19132</v>
      </c>
      <c r="H1626" s="800" t="s">
        <v>10433</v>
      </c>
      <c r="I1626" s="800" t="s">
        <v>10433</v>
      </c>
      <c r="J1626" s="800" t="s">
        <v>10447</v>
      </c>
      <c r="K1626" s="800">
        <v>1</v>
      </c>
      <c r="L1626" s="802" t="s">
        <v>10398</v>
      </c>
      <c r="M1626" s="802" t="s">
        <v>19133</v>
      </c>
      <c r="N1626" s="802" t="s">
        <v>19134</v>
      </c>
      <c r="O1626" s="802" t="s">
        <v>19135</v>
      </c>
      <c r="P1626" s="807" t="s">
        <v>19136</v>
      </c>
    </row>
    <row r="1627" spans="1:16" s="341" customFormat="1" ht="15" customHeight="1">
      <c r="A1627" s="806" t="s">
        <v>110</v>
      </c>
      <c r="B1627" s="800" t="s">
        <v>3751</v>
      </c>
      <c r="C1627" s="800" t="s">
        <v>3751</v>
      </c>
      <c r="D1627" s="800" t="s">
        <v>19137</v>
      </c>
      <c r="E1627" s="801">
        <v>43039</v>
      </c>
      <c r="F1627" s="800" t="s">
        <v>4217</v>
      </c>
      <c r="G1627" s="800" t="s">
        <v>19138</v>
      </c>
      <c r="H1627" s="800" t="s">
        <v>10433</v>
      </c>
      <c r="I1627" s="800" t="s">
        <v>10433</v>
      </c>
      <c r="J1627" s="800" t="s">
        <v>10447</v>
      </c>
      <c r="K1627" s="800">
        <v>1</v>
      </c>
      <c r="L1627" s="802" t="s">
        <v>10398</v>
      </c>
      <c r="M1627" s="802" t="s">
        <v>19139</v>
      </c>
      <c r="N1627" s="802" t="s">
        <v>1000</v>
      </c>
      <c r="O1627" s="802" t="s">
        <v>19140</v>
      </c>
      <c r="P1627" s="807" t="s">
        <v>19141</v>
      </c>
    </row>
    <row r="1628" spans="1:16" s="341" customFormat="1" ht="25.5" customHeight="1">
      <c r="A1628" s="806" t="s">
        <v>110</v>
      </c>
      <c r="B1628" s="800" t="s">
        <v>3751</v>
      </c>
      <c r="C1628" s="800" t="s">
        <v>3751</v>
      </c>
      <c r="D1628" s="800" t="s">
        <v>19142</v>
      </c>
      <c r="E1628" s="801">
        <v>43039</v>
      </c>
      <c r="F1628" s="800" t="s">
        <v>4217</v>
      </c>
      <c r="G1628" s="800" t="s">
        <v>19143</v>
      </c>
      <c r="H1628" s="800" t="s">
        <v>10433</v>
      </c>
      <c r="I1628" s="800" t="s">
        <v>10433</v>
      </c>
      <c r="J1628" s="800" t="s">
        <v>10447</v>
      </c>
      <c r="K1628" s="800">
        <v>1</v>
      </c>
      <c r="L1628" s="802" t="s">
        <v>10398</v>
      </c>
      <c r="M1628" s="802" t="s">
        <v>19144</v>
      </c>
      <c r="N1628" s="802" t="s">
        <v>19145</v>
      </c>
      <c r="O1628" s="802" t="s">
        <v>19146</v>
      </c>
      <c r="P1628" s="807" t="s">
        <v>19147</v>
      </c>
    </row>
    <row r="1629" spans="1:16" s="341" customFormat="1" ht="15" customHeight="1">
      <c r="A1629" s="806" t="s">
        <v>110</v>
      </c>
      <c r="B1629" s="800" t="s">
        <v>3751</v>
      </c>
      <c r="C1629" s="800" t="s">
        <v>3751</v>
      </c>
      <c r="D1629" s="800" t="s">
        <v>19148</v>
      </c>
      <c r="E1629" s="801">
        <v>43039</v>
      </c>
      <c r="F1629" s="800" t="s">
        <v>4217</v>
      </c>
      <c r="G1629" s="800" t="s">
        <v>19149</v>
      </c>
      <c r="H1629" s="800" t="s">
        <v>10433</v>
      </c>
      <c r="I1629" s="800" t="s">
        <v>10433</v>
      </c>
      <c r="J1629" s="800" t="s">
        <v>10447</v>
      </c>
      <c r="K1629" s="800">
        <v>1</v>
      </c>
      <c r="L1629" s="802" t="s">
        <v>10398</v>
      </c>
      <c r="M1629" s="802" t="s">
        <v>19150</v>
      </c>
      <c r="N1629" s="802" t="s">
        <v>19151</v>
      </c>
      <c r="O1629" s="802" t="s">
        <v>19152</v>
      </c>
      <c r="P1629" s="807" t="s">
        <v>19153</v>
      </c>
    </row>
    <row r="1630" spans="1:16" s="341" customFormat="1" ht="15" customHeight="1">
      <c r="A1630" s="806" t="s">
        <v>110</v>
      </c>
      <c r="B1630" s="800" t="s">
        <v>3751</v>
      </c>
      <c r="C1630" s="800" t="s">
        <v>3751</v>
      </c>
      <c r="D1630" s="800" t="s">
        <v>19154</v>
      </c>
      <c r="E1630" s="801">
        <v>43039</v>
      </c>
      <c r="F1630" s="800" t="s">
        <v>4217</v>
      </c>
      <c r="G1630" s="800" t="s">
        <v>19155</v>
      </c>
      <c r="H1630" s="800" t="s">
        <v>10433</v>
      </c>
      <c r="I1630" s="800" t="s">
        <v>10433</v>
      </c>
      <c r="J1630" s="800" t="s">
        <v>10447</v>
      </c>
      <c r="K1630" s="800">
        <v>1</v>
      </c>
      <c r="L1630" s="802" t="s">
        <v>10398</v>
      </c>
      <c r="M1630" s="802" t="s">
        <v>19156</v>
      </c>
      <c r="N1630" s="802" t="s">
        <v>19157</v>
      </c>
      <c r="O1630" s="802" t="s">
        <v>18884</v>
      </c>
      <c r="P1630" s="807" t="s">
        <v>19158</v>
      </c>
    </row>
    <row r="1631" spans="1:16" s="341" customFormat="1" ht="25.5" customHeight="1">
      <c r="A1631" s="806" t="s">
        <v>110</v>
      </c>
      <c r="B1631" s="800" t="s">
        <v>3751</v>
      </c>
      <c r="C1631" s="800" t="s">
        <v>3751</v>
      </c>
      <c r="D1631" s="800" t="s">
        <v>19159</v>
      </c>
      <c r="E1631" s="801">
        <v>43039</v>
      </c>
      <c r="F1631" s="800" t="s">
        <v>4217</v>
      </c>
      <c r="G1631" s="800" t="s">
        <v>19160</v>
      </c>
      <c r="H1631" s="800" t="s">
        <v>10433</v>
      </c>
      <c r="I1631" s="800" t="s">
        <v>10433</v>
      </c>
      <c r="J1631" s="800" t="s">
        <v>10447</v>
      </c>
      <c r="K1631" s="800">
        <v>1</v>
      </c>
      <c r="L1631" s="802" t="s">
        <v>10398</v>
      </c>
      <c r="M1631" s="802" t="s">
        <v>19161</v>
      </c>
      <c r="N1631" s="802" t="s">
        <v>19162</v>
      </c>
      <c r="O1631" s="802" t="s">
        <v>19163</v>
      </c>
      <c r="P1631" s="807" t="s">
        <v>18923</v>
      </c>
    </row>
    <row r="1632" spans="1:16" s="341" customFormat="1" ht="25.5" customHeight="1">
      <c r="A1632" s="806" t="s">
        <v>110</v>
      </c>
      <c r="B1632" s="800" t="s">
        <v>3751</v>
      </c>
      <c r="C1632" s="800" t="s">
        <v>3751</v>
      </c>
      <c r="D1632" s="800" t="s">
        <v>19164</v>
      </c>
      <c r="E1632" s="801">
        <v>43039</v>
      </c>
      <c r="F1632" s="800" t="s">
        <v>4217</v>
      </c>
      <c r="G1632" s="800" t="s">
        <v>19165</v>
      </c>
      <c r="H1632" s="800" t="s">
        <v>10433</v>
      </c>
      <c r="I1632" s="800" t="s">
        <v>10433</v>
      </c>
      <c r="J1632" s="800" t="s">
        <v>10447</v>
      </c>
      <c r="K1632" s="800">
        <v>1</v>
      </c>
      <c r="L1632" s="802" t="s">
        <v>10398</v>
      </c>
      <c r="M1632" s="802" t="s">
        <v>19166</v>
      </c>
      <c r="N1632" s="802" t="s">
        <v>19167</v>
      </c>
      <c r="O1632" s="802" t="s">
        <v>19140</v>
      </c>
      <c r="P1632" s="807" t="s">
        <v>19168</v>
      </c>
    </row>
    <row r="1633" spans="1:16" s="341" customFormat="1" ht="25.5" customHeight="1">
      <c r="A1633" s="806" t="s">
        <v>110</v>
      </c>
      <c r="B1633" s="800" t="s">
        <v>3751</v>
      </c>
      <c r="C1633" s="800" t="s">
        <v>3751</v>
      </c>
      <c r="D1633" s="800" t="s">
        <v>19169</v>
      </c>
      <c r="E1633" s="801">
        <v>43039</v>
      </c>
      <c r="F1633" s="800" t="s">
        <v>4217</v>
      </c>
      <c r="G1633" s="800" t="s">
        <v>19170</v>
      </c>
      <c r="H1633" s="800" t="s">
        <v>10433</v>
      </c>
      <c r="I1633" s="800" t="s">
        <v>10433</v>
      </c>
      <c r="J1633" s="800" t="s">
        <v>10447</v>
      </c>
      <c r="K1633" s="800">
        <v>1</v>
      </c>
      <c r="L1633" s="802" t="s">
        <v>10398</v>
      </c>
      <c r="M1633" s="802" t="s">
        <v>19171</v>
      </c>
      <c r="N1633" s="802" t="s">
        <v>14219</v>
      </c>
      <c r="O1633" s="802" t="s">
        <v>19172</v>
      </c>
      <c r="P1633" s="807" t="s">
        <v>32</v>
      </c>
    </row>
    <row r="1634" spans="1:16" s="341" customFormat="1" ht="15" customHeight="1">
      <c r="A1634" s="806" t="s">
        <v>110</v>
      </c>
      <c r="B1634" s="800" t="s">
        <v>3751</v>
      </c>
      <c r="C1634" s="800" t="s">
        <v>3751</v>
      </c>
      <c r="D1634" s="800" t="s">
        <v>19173</v>
      </c>
      <c r="E1634" s="801">
        <v>43039</v>
      </c>
      <c r="F1634" s="800" t="s">
        <v>4217</v>
      </c>
      <c r="G1634" s="800" t="s">
        <v>19174</v>
      </c>
      <c r="H1634" s="800" t="s">
        <v>10433</v>
      </c>
      <c r="I1634" s="800" t="s">
        <v>10433</v>
      </c>
      <c r="J1634" s="800" t="s">
        <v>10447</v>
      </c>
      <c r="K1634" s="800">
        <v>1</v>
      </c>
      <c r="L1634" s="802" t="s">
        <v>10398</v>
      </c>
      <c r="M1634" s="802" t="s">
        <v>19175</v>
      </c>
      <c r="N1634" s="802" t="s">
        <v>14202</v>
      </c>
      <c r="O1634" s="802" t="s">
        <v>19176</v>
      </c>
      <c r="P1634" s="807" t="s">
        <v>32</v>
      </c>
    </row>
    <row r="1635" spans="1:16" s="341" customFormat="1" ht="15" customHeight="1">
      <c r="A1635" s="806" t="s">
        <v>110</v>
      </c>
      <c r="B1635" s="800" t="s">
        <v>3751</v>
      </c>
      <c r="C1635" s="800" t="s">
        <v>3751</v>
      </c>
      <c r="D1635" s="800" t="s">
        <v>19177</v>
      </c>
      <c r="E1635" s="801">
        <v>43039</v>
      </c>
      <c r="F1635" s="800" t="s">
        <v>4217</v>
      </c>
      <c r="G1635" s="800" t="s">
        <v>19178</v>
      </c>
      <c r="H1635" s="800" t="s">
        <v>10433</v>
      </c>
      <c r="I1635" s="800" t="s">
        <v>10433</v>
      </c>
      <c r="J1635" s="800" t="s">
        <v>10447</v>
      </c>
      <c r="K1635" s="800">
        <v>1</v>
      </c>
      <c r="L1635" s="802" t="s">
        <v>10398</v>
      </c>
      <c r="M1635" s="802" t="s">
        <v>19179</v>
      </c>
      <c r="N1635" s="802" t="s">
        <v>19180</v>
      </c>
      <c r="O1635" s="802" t="s">
        <v>18884</v>
      </c>
      <c r="P1635" s="807" t="s">
        <v>19181</v>
      </c>
    </row>
    <row r="1636" spans="1:16" s="341" customFormat="1" ht="38.25" customHeight="1">
      <c r="A1636" s="806" t="s">
        <v>110</v>
      </c>
      <c r="B1636" s="800" t="s">
        <v>3751</v>
      </c>
      <c r="C1636" s="800" t="s">
        <v>3751</v>
      </c>
      <c r="D1636" s="800" t="s">
        <v>19182</v>
      </c>
      <c r="E1636" s="801">
        <v>43039</v>
      </c>
      <c r="F1636" s="800" t="s">
        <v>4217</v>
      </c>
      <c r="G1636" s="800" t="s">
        <v>19183</v>
      </c>
      <c r="H1636" s="800" t="s">
        <v>10433</v>
      </c>
      <c r="I1636" s="800" t="s">
        <v>10433</v>
      </c>
      <c r="J1636" s="800" t="s">
        <v>10447</v>
      </c>
      <c r="K1636" s="800">
        <v>1</v>
      </c>
      <c r="L1636" s="802" t="s">
        <v>10398</v>
      </c>
      <c r="M1636" s="802" t="s">
        <v>19184</v>
      </c>
      <c r="N1636" s="802" t="s">
        <v>19185</v>
      </c>
      <c r="O1636" s="802" t="s">
        <v>19186</v>
      </c>
      <c r="P1636" s="807" t="s">
        <v>19187</v>
      </c>
    </row>
    <row r="1637" spans="1:16" s="341" customFormat="1" ht="15" customHeight="1">
      <c r="A1637" s="806" t="s">
        <v>110</v>
      </c>
      <c r="B1637" s="800" t="s">
        <v>3751</v>
      </c>
      <c r="C1637" s="800" t="s">
        <v>3751</v>
      </c>
      <c r="D1637" s="800" t="s">
        <v>19188</v>
      </c>
      <c r="E1637" s="801">
        <v>43039</v>
      </c>
      <c r="F1637" s="800" t="s">
        <v>4217</v>
      </c>
      <c r="G1637" s="800" t="s">
        <v>19189</v>
      </c>
      <c r="H1637" s="800" t="s">
        <v>10433</v>
      </c>
      <c r="I1637" s="800" t="s">
        <v>10433</v>
      </c>
      <c r="J1637" s="800" t="s">
        <v>10447</v>
      </c>
      <c r="K1637" s="800">
        <v>1</v>
      </c>
      <c r="L1637" s="802" t="s">
        <v>10398</v>
      </c>
      <c r="M1637" s="802" t="s">
        <v>19190</v>
      </c>
      <c r="N1637" s="802" t="s">
        <v>19191</v>
      </c>
      <c r="O1637" s="802" t="s">
        <v>18884</v>
      </c>
      <c r="P1637" s="807" t="s">
        <v>19192</v>
      </c>
    </row>
    <row r="1638" spans="1:16" s="341" customFormat="1" ht="38.25" customHeight="1">
      <c r="A1638" s="806" t="s">
        <v>110</v>
      </c>
      <c r="B1638" s="800" t="s">
        <v>3751</v>
      </c>
      <c r="C1638" s="800" t="s">
        <v>3751</v>
      </c>
      <c r="D1638" s="800" t="s">
        <v>19193</v>
      </c>
      <c r="E1638" s="801">
        <v>43039</v>
      </c>
      <c r="F1638" s="800" t="s">
        <v>4217</v>
      </c>
      <c r="G1638" s="800" t="s">
        <v>19194</v>
      </c>
      <c r="H1638" s="800" t="s">
        <v>10433</v>
      </c>
      <c r="I1638" s="800" t="s">
        <v>10433</v>
      </c>
      <c r="J1638" s="800" t="s">
        <v>10447</v>
      </c>
      <c r="K1638" s="800">
        <v>1</v>
      </c>
      <c r="L1638" s="802" t="s">
        <v>10398</v>
      </c>
      <c r="M1638" s="802" t="s">
        <v>19195</v>
      </c>
      <c r="N1638" s="802" t="s">
        <v>19196</v>
      </c>
      <c r="O1638" s="802" t="s">
        <v>19197</v>
      </c>
      <c r="P1638" s="807" t="s">
        <v>19198</v>
      </c>
    </row>
    <row r="1639" spans="1:16" s="341" customFormat="1" ht="38.25" customHeight="1">
      <c r="A1639" s="806" t="s">
        <v>110</v>
      </c>
      <c r="B1639" s="800" t="s">
        <v>3751</v>
      </c>
      <c r="C1639" s="800" t="s">
        <v>3751</v>
      </c>
      <c r="D1639" s="800" t="s">
        <v>19199</v>
      </c>
      <c r="E1639" s="801">
        <v>43039</v>
      </c>
      <c r="F1639" s="800" t="s">
        <v>4217</v>
      </c>
      <c r="G1639" s="800" t="s">
        <v>19200</v>
      </c>
      <c r="H1639" s="800" t="s">
        <v>10433</v>
      </c>
      <c r="I1639" s="800" t="s">
        <v>10433</v>
      </c>
      <c r="J1639" s="800" t="s">
        <v>10447</v>
      </c>
      <c r="K1639" s="800">
        <v>1</v>
      </c>
      <c r="L1639" s="802" t="s">
        <v>10398</v>
      </c>
      <c r="M1639" s="802" t="s">
        <v>19201</v>
      </c>
      <c r="N1639" s="802" t="s">
        <v>19202</v>
      </c>
      <c r="O1639" s="802" t="s">
        <v>18884</v>
      </c>
      <c r="P1639" s="807" t="s">
        <v>19203</v>
      </c>
    </row>
    <row r="1640" spans="1:16" s="341" customFormat="1" ht="25.5" customHeight="1">
      <c r="A1640" s="806" t="s">
        <v>110</v>
      </c>
      <c r="B1640" s="800" t="s">
        <v>3751</v>
      </c>
      <c r="C1640" s="800" t="s">
        <v>3751</v>
      </c>
      <c r="D1640" s="800" t="s">
        <v>19204</v>
      </c>
      <c r="E1640" s="801">
        <v>43039</v>
      </c>
      <c r="F1640" s="800" t="s">
        <v>4217</v>
      </c>
      <c r="G1640" s="800" t="s">
        <v>19205</v>
      </c>
      <c r="H1640" s="800" t="s">
        <v>10433</v>
      </c>
      <c r="I1640" s="800" t="s">
        <v>10433</v>
      </c>
      <c r="J1640" s="800" t="s">
        <v>10447</v>
      </c>
      <c r="K1640" s="800">
        <v>1</v>
      </c>
      <c r="L1640" s="802" t="s">
        <v>10398</v>
      </c>
      <c r="M1640" s="802" t="s">
        <v>19206</v>
      </c>
      <c r="N1640" s="802" t="s">
        <v>19207</v>
      </c>
      <c r="O1640" s="802" t="s">
        <v>19129</v>
      </c>
      <c r="P1640" s="807" t="s">
        <v>19208</v>
      </c>
    </row>
    <row r="1641" spans="1:16" s="341" customFormat="1" ht="25.5" customHeight="1">
      <c r="A1641" s="806" t="s">
        <v>110</v>
      </c>
      <c r="B1641" s="800" t="s">
        <v>3751</v>
      </c>
      <c r="C1641" s="800" t="s">
        <v>3751</v>
      </c>
      <c r="D1641" s="800" t="s">
        <v>19209</v>
      </c>
      <c r="E1641" s="801">
        <v>43039</v>
      </c>
      <c r="F1641" s="800" t="s">
        <v>4217</v>
      </c>
      <c r="G1641" s="800" t="s">
        <v>19210</v>
      </c>
      <c r="H1641" s="800" t="s">
        <v>10433</v>
      </c>
      <c r="I1641" s="800" t="s">
        <v>10433</v>
      </c>
      <c r="J1641" s="800" t="s">
        <v>10447</v>
      </c>
      <c r="K1641" s="800">
        <v>1</v>
      </c>
      <c r="L1641" s="802" t="s">
        <v>10398</v>
      </c>
      <c r="M1641" s="802" t="s">
        <v>19211</v>
      </c>
      <c r="N1641" s="802" t="s">
        <v>19212</v>
      </c>
      <c r="O1641" s="802" t="s">
        <v>19213</v>
      </c>
      <c r="P1641" s="807" t="s">
        <v>19214</v>
      </c>
    </row>
    <row r="1642" spans="1:16" s="341" customFormat="1" ht="25.5" customHeight="1">
      <c r="A1642" s="806" t="s">
        <v>110</v>
      </c>
      <c r="B1642" s="800" t="s">
        <v>3751</v>
      </c>
      <c r="C1642" s="800" t="s">
        <v>3751</v>
      </c>
      <c r="D1642" s="800" t="s">
        <v>19215</v>
      </c>
      <c r="E1642" s="801">
        <v>43039</v>
      </c>
      <c r="F1642" s="800" t="s">
        <v>4217</v>
      </c>
      <c r="G1642" s="800" t="s">
        <v>19216</v>
      </c>
      <c r="H1642" s="800" t="s">
        <v>10433</v>
      </c>
      <c r="I1642" s="800" t="s">
        <v>10433</v>
      </c>
      <c r="J1642" s="800" t="s">
        <v>10447</v>
      </c>
      <c r="K1642" s="800">
        <v>1</v>
      </c>
      <c r="L1642" s="802" t="s">
        <v>10398</v>
      </c>
      <c r="M1642" s="802" t="s">
        <v>19217</v>
      </c>
      <c r="N1642" s="802" t="s">
        <v>19218</v>
      </c>
      <c r="O1642" s="802" t="s">
        <v>19219</v>
      </c>
      <c r="P1642" s="807" t="s">
        <v>19220</v>
      </c>
    </row>
    <row r="1643" spans="1:16" s="341" customFormat="1" ht="15" customHeight="1">
      <c r="A1643" s="806" t="s">
        <v>110</v>
      </c>
      <c r="B1643" s="800" t="s">
        <v>3751</v>
      </c>
      <c r="C1643" s="800" t="s">
        <v>3751</v>
      </c>
      <c r="D1643" s="800" t="s">
        <v>19221</v>
      </c>
      <c r="E1643" s="801">
        <v>43039</v>
      </c>
      <c r="F1643" s="800" t="s">
        <v>4217</v>
      </c>
      <c r="G1643" s="800" t="s">
        <v>19222</v>
      </c>
      <c r="H1643" s="800" t="s">
        <v>10433</v>
      </c>
      <c r="I1643" s="800" t="s">
        <v>10433</v>
      </c>
      <c r="J1643" s="800" t="s">
        <v>10447</v>
      </c>
      <c r="K1643" s="800">
        <v>1</v>
      </c>
      <c r="L1643" s="802" t="s">
        <v>10398</v>
      </c>
      <c r="M1643" s="802" t="s">
        <v>19223</v>
      </c>
      <c r="N1643" s="802" t="s">
        <v>19224</v>
      </c>
      <c r="O1643" s="802" t="s">
        <v>19225</v>
      </c>
      <c r="P1643" s="807" t="s">
        <v>19226</v>
      </c>
    </row>
    <row r="1644" spans="1:16" s="341" customFormat="1" ht="25.5" customHeight="1">
      <c r="A1644" s="806" t="s">
        <v>110</v>
      </c>
      <c r="B1644" s="800" t="s">
        <v>3751</v>
      </c>
      <c r="C1644" s="800" t="s">
        <v>3751</v>
      </c>
      <c r="D1644" s="800" t="s">
        <v>19227</v>
      </c>
      <c r="E1644" s="801">
        <v>43039</v>
      </c>
      <c r="F1644" s="800" t="s">
        <v>4217</v>
      </c>
      <c r="G1644" s="800" t="s">
        <v>19228</v>
      </c>
      <c r="H1644" s="800" t="s">
        <v>10433</v>
      </c>
      <c r="I1644" s="800" t="s">
        <v>10433</v>
      </c>
      <c r="J1644" s="800" t="s">
        <v>10447</v>
      </c>
      <c r="K1644" s="800">
        <v>1</v>
      </c>
      <c r="L1644" s="802" t="s">
        <v>10398</v>
      </c>
      <c r="M1644" s="802" t="s">
        <v>19229</v>
      </c>
      <c r="N1644" s="802" t="s">
        <v>19230</v>
      </c>
      <c r="O1644" s="802" t="s">
        <v>19231</v>
      </c>
      <c r="P1644" s="807" t="s">
        <v>19232</v>
      </c>
    </row>
    <row r="1645" spans="1:16" s="341" customFormat="1" ht="25.5" customHeight="1">
      <c r="A1645" s="806" t="s">
        <v>110</v>
      </c>
      <c r="B1645" s="800" t="s">
        <v>3751</v>
      </c>
      <c r="C1645" s="800" t="s">
        <v>3751</v>
      </c>
      <c r="D1645" s="800" t="s">
        <v>19233</v>
      </c>
      <c r="E1645" s="801">
        <v>43039</v>
      </c>
      <c r="F1645" s="800" t="s">
        <v>4217</v>
      </c>
      <c r="G1645" s="800" t="s">
        <v>19234</v>
      </c>
      <c r="H1645" s="800" t="s">
        <v>10433</v>
      </c>
      <c r="I1645" s="800" t="s">
        <v>10433</v>
      </c>
      <c r="J1645" s="800" t="s">
        <v>10447</v>
      </c>
      <c r="K1645" s="800">
        <v>1</v>
      </c>
      <c r="L1645" s="802" t="s">
        <v>10398</v>
      </c>
      <c r="M1645" s="802" t="s">
        <v>19235</v>
      </c>
      <c r="N1645" s="802" t="s">
        <v>16859</v>
      </c>
      <c r="O1645" s="802" t="s">
        <v>19213</v>
      </c>
      <c r="P1645" s="807" t="s">
        <v>19232</v>
      </c>
    </row>
    <row r="1646" spans="1:16" s="341" customFormat="1" ht="25.5" customHeight="1">
      <c r="A1646" s="806" t="s">
        <v>110</v>
      </c>
      <c r="B1646" s="800" t="s">
        <v>3751</v>
      </c>
      <c r="C1646" s="800" t="s">
        <v>3751</v>
      </c>
      <c r="D1646" s="800" t="s">
        <v>19236</v>
      </c>
      <c r="E1646" s="801">
        <v>43053</v>
      </c>
      <c r="F1646" s="800" t="s">
        <v>4217</v>
      </c>
      <c r="G1646" s="800" t="s">
        <v>19237</v>
      </c>
      <c r="H1646" s="800" t="s">
        <v>10433</v>
      </c>
      <c r="I1646" s="800" t="s">
        <v>10433</v>
      </c>
      <c r="J1646" s="800" t="s">
        <v>10447</v>
      </c>
      <c r="K1646" s="800">
        <v>1</v>
      </c>
      <c r="L1646" s="802" t="s">
        <v>10398</v>
      </c>
      <c r="M1646" s="802" t="s">
        <v>19238</v>
      </c>
      <c r="N1646" s="802" t="s">
        <v>17963</v>
      </c>
      <c r="O1646" s="802" t="s">
        <v>19239</v>
      </c>
      <c r="P1646" s="807" t="s">
        <v>19240</v>
      </c>
    </row>
    <row r="1647" spans="1:16" s="341" customFormat="1" ht="25.5" customHeight="1">
      <c r="A1647" s="806" t="s">
        <v>110</v>
      </c>
      <c r="B1647" s="800" t="s">
        <v>3751</v>
      </c>
      <c r="C1647" s="800" t="s">
        <v>3751</v>
      </c>
      <c r="D1647" s="800" t="s">
        <v>19241</v>
      </c>
      <c r="E1647" s="801">
        <v>43046</v>
      </c>
      <c r="F1647" s="800" t="s">
        <v>4217</v>
      </c>
      <c r="G1647" s="800" t="s">
        <v>19242</v>
      </c>
      <c r="H1647" s="800" t="s">
        <v>10433</v>
      </c>
      <c r="I1647" s="800" t="s">
        <v>10433</v>
      </c>
      <c r="J1647" s="800" t="s">
        <v>10447</v>
      </c>
      <c r="K1647" s="800">
        <v>1</v>
      </c>
      <c r="L1647" s="802" t="s">
        <v>10398</v>
      </c>
      <c r="M1647" s="802" t="s">
        <v>19243</v>
      </c>
      <c r="N1647" s="802" t="s">
        <v>19244</v>
      </c>
      <c r="O1647" s="802" t="s">
        <v>19113</v>
      </c>
      <c r="P1647" s="807" t="s">
        <v>19245</v>
      </c>
    </row>
    <row r="1648" spans="1:16" s="341" customFormat="1" ht="38.25" customHeight="1">
      <c r="A1648" s="806" t="s">
        <v>110</v>
      </c>
      <c r="B1648" s="800" t="s">
        <v>3751</v>
      </c>
      <c r="C1648" s="800" t="s">
        <v>3751</v>
      </c>
      <c r="D1648" s="800" t="s">
        <v>19246</v>
      </c>
      <c r="E1648" s="801">
        <v>43046</v>
      </c>
      <c r="F1648" s="800" t="s">
        <v>4217</v>
      </c>
      <c r="G1648" s="800" t="s">
        <v>19247</v>
      </c>
      <c r="H1648" s="800" t="s">
        <v>10433</v>
      </c>
      <c r="I1648" s="800" t="s">
        <v>10433</v>
      </c>
      <c r="J1648" s="800" t="s">
        <v>10447</v>
      </c>
      <c r="K1648" s="800">
        <v>1</v>
      </c>
      <c r="L1648" s="802" t="s">
        <v>10398</v>
      </c>
      <c r="M1648" s="802" t="s">
        <v>19248</v>
      </c>
      <c r="N1648" s="802" t="s">
        <v>12532</v>
      </c>
      <c r="O1648" s="802" t="s">
        <v>19249</v>
      </c>
      <c r="P1648" s="807" t="s">
        <v>19250</v>
      </c>
    </row>
    <row r="1649" spans="1:16" s="341" customFormat="1" ht="25.5" customHeight="1">
      <c r="A1649" s="806" t="s">
        <v>110</v>
      </c>
      <c r="B1649" s="800" t="s">
        <v>3751</v>
      </c>
      <c r="C1649" s="800" t="s">
        <v>3751</v>
      </c>
      <c r="D1649" s="800" t="s">
        <v>19251</v>
      </c>
      <c r="E1649" s="801">
        <v>43046</v>
      </c>
      <c r="F1649" s="800" t="s">
        <v>19252</v>
      </c>
      <c r="G1649" s="800" t="s">
        <v>19253</v>
      </c>
      <c r="H1649" s="800" t="s">
        <v>10433</v>
      </c>
      <c r="I1649" s="800" t="s">
        <v>10433</v>
      </c>
      <c r="J1649" s="800" t="s">
        <v>10447</v>
      </c>
      <c r="K1649" s="800">
        <v>1</v>
      </c>
      <c r="L1649" s="802" t="s">
        <v>10398</v>
      </c>
      <c r="M1649" s="802" t="s">
        <v>19254</v>
      </c>
      <c r="N1649" s="802" t="s">
        <v>15494</v>
      </c>
      <c r="O1649" s="802" t="s">
        <v>19255</v>
      </c>
      <c r="P1649" s="807" t="s">
        <v>19256</v>
      </c>
    </row>
    <row r="1650" spans="1:16" s="341" customFormat="1" ht="25.5" customHeight="1">
      <c r="A1650" s="806" t="s">
        <v>110</v>
      </c>
      <c r="B1650" s="800" t="s">
        <v>3751</v>
      </c>
      <c r="C1650" s="800" t="s">
        <v>3751</v>
      </c>
      <c r="D1650" s="800" t="s">
        <v>19257</v>
      </c>
      <c r="E1650" s="801">
        <v>43046</v>
      </c>
      <c r="F1650" s="800" t="s">
        <v>19252</v>
      </c>
      <c r="G1650" s="800" t="s">
        <v>19258</v>
      </c>
      <c r="H1650" s="800" t="s">
        <v>10433</v>
      </c>
      <c r="I1650" s="800" t="s">
        <v>10433</v>
      </c>
      <c r="J1650" s="800" t="s">
        <v>10447</v>
      </c>
      <c r="K1650" s="800">
        <v>1</v>
      </c>
      <c r="L1650" s="802" t="s">
        <v>10398</v>
      </c>
      <c r="M1650" s="802" t="s">
        <v>19259</v>
      </c>
      <c r="N1650" s="802" t="s">
        <v>19260</v>
      </c>
      <c r="O1650" s="802" t="s">
        <v>19261</v>
      </c>
      <c r="P1650" s="807" t="s">
        <v>19071</v>
      </c>
    </row>
    <row r="1651" spans="1:16" s="341" customFormat="1" ht="25.5" customHeight="1">
      <c r="A1651" s="806" t="s">
        <v>110</v>
      </c>
      <c r="B1651" s="800" t="s">
        <v>3751</v>
      </c>
      <c r="C1651" s="800" t="s">
        <v>3751</v>
      </c>
      <c r="D1651" s="800" t="s">
        <v>19262</v>
      </c>
      <c r="E1651" s="801">
        <v>43046</v>
      </c>
      <c r="F1651" s="800" t="s">
        <v>19252</v>
      </c>
      <c r="G1651" s="800" t="s">
        <v>19263</v>
      </c>
      <c r="H1651" s="800" t="s">
        <v>10433</v>
      </c>
      <c r="I1651" s="800" t="s">
        <v>10433</v>
      </c>
      <c r="J1651" s="800" t="s">
        <v>10447</v>
      </c>
      <c r="K1651" s="800">
        <v>1</v>
      </c>
      <c r="L1651" s="802" t="s">
        <v>10398</v>
      </c>
      <c r="M1651" s="802" t="s">
        <v>19264</v>
      </c>
      <c r="N1651" s="802" t="s">
        <v>19265</v>
      </c>
      <c r="O1651" s="802" t="s">
        <v>19266</v>
      </c>
      <c r="P1651" s="807" t="s">
        <v>19267</v>
      </c>
    </row>
    <row r="1652" spans="1:16" s="341" customFormat="1" ht="25.5" customHeight="1">
      <c r="A1652" s="806" t="s">
        <v>110</v>
      </c>
      <c r="B1652" s="800" t="s">
        <v>3751</v>
      </c>
      <c r="C1652" s="800" t="s">
        <v>3751</v>
      </c>
      <c r="D1652" s="800" t="s">
        <v>19268</v>
      </c>
      <c r="E1652" s="801">
        <v>43046</v>
      </c>
      <c r="F1652" s="800" t="s">
        <v>19252</v>
      </c>
      <c r="G1652" s="800" t="s">
        <v>19269</v>
      </c>
      <c r="H1652" s="800" t="s">
        <v>10433</v>
      </c>
      <c r="I1652" s="800" t="s">
        <v>10433</v>
      </c>
      <c r="J1652" s="800" t="s">
        <v>10447</v>
      </c>
      <c r="K1652" s="800">
        <v>1</v>
      </c>
      <c r="L1652" s="802" t="s">
        <v>10398</v>
      </c>
      <c r="M1652" s="802" t="s">
        <v>19270</v>
      </c>
      <c r="N1652" s="802" t="s">
        <v>19271</v>
      </c>
      <c r="O1652" s="802" t="s">
        <v>19272</v>
      </c>
      <c r="P1652" s="807" t="s">
        <v>19273</v>
      </c>
    </row>
    <row r="1653" spans="1:16" s="341" customFormat="1" ht="25.5" customHeight="1">
      <c r="A1653" s="806" t="s">
        <v>110</v>
      </c>
      <c r="B1653" s="800" t="s">
        <v>3751</v>
      </c>
      <c r="C1653" s="800" t="s">
        <v>3751</v>
      </c>
      <c r="D1653" s="800" t="s">
        <v>19274</v>
      </c>
      <c r="E1653" s="801">
        <v>43046</v>
      </c>
      <c r="F1653" s="800" t="s">
        <v>19252</v>
      </c>
      <c r="G1653" s="800" t="s">
        <v>19275</v>
      </c>
      <c r="H1653" s="800" t="s">
        <v>10433</v>
      </c>
      <c r="I1653" s="800" t="s">
        <v>10433</v>
      </c>
      <c r="J1653" s="800" t="s">
        <v>10447</v>
      </c>
      <c r="K1653" s="800">
        <v>1</v>
      </c>
      <c r="L1653" s="802" t="s">
        <v>10398</v>
      </c>
      <c r="M1653" s="802" t="s">
        <v>19276</v>
      </c>
      <c r="N1653" s="802" t="s">
        <v>19277</v>
      </c>
      <c r="O1653" s="802" t="s">
        <v>19278</v>
      </c>
      <c r="P1653" s="807" t="s">
        <v>19279</v>
      </c>
    </row>
    <row r="1654" spans="1:16" s="341" customFormat="1" ht="25.5" customHeight="1">
      <c r="A1654" s="806" t="s">
        <v>110</v>
      </c>
      <c r="B1654" s="800" t="s">
        <v>3751</v>
      </c>
      <c r="C1654" s="800" t="s">
        <v>3751</v>
      </c>
      <c r="D1654" s="800" t="s">
        <v>19280</v>
      </c>
      <c r="E1654" s="801">
        <v>43039</v>
      </c>
      <c r="F1654" s="800" t="s">
        <v>19252</v>
      </c>
      <c r="G1654" s="800" t="s">
        <v>19281</v>
      </c>
      <c r="H1654" s="800" t="s">
        <v>10433</v>
      </c>
      <c r="I1654" s="800" t="s">
        <v>10433</v>
      </c>
      <c r="J1654" s="800" t="s">
        <v>10447</v>
      </c>
      <c r="K1654" s="800">
        <v>1</v>
      </c>
      <c r="L1654" s="802" t="s">
        <v>11026</v>
      </c>
      <c r="M1654" s="802" t="s">
        <v>19282</v>
      </c>
      <c r="N1654" s="802" t="s">
        <v>19283</v>
      </c>
      <c r="O1654" s="802" t="s">
        <v>19284</v>
      </c>
      <c r="P1654" s="807" t="s">
        <v>19285</v>
      </c>
    </row>
    <row r="1655" spans="1:16" s="341" customFormat="1" ht="25.5" customHeight="1">
      <c r="A1655" s="806" t="s">
        <v>110</v>
      </c>
      <c r="B1655" s="800" t="s">
        <v>3751</v>
      </c>
      <c r="C1655" s="800" t="s">
        <v>3751</v>
      </c>
      <c r="D1655" s="800" t="s">
        <v>19286</v>
      </c>
      <c r="E1655" s="801">
        <v>43039</v>
      </c>
      <c r="F1655" s="800" t="s">
        <v>19252</v>
      </c>
      <c r="G1655" s="800" t="s">
        <v>19287</v>
      </c>
      <c r="H1655" s="800" t="s">
        <v>10433</v>
      </c>
      <c r="I1655" s="800" t="s">
        <v>10433</v>
      </c>
      <c r="J1655" s="800" t="s">
        <v>10447</v>
      </c>
      <c r="K1655" s="800">
        <v>1</v>
      </c>
      <c r="L1655" s="802" t="s">
        <v>10398</v>
      </c>
      <c r="M1655" s="802" t="s">
        <v>19288</v>
      </c>
      <c r="N1655" s="802" t="s">
        <v>10808</v>
      </c>
      <c r="O1655" s="802" t="s">
        <v>18979</v>
      </c>
      <c r="P1655" s="807" t="s">
        <v>19289</v>
      </c>
    </row>
    <row r="1656" spans="1:16" s="341" customFormat="1" ht="38.25" customHeight="1">
      <c r="A1656" s="806" t="s">
        <v>110</v>
      </c>
      <c r="B1656" s="800" t="s">
        <v>3751</v>
      </c>
      <c r="C1656" s="800" t="s">
        <v>3751</v>
      </c>
      <c r="D1656" s="800" t="s">
        <v>19290</v>
      </c>
      <c r="E1656" s="801">
        <v>43039</v>
      </c>
      <c r="F1656" s="800" t="s">
        <v>19252</v>
      </c>
      <c r="G1656" s="800" t="s">
        <v>19291</v>
      </c>
      <c r="H1656" s="800" t="s">
        <v>10433</v>
      </c>
      <c r="I1656" s="800" t="s">
        <v>10433</v>
      </c>
      <c r="J1656" s="800" t="s">
        <v>10447</v>
      </c>
      <c r="K1656" s="800">
        <v>1</v>
      </c>
      <c r="L1656" s="802" t="s">
        <v>10398</v>
      </c>
      <c r="M1656" s="802" t="s">
        <v>19292</v>
      </c>
      <c r="N1656" s="802" t="s">
        <v>19293</v>
      </c>
      <c r="O1656" s="802" t="s">
        <v>19272</v>
      </c>
      <c r="P1656" s="807" t="s">
        <v>19071</v>
      </c>
    </row>
    <row r="1657" spans="1:16" s="341" customFormat="1" ht="25.5" customHeight="1">
      <c r="A1657" s="806" t="s">
        <v>110</v>
      </c>
      <c r="B1657" s="800" t="s">
        <v>3751</v>
      </c>
      <c r="C1657" s="800" t="s">
        <v>3751</v>
      </c>
      <c r="D1657" s="800" t="s">
        <v>19294</v>
      </c>
      <c r="E1657" s="801">
        <v>43039</v>
      </c>
      <c r="F1657" s="800" t="s">
        <v>19252</v>
      </c>
      <c r="G1657" s="800" t="s">
        <v>19295</v>
      </c>
      <c r="H1657" s="800" t="s">
        <v>10433</v>
      </c>
      <c r="I1657" s="800" t="s">
        <v>10433</v>
      </c>
      <c r="J1657" s="800" t="s">
        <v>10447</v>
      </c>
      <c r="K1657" s="800">
        <v>1</v>
      </c>
      <c r="L1657" s="802" t="s">
        <v>10398</v>
      </c>
      <c r="M1657" s="802" t="s">
        <v>19296</v>
      </c>
      <c r="N1657" s="802" t="s">
        <v>19297</v>
      </c>
      <c r="O1657" s="802" t="s">
        <v>19050</v>
      </c>
      <c r="P1657" s="807" t="s">
        <v>19298</v>
      </c>
    </row>
    <row r="1658" spans="1:16" s="341" customFormat="1" ht="25.5" customHeight="1">
      <c r="A1658" s="806" t="s">
        <v>110</v>
      </c>
      <c r="B1658" s="800" t="s">
        <v>3751</v>
      </c>
      <c r="C1658" s="800" t="s">
        <v>3751</v>
      </c>
      <c r="D1658" s="800" t="s">
        <v>19299</v>
      </c>
      <c r="E1658" s="801">
        <v>43039</v>
      </c>
      <c r="F1658" s="800" t="s">
        <v>19252</v>
      </c>
      <c r="G1658" s="800" t="s">
        <v>19300</v>
      </c>
      <c r="H1658" s="800" t="s">
        <v>10433</v>
      </c>
      <c r="I1658" s="800" t="s">
        <v>10433</v>
      </c>
      <c r="J1658" s="800" t="s">
        <v>10447</v>
      </c>
      <c r="K1658" s="800">
        <v>1</v>
      </c>
      <c r="L1658" s="802" t="s">
        <v>10398</v>
      </c>
      <c r="M1658" s="802" t="s">
        <v>19301</v>
      </c>
      <c r="N1658" s="802" t="s">
        <v>19302</v>
      </c>
      <c r="O1658" s="802" t="s">
        <v>19303</v>
      </c>
      <c r="P1658" s="807" t="s">
        <v>19304</v>
      </c>
    </row>
    <row r="1659" spans="1:16" s="341" customFormat="1" ht="15" customHeight="1">
      <c r="A1659" s="806" t="s">
        <v>110</v>
      </c>
      <c r="B1659" s="800" t="s">
        <v>3751</v>
      </c>
      <c r="C1659" s="800" t="s">
        <v>3751</v>
      </c>
      <c r="D1659" s="800" t="s">
        <v>19305</v>
      </c>
      <c r="E1659" s="801">
        <v>43039</v>
      </c>
      <c r="F1659" s="800" t="s">
        <v>19252</v>
      </c>
      <c r="G1659" s="800" t="s">
        <v>19306</v>
      </c>
      <c r="H1659" s="800" t="s">
        <v>10433</v>
      </c>
      <c r="I1659" s="800" t="s">
        <v>10433</v>
      </c>
      <c r="J1659" s="800" t="s">
        <v>10447</v>
      </c>
      <c r="K1659" s="800">
        <v>1</v>
      </c>
      <c r="L1659" s="802" t="s">
        <v>10398</v>
      </c>
      <c r="M1659" s="802" t="s">
        <v>19307</v>
      </c>
      <c r="N1659" s="802" t="s">
        <v>19308</v>
      </c>
      <c r="O1659" s="802" t="s">
        <v>19024</v>
      </c>
      <c r="P1659" s="807" t="s">
        <v>19309</v>
      </c>
    </row>
    <row r="1660" spans="1:16" s="341" customFormat="1" ht="25.5" customHeight="1">
      <c r="A1660" s="806" t="s">
        <v>110</v>
      </c>
      <c r="B1660" s="800" t="s">
        <v>3751</v>
      </c>
      <c r="C1660" s="800" t="s">
        <v>3751</v>
      </c>
      <c r="D1660" s="800" t="s">
        <v>19310</v>
      </c>
      <c r="E1660" s="801">
        <v>43053</v>
      </c>
      <c r="F1660" s="800" t="s">
        <v>32</v>
      </c>
      <c r="G1660" s="800" t="s">
        <v>19067</v>
      </c>
      <c r="H1660" s="800" t="s">
        <v>10433</v>
      </c>
      <c r="I1660" s="800" t="s">
        <v>10433</v>
      </c>
      <c r="J1660" s="800" t="s">
        <v>10447</v>
      </c>
      <c r="K1660" s="800">
        <v>1</v>
      </c>
      <c r="L1660" s="802" t="s">
        <v>10398</v>
      </c>
      <c r="M1660" s="802" t="s">
        <v>19311</v>
      </c>
      <c r="N1660" s="802" t="s">
        <v>19312</v>
      </c>
      <c r="O1660" s="802" t="s">
        <v>19313</v>
      </c>
      <c r="P1660" s="807" t="s">
        <v>19314</v>
      </c>
    </row>
    <row r="1661" spans="1:16" s="341" customFormat="1" ht="51" customHeight="1">
      <c r="A1661" s="806" t="s">
        <v>110</v>
      </c>
      <c r="B1661" s="800" t="s">
        <v>3751</v>
      </c>
      <c r="C1661" s="800" t="s">
        <v>3751</v>
      </c>
      <c r="D1661" s="800" t="s">
        <v>19315</v>
      </c>
      <c r="E1661" s="801">
        <v>43053</v>
      </c>
      <c r="F1661" s="800" t="s">
        <v>19316</v>
      </c>
      <c r="G1661" s="800" t="s">
        <v>19317</v>
      </c>
      <c r="H1661" s="800" t="s">
        <v>10433</v>
      </c>
      <c r="I1661" s="800" t="s">
        <v>10433</v>
      </c>
      <c r="J1661" s="800" t="s">
        <v>10447</v>
      </c>
      <c r="K1661" s="800">
        <v>1</v>
      </c>
      <c r="L1661" s="802" t="s">
        <v>10398</v>
      </c>
      <c r="M1661" s="802" t="s">
        <v>19318</v>
      </c>
      <c r="N1661" s="802" t="s">
        <v>12362</v>
      </c>
      <c r="O1661" s="802" t="s">
        <v>19319</v>
      </c>
      <c r="P1661" s="807" t="s">
        <v>19320</v>
      </c>
    </row>
    <row r="1662" spans="1:16" s="341" customFormat="1" ht="15" customHeight="1">
      <c r="A1662" s="806" t="s">
        <v>110</v>
      </c>
      <c r="B1662" s="800" t="s">
        <v>3751</v>
      </c>
      <c r="C1662" s="800" t="s">
        <v>3751</v>
      </c>
      <c r="D1662" s="800" t="s">
        <v>19321</v>
      </c>
      <c r="E1662" s="801">
        <v>43053</v>
      </c>
      <c r="F1662" s="800" t="s">
        <v>19316</v>
      </c>
      <c r="G1662" s="800" t="s">
        <v>19322</v>
      </c>
      <c r="H1662" s="800" t="s">
        <v>10433</v>
      </c>
      <c r="I1662" s="800" t="s">
        <v>10433</v>
      </c>
      <c r="J1662" s="800" t="s">
        <v>10447</v>
      </c>
      <c r="K1662" s="800">
        <v>1</v>
      </c>
      <c r="L1662" s="802" t="s">
        <v>10398</v>
      </c>
      <c r="M1662" s="802" t="s">
        <v>19323</v>
      </c>
      <c r="N1662" s="802" t="s">
        <v>18665</v>
      </c>
      <c r="O1662" s="802" t="s">
        <v>19324</v>
      </c>
      <c r="P1662" s="807" t="s">
        <v>19325</v>
      </c>
    </row>
    <row r="1663" spans="1:16" s="341" customFormat="1" ht="25.5" customHeight="1">
      <c r="A1663" s="806" t="s">
        <v>110</v>
      </c>
      <c r="B1663" s="800" t="s">
        <v>3751</v>
      </c>
      <c r="C1663" s="800" t="s">
        <v>3751</v>
      </c>
      <c r="D1663" s="800" t="s">
        <v>19326</v>
      </c>
      <c r="E1663" s="801">
        <v>43053</v>
      </c>
      <c r="F1663" s="800" t="s">
        <v>19327</v>
      </c>
      <c r="G1663" s="800" t="s">
        <v>19328</v>
      </c>
      <c r="H1663" s="800" t="s">
        <v>10433</v>
      </c>
      <c r="I1663" s="800" t="s">
        <v>10433</v>
      </c>
      <c r="J1663" s="800" t="s">
        <v>10447</v>
      </c>
      <c r="K1663" s="800">
        <v>1</v>
      </c>
      <c r="L1663" s="802" t="s">
        <v>10398</v>
      </c>
      <c r="M1663" s="802" t="s">
        <v>19329</v>
      </c>
      <c r="N1663" s="802" t="s">
        <v>19330</v>
      </c>
      <c r="O1663" s="802" t="s">
        <v>19331</v>
      </c>
      <c r="P1663" s="807" t="s">
        <v>19332</v>
      </c>
    </row>
    <row r="1664" spans="1:16" s="341" customFormat="1" ht="15" customHeight="1">
      <c r="A1664" s="806" t="s">
        <v>110</v>
      </c>
      <c r="B1664" s="800" t="s">
        <v>3751</v>
      </c>
      <c r="C1664" s="800" t="s">
        <v>3751</v>
      </c>
      <c r="D1664" s="800" t="s">
        <v>19333</v>
      </c>
      <c r="E1664" s="801">
        <v>43045</v>
      </c>
      <c r="F1664" s="800" t="s">
        <v>19334</v>
      </c>
      <c r="G1664" s="800" t="s">
        <v>19335</v>
      </c>
      <c r="H1664" s="800" t="s">
        <v>10433</v>
      </c>
      <c r="I1664" s="800" t="s">
        <v>10433</v>
      </c>
      <c r="J1664" s="800" t="s">
        <v>10447</v>
      </c>
      <c r="K1664" s="800">
        <v>1</v>
      </c>
      <c r="L1664" s="802" t="s">
        <v>10398</v>
      </c>
      <c r="M1664" s="802" t="s">
        <v>19336</v>
      </c>
      <c r="N1664" s="802" t="s">
        <v>15489</v>
      </c>
      <c r="O1664" s="802" t="s">
        <v>19337</v>
      </c>
      <c r="P1664" s="807" t="s">
        <v>19338</v>
      </c>
    </row>
    <row r="1665" spans="1:16" s="341" customFormat="1" ht="25.5" customHeight="1">
      <c r="A1665" s="806" t="s">
        <v>110</v>
      </c>
      <c r="B1665" s="800" t="s">
        <v>3751</v>
      </c>
      <c r="C1665" s="800" t="s">
        <v>3751</v>
      </c>
      <c r="D1665" s="800" t="s">
        <v>19339</v>
      </c>
      <c r="E1665" s="801">
        <v>43045</v>
      </c>
      <c r="F1665" s="800" t="s">
        <v>19340</v>
      </c>
      <c r="G1665" s="800" t="s">
        <v>19341</v>
      </c>
      <c r="H1665" s="800" t="s">
        <v>10433</v>
      </c>
      <c r="I1665" s="800" t="s">
        <v>10433</v>
      </c>
      <c r="J1665" s="800" t="s">
        <v>10447</v>
      </c>
      <c r="K1665" s="800">
        <v>1</v>
      </c>
      <c r="L1665" s="802" t="s">
        <v>10398</v>
      </c>
      <c r="M1665" s="802" t="s">
        <v>19342</v>
      </c>
      <c r="N1665" s="802" t="s">
        <v>19343</v>
      </c>
      <c r="O1665" s="802" t="s">
        <v>19344</v>
      </c>
      <c r="P1665" s="807" t="s">
        <v>19345</v>
      </c>
    </row>
    <row r="1666" spans="1:16" s="341" customFormat="1" ht="25.5" customHeight="1">
      <c r="A1666" s="806" t="s">
        <v>110</v>
      </c>
      <c r="B1666" s="800" t="s">
        <v>3751</v>
      </c>
      <c r="C1666" s="800" t="s">
        <v>3751</v>
      </c>
      <c r="D1666" s="800" t="s">
        <v>19346</v>
      </c>
      <c r="E1666" s="801">
        <v>43045</v>
      </c>
      <c r="F1666" s="800" t="s">
        <v>19340</v>
      </c>
      <c r="G1666" s="800" t="s">
        <v>19335</v>
      </c>
      <c r="H1666" s="800" t="s">
        <v>10433</v>
      </c>
      <c r="I1666" s="800" t="s">
        <v>10433</v>
      </c>
      <c r="J1666" s="800" t="s">
        <v>10447</v>
      </c>
      <c r="K1666" s="800">
        <v>1</v>
      </c>
      <c r="L1666" s="802" t="s">
        <v>10398</v>
      </c>
      <c r="M1666" s="802" t="s">
        <v>19347</v>
      </c>
      <c r="N1666" s="802" t="s">
        <v>19348</v>
      </c>
      <c r="O1666" s="802" t="s">
        <v>19337</v>
      </c>
      <c r="P1666" s="807" t="s">
        <v>19349</v>
      </c>
    </row>
    <row r="1667" spans="1:16" s="341" customFormat="1" ht="25.5" customHeight="1">
      <c r="A1667" s="806" t="s">
        <v>110</v>
      </c>
      <c r="B1667" s="800" t="s">
        <v>3751</v>
      </c>
      <c r="C1667" s="800" t="s">
        <v>3751</v>
      </c>
      <c r="D1667" s="800" t="s">
        <v>19350</v>
      </c>
      <c r="E1667" s="801">
        <v>43045</v>
      </c>
      <c r="F1667" s="800" t="s">
        <v>19351</v>
      </c>
      <c r="G1667" s="800" t="s">
        <v>19335</v>
      </c>
      <c r="H1667" s="800" t="s">
        <v>10396</v>
      </c>
      <c r="I1667" s="800" t="s">
        <v>10396</v>
      </c>
      <c r="J1667" s="800" t="s">
        <v>10405</v>
      </c>
      <c r="K1667" s="800">
        <v>1</v>
      </c>
      <c r="L1667" s="802" t="s">
        <v>10398</v>
      </c>
      <c r="M1667" s="802" t="s">
        <v>19352</v>
      </c>
      <c r="N1667" s="802" t="s">
        <v>11404</v>
      </c>
      <c r="O1667" s="802" t="s">
        <v>19353</v>
      </c>
      <c r="P1667" s="807" t="s">
        <v>19354</v>
      </c>
    </row>
    <row r="1668" spans="1:16" s="341" customFormat="1" ht="15" customHeight="1">
      <c r="A1668" s="806" t="s">
        <v>110</v>
      </c>
      <c r="B1668" s="800" t="s">
        <v>3751</v>
      </c>
      <c r="C1668" s="800" t="s">
        <v>3751</v>
      </c>
      <c r="D1668" s="800" t="s">
        <v>19355</v>
      </c>
      <c r="E1668" s="801">
        <v>43045</v>
      </c>
      <c r="F1668" s="800" t="s">
        <v>19340</v>
      </c>
      <c r="G1668" s="800" t="s">
        <v>19335</v>
      </c>
      <c r="H1668" s="800" t="s">
        <v>10404</v>
      </c>
      <c r="I1668" s="800" t="s">
        <v>10404</v>
      </c>
      <c r="J1668" s="800" t="s">
        <v>10405</v>
      </c>
      <c r="K1668" s="800">
        <v>1</v>
      </c>
      <c r="L1668" s="802" t="s">
        <v>10398</v>
      </c>
      <c r="M1668" s="802" t="s">
        <v>19356</v>
      </c>
      <c r="N1668" s="802" t="s">
        <v>19357</v>
      </c>
      <c r="O1668" s="802" t="s">
        <v>19358</v>
      </c>
      <c r="P1668" s="807" t="s">
        <v>19349</v>
      </c>
    </row>
    <row r="1669" spans="1:16" s="341" customFormat="1" ht="15" customHeight="1">
      <c r="A1669" s="806" t="s">
        <v>110</v>
      </c>
      <c r="B1669" s="800" t="s">
        <v>3751</v>
      </c>
      <c r="C1669" s="800" t="s">
        <v>3751</v>
      </c>
      <c r="D1669" s="800" t="s">
        <v>19359</v>
      </c>
      <c r="E1669" s="801">
        <v>43053</v>
      </c>
      <c r="F1669" s="800" t="s">
        <v>19360</v>
      </c>
      <c r="G1669" s="800" t="s">
        <v>19361</v>
      </c>
      <c r="H1669" s="800" t="s">
        <v>10433</v>
      </c>
      <c r="I1669" s="800" t="s">
        <v>10433</v>
      </c>
      <c r="J1669" s="800" t="s">
        <v>10447</v>
      </c>
      <c r="K1669" s="800">
        <v>1</v>
      </c>
      <c r="L1669" s="802" t="s">
        <v>10398</v>
      </c>
      <c r="M1669" s="802" t="s">
        <v>19362</v>
      </c>
      <c r="N1669" s="802" t="s">
        <v>10848</v>
      </c>
      <c r="O1669" s="802" t="s">
        <v>19363</v>
      </c>
      <c r="P1669" s="807" t="s">
        <v>19364</v>
      </c>
    </row>
    <row r="1670" spans="1:16" s="341" customFormat="1" ht="25.5" customHeight="1">
      <c r="A1670" s="806" t="s">
        <v>110</v>
      </c>
      <c r="B1670" s="800" t="s">
        <v>3751</v>
      </c>
      <c r="C1670" s="800" t="s">
        <v>3751</v>
      </c>
      <c r="D1670" s="800" t="s">
        <v>19365</v>
      </c>
      <c r="E1670" s="801">
        <v>43048</v>
      </c>
      <c r="F1670" s="800" t="s">
        <v>19360</v>
      </c>
      <c r="G1670" s="800" t="s">
        <v>19366</v>
      </c>
      <c r="H1670" s="800" t="s">
        <v>10433</v>
      </c>
      <c r="I1670" s="800" t="s">
        <v>10433</v>
      </c>
      <c r="J1670" s="800" t="s">
        <v>10447</v>
      </c>
      <c r="K1670" s="800">
        <v>1</v>
      </c>
      <c r="L1670" s="802" t="s">
        <v>10398</v>
      </c>
      <c r="M1670" s="802" t="s">
        <v>19367</v>
      </c>
      <c r="N1670" s="802" t="s">
        <v>19368</v>
      </c>
      <c r="O1670" s="802" t="s">
        <v>10560</v>
      </c>
      <c r="P1670" s="807" t="s">
        <v>19369</v>
      </c>
    </row>
    <row r="1671" spans="1:16" s="341" customFormat="1" ht="15" customHeight="1">
      <c r="A1671" s="806" t="s">
        <v>110</v>
      </c>
      <c r="B1671" s="800" t="s">
        <v>3751</v>
      </c>
      <c r="C1671" s="800" t="s">
        <v>3751</v>
      </c>
      <c r="D1671" s="800" t="s">
        <v>19370</v>
      </c>
      <c r="E1671" s="800"/>
      <c r="F1671" s="800" t="s">
        <v>19252</v>
      </c>
      <c r="G1671" s="800" t="s">
        <v>19371</v>
      </c>
      <c r="H1671" s="800" t="s">
        <v>10433</v>
      </c>
      <c r="I1671" s="800" t="s">
        <v>10433</v>
      </c>
      <c r="J1671" s="800" t="s">
        <v>10447</v>
      </c>
      <c r="K1671" s="800">
        <v>1</v>
      </c>
      <c r="L1671" s="802" t="s">
        <v>10398</v>
      </c>
      <c r="M1671" s="802" t="s">
        <v>19372</v>
      </c>
      <c r="N1671" s="802" t="s">
        <v>16336</v>
      </c>
      <c r="O1671" s="802" t="s">
        <v>19373</v>
      </c>
      <c r="P1671" s="807" t="s">
        <v>19374</v>
      </c>
    </row>
    <row r="1672" spans="1:16" s="341" customFormat="1" ht="15" customHeight="1">
      <c r="A1672" s="806" t="s">
        <v>110</v>
      </c>
      <c r="B1672" s="800" t="s">
        <v>3782</v>
      </c>
      <c r="C1672" s="800" t="s">
        <v>3830</v>
      </c>
      <c r="D1672" s="800" t="s">
        <v>19375</v>
      </c>
      <c r="E1672" s="801">
        <v>43069</v>
      </c>
      <c r="F1672" s="800" t="s">
        <v>19376</v>
      </c>
      <c r="G1672" s="800" t="s">
        <v>19377</v>
      </c>
      <c r="H1672" s="800" t="s">
        <v>10404</v>
      </c>
      <c r="I1672" s="800" t="s">
        <v>10404</v>
      </c>
      <c r="J1672" s="800" t="s">
        <v>10447</v>
      </c>
      <c r="K1672" s="800">
        <v>1</v>
      </c>
      <c r="L1672" s="802" t="s">
        <v>10398</v>
      </c>
      <c r="M1672" s="802" t="s">
        <v>19378</v>
      </c>
      <c r="N1672" s="802" t="s">
        <v>19379</v>
      </c>
      <c r="O1672" s="802" t="s">
        <v>19380</v>
      </c>
      <c r="P1672" s="807" t="s">
        <v>19381</v>
      </c>
    </row>
    <row r="1673" spans="1:16" s="341" customFormat="1" ht="15" customHeight="1">
      <c r="A1673" s="806" t="s">
        <v>110</v>
      </c>
      <c r="B1673" s="800" t="s">
        <v>3782</v>
      </c>
      <c r="C1673" s="800" t="s">
        <v>3847</v>
      </c>
      <c r="D1673" s="800" t="s">
        <v>19382</v>
      </c>
      <c r="E1673" s="800"/>
      <c r="F1673" s="800" t="s">
        <v>19383</v>
      </c>
      <c r="G1673" s="800" t="s">
        <v>32</v>
      </c>
      <c r="H1673" s="800" t="s">
        <v>10404</v>
      </c>
      <c r="I1673" s="800" t="s">
        <v>10404</v>
      </c>
      <c r="J1673" s="800" t="s">
        <v>10447</v>
      </c>
      <c r="K1673" s="800">
        <v>1</v>
      </c>
      <c r="L1673" s="802" t="s">
        <v>10398</v>
      </c>
      <c r="M1673" s="802" t="s">
        <v>19384</v>
      </c>
      <c r="N1673" s="802" t="s">
        <v>19385</v>
      </c>
      <c r="O1673" s="802" t="s">
        <v>19386</v>
      </c>
      <c r="P1673" s="807" t="s">
        <v>19387</v>
      </c>
    </row>
    <row r="1674" spans="1:16" s="341" customFormat="1" ht="15" customHeight="1">
      <c r="A1674" s="806" t="s">
        <v>110</v>
      </c>
      <c r="B1674" s="800" t="s">
        <v>3782</v>
      </c>
      <c r="C1674" s="800" t="s">
        <v>19388</v>
      </c>
      <c r="D1674" s="800" t="s">
        <v>19389</v>
      </c>
      <c r="E1674" s="801">
        <v>43069</v>
      </c>
      <c r="F1674" s="800" t="s">
        <v>19390</v>
      </c>
      <c r="G1674" s="800" t="s">
        <v>19391</v>
      </c>
      <c r="H1674" s="800" t="s">
        <v>10404</v>
      </c>
      <c r="I1674" s="800" t="s">
        <v>10404</v>
      </c>
      <c r="J1674" s="800" t="s">
        <v>10447</v>
      </c>
      <c r="K1674" s="800">
        <v>1</v>
      </c>
      <c r="L1674" s="802" t="s">
        <v>10398</v>
      </c>
      <c r="M1674" s="802" t="s">
        <v>19392</v>
      </c>
      <c r="N1674" s="802" t="s">
        <v>12444</v>
      </c>
      <c r="O1674" s="802" t="s">
        <v>19393</v>
      </c>
      <c r="P1674" s="807" t="s">
        <v>19394</v>
      </c>
    </row>
    <row r="1675" spans="1:16" s="341" customFormat="1" ht="25.5" customHeight="1">
      <c r="A1675" s="806" t="s">
        <v>110</v>
      </c>
      <c r="B1675" s="800" t="s">
        <v>3782</v>
      </c>
      <c r="C1675" s="800" t="s">
        <v>19388</v>
      </c>
      <c r="D1675" s="800" t="s">
        <v>19395</v>
      </c>
      <c r="E1675" s="801">
        <v>43069</v>
      </c>
      <c r="F1675" s="800" t="s">
        <v>19396</v>
      </c>
      <c r="G1675" s="800" t="s">
        <v>19397</v>
      </c>
      <c r="H1675" s="800" t="s">
        <v>10404</v>
      </c>
      <c r="I1675" s="800" t="s">
        <v>10404</v>
      </c>
      <c r="J1675" s="800" t="s">
        <v>4342</v>
      </c>
      <c r="K1675" s="800">
        <v>1</v>
      </c>
      <c r="L1675" s="802" t="s">
        <v>10398</v>
      </c>
      <c r="M1675" s="802" t="s">
        <v>19398</v>
      </c>
      <c r="N1675" s="802" t="s">
        <v>19399</v>
      </c>
      <c r="O1675" s="802" t="s">
        <v>19400</v>
      </c>
      <c r="P1675" s="807" t="s">
        <v>19401</v>
      </c>
    </row>
    <row r="1676" spans="1:16" s="341" customFormat="1" ht="25.5" customHeight="1">
      <c r="A1676" s="806" t="s">
        <v>110</v>
      </c>
      <c r="B1676" s="800" t="s">
        <v>3782</v>
      </c>
      <c r="C1676" s="800" t="s">
        <v>19388</v>
      </c>
      <c r="D1676" s="800" t="s">
        <v>19402</v>
      </c>
      <c r="E1676" s="801">
        <v>43069</v>
      </c>
      <c r="F1676" s="800" t="s">
        <v>19403</v>
      </c>
      <c r="G1676" s="800" t="s">
        <v>19404</v>
      </c>
      <c r="H1676" s="800" t="s">
        <v>10531</v>
      </c>
      <c r="I1676" s="800" t="s">
        <v>10531</v>
      </c>
      <c r="J1676" s="800" t="s">
        <v>10447</v>
      </c>
      <c r="K1676" s="800">
        <v>1</v>
      </c>
      <c r="L1676" s="802" t="s">
        <v>10398</v>
      </c>
      <c r="M1676" s="802" t="s">
        <v>19405</v>
      </c>
      <c r="N1676" s="802" t="s">
        <v>10776</v>
      </c>
      <c r="O1676" s="802" t="s">
        <v>19406</v>
      </c>
      <c r="P1676" s="807" t="s">
        <v>19407</v>
      </c>
    </row>
    <row r="1677" spans="1:16" s="341" customFormat="1" ht="25.5" customHeight="1">
      <c r="A1677" s="806" t="s">
        <v>110</v>
      </c>
      <c r="B1677" s="800" t="s">
        <v>3782</v>
      </c>
      <c r="C1677" s="800" t="s">
        <v>19388</v>
      </c>
      <c r="D1677" s="800" t="s">
        <v>19408</v>
      </c>
      <c r="E1677" s="801">
        <v>43069</v>
      </c>
      <c r="F1677" s="800" t="s">
        <v>19376</v>
      </c>
      <c r="G1677" s="800" t="s">
        <v>19409</v>
      </c>
      <c r="H1677" s="800" t="s">
        <v>10433</v>
      </c>
      <c r="I1677" s="800" t="s">
        <v>10433</v>
      </c>
      <c r="J1677" s="800" t="s">
        <v>10447</v>
      </c>
      <c r="K1677" s="800">
        <v>1</v>
      </c>
      <c r="L1677" s="802" t="s">
        <v>10398</v>
      </c>
      <c r="M1677" s="802" t="s">
        <v>19410</v>
      </c>
      <c r="N1677" s="802" t="s">
        <v>12444</v>
      </c>
      <c r="O1677" s="802" t="s">
        <v>19411</v>
      </c>
      <c r="P1677" s="807" t="s">
        <v>19412</v>
      </c>
    </row>
    <row r="1678" spans="1:16" s="341" customFormat="1" ht="25.5" customHeight="1">
      <c r="A1678" s="806" t="s">
        <v>110</v>
      </c>
      <c r="B1678" s="800" t="s">
        <v>3782</v>
      </c>
      <c r="C1678" s="800" t="s">
        <v>19388</v>
      </c>
      <c r="D1678" s="800" t="s">
        <v>19413</v>
      </c>
      <c r="E1678" s="801">
        <v>43069</v>
      </c>
      <c r="F1678" s="800" t="s">
        <v>19376</v>
      </c>
      <c r="G1678" s="800" t="s">
        <v>19414</v>
      </c>
      <c r="H1678" s="800" t="s">
        <v>10404</v>
      </c>
      <c r="I1678" s="800" t="s">
        <v>10404</v>
      </c>
      <c r="J1678" s="800" t="s">
        <v>10447</v>
      </c>
      <c r="K1678" s="800">
        <v>1</v>
      </c>
      <c r="L1678" s="802" t="s">
        <v>10398</v>
      </c>
      <c r="M1678" s="802" t="s">
        <v>19415</v>
      </c>
      <c r="N1678" s="802" t="s">
        <v>12406</v>
      </c>
      <c r="O1678" s="802" t="s">
        <v>19416</v>
      </c>
      <c r="P1678" s="807" t="s">
        <v>19417</v>
      </c>
    </row>
    <row r="1679" spans="1:16" s="341" customFormat="1" ht="25.5" customHeight="1">
      <c r="A1679" s="806" t="s">
        <v>110</v>
      </c>
      <c r="B1679" s="800" t="s">
        <v>3782</v>
      </c>
      <c r="C1679" s="800" t="s">
        <v>19388</v>
      </c>
      <c r="D1679" s="800" t="s">
        <v>19418</v>
      </c>
      <c r="E1679" s="801">
        <v>43069</v>
      </c>
      <c r="F1679" s="800" t="s">
        <v>19419</v>
      </c>
      <c r="G1679" s="800" t="s">
        <v>19420</v>
      </c>
      <c r="H1679" s="800" t="s">
        <v>10433</v>
      </c>
      <c r="I1679" s="800" t="s">
        <v>10433</v>
      </c>
      <c r="J1679" s="800" t="s">
        <v>10447</v>
      </c>
      <c r="K1679" s="800">
        <v>1</v>
      </c>
      <c r="L1679" s="802" t="s">
        <v>10398</v>
      </c>
      <c r="M1679" s="802" t="s">
        <v>19421</v>
      </c>
      <c r="N1679" s="802" t="s">
        <v>19422</v>
      </c>
      <c r="O1679" s="802" t="s">
        <v>19423</v>
      </c>
      <c r="P1679" s="807" t="s">
        <v>19424</v>
      </c>
    </row>
    <row r="1680" spans="1:16" s="341" customFormat="1" ht="25.5" customHeight="1">
      <c r="A1680" s="806" t="s">
        <v>110</v>
      </c>
      <c r="B1680" s="800" t="s">
        <v>3782</v>
      </c>
      <c r="C1680" s="800" t="s">
        <v>19388</v>
      </c>
      <c r="D1680" s="800" t="s">
        <v>19425</v>
      </c>
      <c r="E1680" s="801">
        <v>43069</v>
      </c>
      <c r="F1680" s="800" t="s">
        <v>19426</v>
      </c>
      <c r="G1680" s="800" t="s">
        <v>19427</v>
      </c>
      <c r="H1680" s="800" t="s">
        <v>10404</v>
      </c>
      <c r="I1680" s="800" t="s">
        <v>10404</v>
      </c>
      <c r="J1680" s="800" t="s">
        <v>10447</v>
      </c>
      <c r="K1680" s="800">
        <v>1</v>
      </c>
      <c r="L1680" s="802" t="s">
        <v>10398</v>
      </c>
      <c r="M1680" s="802" t="s">
        <v>19428</v>
      </c>
      <c r="N1680" s="802" t="s">
        <v>13262</v>
      </c>
      <c r="O1680" s="802" t="s">
        <v>19429</v>
      </c>
      <c r="P1680" s="807" t="s">
        <v>19430</v>
      </c>
    </row>
    <row r="1681" spans="1:16" s="341" customFormat="1" ht="15" customHeight="1">
      <c r="A1681" s="806" t="s">
        <v>110</v>
      </c>
      <c r="B1681" s="800" t="s">
        <v>3782</v>
      </c>
      <c r="C1681" s="800" t="s">
        <v>19388</v>
      </c>
      <c r="D1681" s="800" t="s">
        <v>19431</v>
      </c>
      <c r="E1681" s="801">
        <v>43069</v>
      </c>
      <c r="F1681" s="800" t="s">
        <v>19383</v>
      </c>
      <c r="G1681" s="800" t="s">
        <v>19432</v>
      </c>
      <c r="H1681" s="800" t="s">
        <v>10404</v>
      </c>
      <c r="I1681" s="800" t="s">
        <v>10404</v>
      </c>
      <c r="J1681" s="800" t="s">
        <v>10426</v>
      </c>
      <c r="K1681" s="800">
        <v>1</v>
      </c>
      <c r="L1681" s="802" t="s">
        <v>10398</v>
      </c>
      <c r="M1681" s="802" t="s">
        <v>19433</v>
      </c>
      <c r="N1681" s="802" t="s">
        <v>19434</v>
      </c>
      <c r="O1681" s="802" t="s">
        <v>19435</v>
      </c>
      <c r="P1681" s="807" t="s">
        <v>19436</v>
      </c>
    </row>
    <row r="1682" spans="1:16" s="341" customFormat="1" ht="15" customHeight="1">
      <c r="A1682" s="806" t="s">
        <v>110</v>
      </c>
      <c r="B1682" s="800" t="s">
        <v>3782</v>
      </c>
      <c r="C1682" s="800" t="s">
        <v>19388</v>
      </c>
      <c r="D1682" s="800" t="s">
        <v>19437</v>
      </c>
      <c r="E1682" s="801">
        <v>43070</v>
      </c>
      <c r="F1682" s="800" t="s">
        <v>19438</v>
      </c>
      <c r="G1682" s="800" t="s">
        <v>19439</v>
      </c>
      <c r="H1682" s="800" t="s">
        <v>10433</v>
      </c>
      <c r="I1682" s="800" t="s">
        <v>10433</v>
      </c>
      <c r="J1682" s="800" t="s">
        <v>4342</v>
      </c>
      <c r="K1682" s="800">
        <v>1</v>
      </c>
      <c r="L1682" s="802" t="s">
        <v>10398</v>
      </c>
      <c r="M1682" s="802" t="s">
        <v>19440</v>
      </c>
      <c r="N1682" s="802" t="s">
        <v>19441</v>
      </c>
      <c r="O1682" s="802" t="s">
        <v>19442</v>
      </c>
      <c r="P1682" s="807" t="s">
        <v>19443</v>
      </c>
    </row>
    <row r="1683" spans="1:16" s="341" customFormat="1" ht="15" customHeight="1">
      <c r="A1683" s="806" t="s">
        <v>110</v>
      </c>
      <c r="B1683" s="800" t="s">
        <v>135</v>
      </c>
      <c r="C1683" s="800" t="s">
        <v>3848</v>
      </c>
      <c r="D1683" s="800" t="s">
        <v>19444</v>
      </c>
      <c r="E1683" s="801">
        <v>43027</v>
      </c>
      <c r="F1683" s="800" t="s">
        <v>1650</v>
      </c>
      <c r="G1683" s="800" t="s">
        <v>19445</v>
      </c>
      <c r="H1683" s="800" t="s">
        <v>10531</v>
      </c>
      <c r="I1683" s="800" t="s">
        <v>10531</v>
      </c>
      <c r="J1683" s="800" t="s">
        <v>10664</v>
      </c>
      <c r="K1683" s="800">
        <v>1</v>
      </c>
      <c r="L1683" s="802" t="s">
        <v>10398</v>
      </c>
      <c r="M1683" s="802" t="s">
        <v>19446</v>
      </c>
      <c r="N1683" s="802" t="s">
        <v>19447</v>
      </c>
      <c r="O1683" s="802" t="s">
        <v>19448</v>
      </c>
      <c r="P1683" s="807" t="s">
        <v>19449</v>
      </c>
    </row>
    <row r="1684" spans="1:16" s="341" customFormat="1" ht="25.5" customHeight="1">
      <c r="A1684" s="806" t="s">
        <v>110</v>
      </c>
      <c r="B1684" s="800" t="s">
        <v>135</v>
      </c>
      <c r="C1684" s="800" t="s">
        <v>3848</v>
      </c>
      <c r="D1684" s="800" t="s">
        <v>19450</v>
      </c>
      <c r="E1684" s="801">
        <v>43027</v>
      </c>
      <c r="F1684" s="800" t="s">
        <v>17443</v>
      </c>
      <c r="G1684" s="800" t="s">
        <v>19451</v>
      </c>
      <c r="H1684" s="800" t="s">
        <v>10404</v>
      </c>
      <c r="I1684" s="800" t="s">
        <v>10404</v>
      </c>
      <c r="J1684" s="800" t="s">
        <v>10664</v>
      </c>
      <c r="K1684" s="800">
        <v>1</v>
      </c>
      <c r="L1684" s="802" t="s">
        <v>10398</v>
      </c>
      <c r="M1684" s="802" t="s">
        <v>19452</v>
      </c>
      <c r="N1684" s="802" t="s">
        <v>18754</v>
      </c>
      <c r="O1684" s="802" t="s">
        <v>19453</v>
      </c>
      <c r="P1684" s="807" t="s">
        <v>19454</v>
      </c>
    </row>
    <row r="1685" spans="1:16" s="341" customFormat="1" ht="15" customHeight="1">
      <c r="A1685" s="806" t="s">
        <v>110</v>
      </c>
      <c r="B1685" s="800" t="s">
        <v>135</v>
      </c>
      <c r="C1685" s="800" t="s">
        <v>3848</v>
      </c>
      <c r="D1685" s="800" t="s">
        <v>19455</v>
      </c>
      <c r="E1685" s="801">
        <v>43027</v>
      </c>
      <c r="F1685" s="800" t="s">
        <v>19456</v>
      </c>
      <c r="G1685" s="800" t="s">
        <v>19457</v>
      </c>
      <c r="H1685" s="800" t="s">
        <v>10404</v>
      </c>
      <c r="I1685" s="800" t="s">
        <v>10404</v>
      </c>
      <c r="J1685" s="800" t="s">
        <v>10664</v>
      </c>
      <c r="K1685" s="800">
        <v>1</v>
      </c>
      <c r="L1685" s="802" t="s">
        <v>10398</v>
      </c>
      <c r="M1685" s="802" t="s">
        <v>19458</v>
      </c>
      <c r="N1685" s="802" t="s">
        <v>19459</v>
      </c>
      <c r="O1685" s="802" t="s">
        <v>19460</v>
      </c>
      <c r="P1685" s="807" t="s">
        <v>19461</v>
      </c>
    </row>
    <row r="1686" spans="1:16" s="341" customFormat="1" ht="15" customHeight="1">
      <c r="A1686" s="806" t="s">
        <v>110</v>
      </c>
      <c r="B1686" s="800" t="s">
        <v>135</v>
      </c>
      <c r="C1686" s="800" t="s">
        <v>3848</v>
      </c>
      <c r="D1686" s="800" t="s">
        <v>19462</v>
      </c>
      <c r="E1686" s="801">
        <v>43027</v>
      </c>
      <c r="F1686" s="800" t="s">
        <v>19456</v>
      </c>
      <c r="G1686" s="800" t="s">
        <v>19463</v>
      </c>
      <c r="H1686" s="800" t="s">
        <v>10404</v>
      </c>
      <c r="I1686" s="800" t="s">
        <v>10404</v>
      </c>
      <c r="J1686" s="800" t="s">
        <v>10664</v>
      </c>
      <c r="K1686" s="800">
        <v>1</v>
      </c>
      <c r="L1686" s="802" t="s">
        <v>10398</v>
      </c>
      <c r="M1686" s="802" t="s">
        <v>19464</v>
      </c>
      <c r="N1686" s="802" t="s">
        <v>19465</v>
      </c>
      <c r="O1686" s="802" t="s">
        <v>19466</v>
      </c>
      <c r="P1686" s="807" t="s">
        <v>19467</v>
      </c>
    </row>
    <row r="1687" spans="1:16" s="341" customFormat="1" ht="15" customHeight="1">
      <c r="A1687" s="806" t="s">
        <v>110</v>
      </c>
      <c r="B1687" s="800" t="s">
        <v>135</v>
      </c>
      <c r="C1687" s="800" t="s">
        <v>3848</v>
      </c>
      <c r="D1687" s="800" t="s">
        <v>19468</v>
      </c>
      <c r="E1687" s="801">
        <v>43027</v>
      </c>
      <c r="F1687" s="800" t="s">
        <v>19456</v>
      </c>
      <c r="G1687" s="800" t="s">
        <v>19469</v>
      </c>
      <c r="H1687" s="800" t="s">
        <v>10404</v>
      </c>
      <c r="I1687" s="800" t="s">
        <v>10404</v>
      </c>
      <c r="J1687" s="800" t="s">
        <v>10447</v>
      </c>
      <c r="K1687" s="800">
        <v>1</v>
      </c>
      <c r="L1687" s="802" t="s">
        <v>10398</v>
      </c>
      <c r="M1687" s="802" t="s">
        <v>19470</v>
      </c>
      <c r="N1687" s="802" t="s">
        <v>19471</v>
      </c>
      <c r="O1687" s="802" t="s">
        <v>19472</v>
      </c>
      <c r="P1687" s="807" t="s">
        <v>19473</v>
      </c>
    </row>
    <row r="1688" spans="1:16" s="341" customFormat="1" ht="15" customHeight="1">
      <c r="A1688" s="806" t="s">
        <v>110</v>
      </c>
      <c r="B1688" s="800" t="s">
        <v>135</v>
      </c>
      <c r="C1688" s="800" t="s">
        <v>3848</v>
      </c>
      <c r="D1688" s="800" t="s">
        <v>19474</v>
      </c>
      <c r="E1688" s="801">
        <v>43026</v>
      </c>
      <c r="F1688" s="800" t="s">
        <v>19456</v>
      </c>
      <c r="G1688" s="800" t="s">
        <v>19475</v>
      </c>
      <c r="H1688" s="800" t="s">
        <v>10433</v>
      </c>
      <c r="I1688" s="800" t="s">
        <v>10433</v>
      </c>
      <c r="J1688" s="800" t="s">
        <v>10447</v>
      </c>
      <c r="K1688" s="800">
        <v>1</v>
      </c>
      <c r="L1688" s="802" t="s">
        <v>10398</v>
      </c>
      <c r="M1688" s="802" t="s">
        <v>19476</v>
      </c>
      <c r="N1688" s="802" t="s">
        <v>19477</v>
      </c>
      <c r="O1688" s="802" t="s">
        <v>19453</v>
      </c>
      <c r="P1688" s="807" t="s">
        <v>32</v>
      </c>
    </row>
    <row r="1689" spans="1:16" s="341" customFormat="1" ht="25.5" customHeight="1">
      <c r="A1689" s="806" t="s">
        <v>110</v>
      </c>
      <c r="B1689" s="800" t="s">
        <v>135</v>
      </c>
      <c r="C1689" s="800" t="s">
        <v>3848</v>
      </c>
      <c r="D1689" s="800" t="s">
        <v>19478</v>
      </c>
      <c r="E1689" s="801">
        <v>43027</v>
      </c>
      <c r="F1689" s="800" t="s">
        <v>19456</v>
      </c>
      <c r="G1689" s="800" t="s">
        <v>19479</v>
      </c>
      <c r="H1689" s="800" t="s">
        <v>10404</v>
      </c>
      <c r="I1689" s="800" t="s">
        <v>10404</v>
      </c>
      <c r="J1689" s="800" t="s">
        <v>10664</v>
      </c>
      <c r="K1689" s="800">
        <v>1</v>
      </c>
      <c r="L1689" s="802" t="s">
        <v>10398</v>
      </c>
      <c r="M1689" s="802" t="s">
        <v>19480</v>
      </c>
      <c r="N1689" s="802" t="s">
        <v>19481</v>
      </c>
      <c r="O1689" s="802" t="s">
        <v>19482</v>
      </c>
      <c r="P1689" s="807" t="s">
        <v>19483</v>
      </c>
    </row>
    <row r="1690" spans="1:16" s="341" customFormat="1" ht="25.5" customHeight="1">
      <c r="A1690" s="806" t="s">
        <v>110</v>
      </c>
      <c r="B1690" s="800" t="s">
        <v>135</v>
      </c>
      <c r="C1690" s="800" t="s">
        <v>3848</v>
      </c>
      <c r="D1690" s="800" t="s">
        <v>19484</v>
      </c>
      <c r="E1690" s="801">
        <v>43027</v>
      </c>
      <c r="F1690" s="800" t="s">
        <v>19485</v>
      </c>
      <c r="G1690" s="800" t="s">
        <v>32</v>
      </c>
      <c r="H1690" s="800" t="s">
        <v>10404</v>
      </c>
      <c r="I1690" s="800" t="s">
        <v>10404</v>
      </c>
      <c r="J1690" s="800" t="s">
        <v>10447</v>
      </c>
      <c r="K1690" s="800">
        <v>1</v>
      </c>
      <c r="L1690" s="802" t="s">
        <v>10398</v>
      </c>
      <c r="M1690" s="802" t="s">
        <v>19486</v>
      </c>
      <c r="N1690" s="802" t="s">
        <v>19487</v>
      </c>
      <c r="O1690" s="802" t="s">
        <v>19488</v>
      </c>
      <c r="P1690" s="807" t="s">
        <v>19489</v>
      </c>
    </row>
    <row r="1691" spans="1:16" s="341" customFormat="1" ht="15" customHeight="1">
      <c r="A1691" s="806" t="s">
        <v>110</v>
      </c>
      <c r="B1691" s="800" t="s">
        <v>135</v>
      </c>
      <c r="C1691" s="800" t="s">
        <v>3848</v>
      </c>
      <c r="D1691" s="800" t="s">
        <v>19490</v>
      </c>
      <c r="E1691" s="801">
        <v>43026</v>
      </c>
      <c r="F1691" s="800" t="s">
        <v>19485</v>
      </c>
      <c r="G1691" s="800" t="s">
        <v>19491</v>
      </c>
      <c r="H1691" s="800" t="s">
        <v>10396</v>
      </c>
      <c r="I1691" s="800" t="s">
        <v>10396</v>
      </c>
      <c r="J1691" s="800" t="s">
        <v>10447</v>
      </c>
      <c r="K1691" s="800">
        <v>1</v>
      </c>
      <c r="L1691" s="802" t="s">
        <v>10398</v>
      </c>
      <c r="M1691" s="802" t="s">
        <v>19492</v>
      </c>
      <c r="N1691" s="802" t="s">
        <v>11804</v>
      </c>
      <c r="O1691" s="802" t="s">
        <v>19493</v>
      </c>
      <c r="P1691" s="807" t="s">
        <v>19494</v>
      </c>
    </row>
    <row r="1692" spans="1:16" s="341" customFormat="1" ht="25.5" customHeight="1">
      <c r="A1692" s="806" t="s">
        <v>110</v>
      </c>
      <c r="B1692" s="800" t="s">
        <v>135</v>
      </c>
      <c r="C1692" s="800" t="s">
        <v>3848</v>
      </c>
      <c r="D1692" s="800" t="s">
        <v>19495</v>
      </c>
      <c r="E1692" s="801">
        <v>43027</v>
      </c>
      <c r="F1692" s="800" t="s">
        <v>19496</v>
      </c>
      <c r="G1692" s="800" t="s">
        <v>19497</v>
      </c>
      <c r="H1692" s="800" t="s">
        <v>10433</v>
      </c>
      <c r="I1692" s="800" t="s">
        <v>10433</v>
      </c>
      <c r="J1692" s="800" t="s">
        <v>10664</v>
      </c>
      <c r="K1692" s="800">
        <v>1</v>
      </c>
      <c r="L1692" s="802" t="s">
        <v>10398</v>
      </c>
      <c r="M1692" s="802" t="s">
        <v>19498</v>
      </c>
      <c r="N1692" s="802" t="s">
        <v>19499</v>
      </c>
      <c r="O1692" s="802" t="s">
        <v>19500</v>
      </c>
      <c r="P1692" s="807" t="s">
        <v>19501</v>
      </c>
    </row>
    <row r="1693" spans="1:16" s="341" customFormat="1" ht="15" customHeight="1">
      <c r="A1693" s="806" t="s">
        <v>110</v>
      </c>
      <c r="B1693" s="800" t="s">
        <v>135</v>
      </c>
      <c r="C1693" s="800" t="s">
        <v>3848</v>
      </c>
      <c r="D1693" s="800" t="s">
        <v>19502</v>
      </c>
      <c r="E1693" s="801">
        <v>43027</v>
      </c>
      <c r="F1693" s="800" t="s">
        <v>19496</v>
      </c>
      <c r="G1693" s="800" t="s">
        <v>32</v>
      </c>
      <c r="H1693" s="800" t="s">
        <v>10433</v>
      </c>
      <c r="I1693" s="800" t="s">
        <v>10433</v>
      </c>
      <c r="J1693" s="800" t="s">
        <v>10447</v>
      </c>
      <c r="K1693" s="800">
        <v>1</v>
      </c>
      <c r="L1693" s="802" t="s">
        <v>10398</v>
      </c>
      <c r="M1693" s="802" t="s">
        <v>19503</v>
      </c>
      <c r="N1693" s="802" t="s">
        <v>19504</v>
      </c>
      <c r="O1693" s="802" t="s">
        <v>19505</v>
      </c>
      <c r="P1693" s="807" t="s">
        <v>19506</v>
      </c>
    </row>
    <row r="1694" spans="1:16" s="341" customFormat="1" ht="25.5" customHeight="1">
      <c r="A1694" s="806" t="s">
        <v>110</v>
      </c>
      <c r="B1694" s="800" t="s">
        <v>135</v>
      </c>
      <c r="C1694" s="800" t="s">
        <v>3848</v>
      </c>
      <c r="D1694" s="800" t="s">
        <v>19507</v>
      </c>
      <c r="E1694" s="801">
        <v>43027</v>
      </c>
      <c r="F1694" s="800" t="s">
        <v>19496</v>
      </c>
      <c r="G1694" s="800" t="s">
        <v>19508</v>
      </c>
      <c r="H1694" s="800" t="s">
        <v>10404</v>
      </c>
      <c r="I1694" s="800" t="s">
        <v>10404</v>
      </c>
      <c r="J1694" s="800" t="s">
        <v>10447</v>
      </c>
      <c r="K1694" s="800">
        <v>1</v>
      </c>
      <c r="L1694" s="802" t="s">
        <v>10398</v>
      </c>
      <c r="M1694" s="802" t="s">
        <v>19509</v>
      </c>
      <c r="N1694" s="802" t="s">
        <v>19510</v>
      </c>
      <c r="O1694" s="802" t="s">
        <v>19511</v>
      </c>
      <c r="P1694" s="807" t="s">
        <v>19512</v>
      </c>
    </row>
    <row r="1695" spans="1:16" s="341" customFormat="1" ht="25.5" customHeight="1">
      <c r="A1695" s="806" t="s">
        <v>110</v>
      </c>
      <c r="B1695" s="800" t="s">
        <v>135</v>
      </c>
      <c r="C1695" s="800" t="s">
        <v>3848</v>
      </c>
      <c r="D1695" s="800" t="s">
        <v>19513</v>
      </c>
      <c r="E1695" s="801">
        <v>43027</v>
      </c>
      <c r="F1695" s="800" t="s">
        <v>19496</v>
      </c>
      <c r="G1695" s="800" t="s">
        <v>19514</v>
      </c>
      <c r="H1695" s="800" t="s">
        <v>10531</v>
      </c>
      <c r="I1695" s="800" t="s">
        <v>10531</v>
      </c>
      <c r="J1695" s="800" t="s">
        <v>10447</v>
      </c>
      <c r="K1695" s="800">
        <v>1</v>
      </c>
      <c r="L1695" s="802" t="s">
        <v>10398</v>
      </c>
      <c r="M1695" s="802" t="s">
        <v>19515</v>
      </c>
      <c r="N1695" s="802" t="s">
        <v>16006</v>
      </c>
      <c r="O1695" s="802" t="s">
        <v>19516</v>
      </c>
      <c r="P1695" s="807" t="s">
        <v>19517</v>
      </c>
    </row>
    <row r="1696" spans="1:16" s="341" customFormat="1" ht="25.5" customHeight="1">
      <c r="A1696" s="806" t="s">
        <v>110</v>
      </c>
      <c r="B1696" s="800" t="s">
        <v>135</v>
      </c>
      <c r="C1696" s="800" t="s">
        <v>3848</v>
      </c>
      <c r="D1696" s="800" t="s">
        <v>19518</v>
      </c>
      <c r="E1696" s="801">
        <v>43027</v>
      </c>
      <c r="F1696" s="800" t="s">
        <v>5233</v>
      </c>
      <c r="G1696" s="800" t="s">
        <v>19519</v>
      </c>
      <c r="H1696" s="800" t="s">
        <v>10404</v>
      </c>
      <c r="I1696" s="800" t="s">
        <v>10404</v>
      </c>
      <c r="J1696" s="800" t="s">
        <v>10664</v>
      </c>
      <c r="K1696" s="800">
        <v>1</v>
      </c>
      <c r="L1696" s="802" t="s">
        <v>10398</v>
      </c>
      <c r="M1696" s="802" t="s">
        <v>19520</v>
      </c>
      <c r="N1696" s="802" t="s">
        <v>19521</v>
      </c>
      <c r="O1696" s="802" t="s">
        <v>19522</v>
      </c>
      <c r="P1696" s="807" t="s">
        <v>19523</v>
      </c>
    </row>
    <row r="1697" spans="1:16" s="341" customFormat="1" ht="25.5" customHeight="1">
      <c r="A1697" s="806" t="s">
        <v>110</v>
      </c>
      <c r="B1697" s="800" t="s">
        <v>135</v>
      </c>
      <c r="C1697" s="800" t="s">
        <v>3848</v>
      </c>
      <c r="D1697" s="800" t="s">
        <v>19524</v>
      </c>
      <c r="E1697" s="801">
        <v>43027</v>
      </c>
      <c r="F1697" s="800" t="s">
        <v>19525</v>
      </c>
      <c r="G1697" s="800" t="s">
        <v>19526</v>
      </c>
      <c r="H1697" s="800" t="s">
        <v>10404</v>
      </c>
      <c r="I1697" s="800" t="s">
        <v>10404</v>
      </c>
      <c r="J1697" s="800" t="s">
        <v>10664</v>
      </c>
      <c r="K1697" s="800">
        <v>1</v>
      </c>
      <c r="L1697" s="802" t="s">
        <v>10398</v>
      </c>
      <c r="M1697" s="802" t="s">
        <v>19527</v>
      </c>
      <c r="N1697" s="802" t="s">
        <v>19528</v>
      </c>
      <c r="O1697" s="802" t="s">
        <v>19529</v>
      </c>
      <c r="P1697" s="807" t="s">
        <v>19530</v>
      </c>
    </row>
    <row r="1698" spans="1:16" s="341" customFormat="1" ht="25.5" customHeight="1">
      <c r="A1698" s="806" t="s">
        <v>110</v>
      </c>
      <c r="B1698" s="800" t="s">
        <v>135</v>
      </c>
      <c r="C1698" s="800" t="s">
        <v>3848</v>
      </c>
      <c r="D1698" s="800" t="s">
        <v>19531</v>
      </c>
      <c r="E1698" s="801">
        <v>43027</v>
      </c>
      <c r="F1698" s="800" t="s">
        <v>19496</v>
      </c>
      <c r="G1698" s="800" t="s">
        <v>19532</v>
      </c>
      <c r="H1698" s="800" t="s">
        <v>10531</v>
      </c>
      <c r="I1698" s="800" t="s">
        <v>10531</v>
      </c>
      <c r="J1698" s="800" t="s">
        <v>10447</v>
      </c>
      <c r="K1698" s="800">
        <v>1</v>
      </c>
      <c r="L1698" s="802" t="s">
        <v>10398</v>
      </c>
      <c r="M1698" s="802" t="s">
        <v>19533</v>
      </c>
      <c r="N1698" s="802" t="s">
        <v>16543</v>
      </c>
      <c r="O1698" s="802" t="s">
        <v>19534</v>
      </c>
      <c r="P1698" s="807" t="s">
        <v>19535</v>
      </c>
    </row>
    <row r="1699" spans="1:16" s="341" customFormat="1" ht="15" customHeight="1">
      <c r="A1699" s="806" t="s">
        <v>110</v>
      </c>
      <c r="B1699" s="800" t="s">
        <v>135</v>
      </c>
      <c r="C1699" s="800" t="s">
        <v>3848</v>
      </c>
      <c r="D1699" s="800" t="s">
        <v>19536</v>
      </c>
      <c r="E1699" s="801">
        <v>43028</v>
      </c>
      <c r="F1699" s="800" t="s">
        <v>19537</v>
      </c>
      <c r="G1699" s="800" t="s">
        <v>19538</v>
      </c>
      <c r="H1699" s="800" t="s">
        <v>10396</v>
      </c>
      <c r="I1699" s="800" t="s">
        <v>10396</v>
      </c>
      <c r="J1699" s="800" t="s">
        <v>10447</v>
      </c>
      <c r="K1699" s="800">
        <v>1</v>
      </c>
      <c r="L1699" s="802" t="s">
        <v>10398</v>
      </c>
      <c r="M1699" s="802" t="s">
        <v>19539</v>
      </c>
      <c r="N1699" s="802" t="s">
        <v>19540</v>
      </c>
      <c r="O1699" s="802" t="s">
        <v>19541</v>
      </c>
      <c r="P1699" s="807" t="s">
        <v>19542</v>
      </c>
    </row>
    <row r="1700" spans="1:16" s="341" customFormat="1" ht="25.5" customHeight="1">
      <c r="A1700" s="806" t="s">
        <v>110</v>
      </c>
      <c r="B1700" s="800" t="s">
        <v>135</v>
      </c>
      <c r="C1700" s="800" t="s">
        <v>3848</v>
      </c>
      <c r="D1700" s="800" t="s">
        <v>19543</v>
      </c>
      <c r="E1700" s="801">
        <v>40840</v>
      </c>
      <c r="F1700" s="800" t="s">
        <v>19537</v>
      </c>
      <c r="G1700" s="800" t="s">
        <v>19544</v>
      </c>
      <c r="H1700" s="800" t="s">
        <v>10404</v>
      </c>
      <c r="I1700" s="800" t="s">
        <v>10404</v>
      </c>
      <c r="J1700" s="800" t="s">
        <v>10447</v>
      </c>
      <c r="K1700" s="800">
        <v>1</v>
      </c>
      <c r="L1700" s="802" t="s">
        <v>10398</v>
      </c>
      <c r="M1700" s="802" t="s">
        <v>19545</v>
      </c>
      <c r="N1700" s="802" t="s">
        <v>19546</v>
      </c>
      <c r="O1700" s="802" t="s">
        <v>19547</v>
      </c>
      <c r="P1700" s="807" t="s">
        <v>19548</v>
      </c>
    </row>
    <row r="1701" spans="1:16" s="341" customFormat="1" ht="15" customHeight="1">
      <c r="A1701" s="806" t="s">
        <v>110</v>
      </c>
      <c r="B1701" s="800" t="s">
        <v>135</v>
      </c>
      <c r="C1701" s="800" t="s">
        <v>3848</v>
      </c>
      <c r="D1701" s="800" t="s">
        <v>19549</v>
      </c>
      <c r="E1701" s="801">
        <v>43028</v>
      </c>
      <c r="F1701" s="800" t="s">
        <v>19537</v>
      </c>
      <c r="G1701" s="800" t="s">
        <v>19550</v>
      </c>
      <c r="H1701" s="800" t="s">
        <v>10396</v>
      </c>
      <c r="I1701" s="800" t="s">
        <v>10396</v>
      </c>
      <c r="J1701" s="800" t="s">
        <v>10447</v>
      </c>
      <c r="K1701" s="800">
        <v>1</v>
      </c>
      <c r="L1701" s="802" t="s">
        <v>10398</v>
      </c>
      <c r="M1701" s="802" t="s">
        <v>32</v>
      </c>
      <c r="N1701" s="802" t="s">
        <v>19551</v>
      </c>
      <c r="O1701" s="802" t="s">
        <v>19552</v>
      </c>
      <c r="P1701" s="807" t="s">
        <v>19553</v>
      </c>
    </row>
    <row r="1702" spans="1:16" s="341" customFormat="1" ht="15" customHeight="1">
      <c r="A1702" s="806" t="s">
        <v>110</v>
      </c>
      <c r="B1702" s="800" t="s">
        <v>135</v>
      </c>
      <c r="C1702" s="800" t="s">
        <v>3848</v>
      </c>
      <c r="D1702" s="800" t="s">
        <v>19554</v>
      </c>
      <c r="E1702" s="801">
        <v>43028</v>
      </c>
      <c r="F1702" s="800" t="s">
        <v>19537</v>
      </c>
      <c r="G1702" s="800" t="s">
        <v>19555</v>
      </c>
      <c r="H1702" s="800" t="s">
        <v>10404</v>
      </c>
      <c r="I1702" s="800" t="s">
        <v>10404</v>
      </c>
      <c r="J1702" s="800" t="s">
        <v>10447</v>
      </c>
      <c r="K1702" s="800">
        <v>1</v>
      </c>
      <c r="L1702" s="802" t="s">
        <v>10398</v>
      </c>
      <c r="M1702" s="802" t="s">
        <v>19556</v>
      </c>
      <c r="N1702" s="802" t="s">
        <v>19557</v>
      </c>
      <c r="O1702" s="802" t="s">
        <v>19558</v>
      </c>
      <c r="P1702" s="807" t="s">
        <v>19559</v>
      </c>
    </row>
    <row r="1703" spans="1:16" s="341" customFormat="1" ht="15" customHeight="1">
      <c r="A1703" s="806" t="s">
        <v>110</v>
      </c>
      <c r="B1703" s="800" t="s">
        <v>135</v>
      </c>
      <c r="C1703" s="800" t="s">
        <v>3848</v>
      </c>
      <c r="D1703" s="800" t="s">
        <v>19560</v>
      </c>
      <c r="E1703" s="801">
        <v>43028</v>
      </c>
      <c r="F1703" s="800" t="s">
        <v>19537</v>
      </c>
      <c r="G1703" s="800" t="s">
        <v>19555</v>
      </c>
      <c r="H1703" s="800" t="s">
        <v>10396</v>
      </c>
      <c r="I1703" s="800" t="s">
        <v>10396</v>
      </c>
      <c r="J1703" s="800" t="s">
        <v>10447</v>
      </c>
      <c r="K1703" s="800">
        <v>1</v>
      </c>
      <c r="L1703" s="802" t="s">
        <v>10398</v>
      </c>
      <c r="M1703" s="802" t="s">
        <v>19561</v>
      </c>
      <c r="N1703" s="802" t="s">
        <v>15494</v>
      </c>
      <c r="O1703" s="802" t="s">
        <v>19562</v>
      </c>
      <c r="P1703" s="807" t="s">
        <v>19563</v>
      </c>
    </row>
    <row r="1704" spans="1:16" s="341" customFormat="1" ht="15" customHeight="1">
      <c r="A1704" s="806" t="s">
        <v>110</v>
      </c>
      <c r="B1704" s="800" t="s">
        <v>135</v>
      </c>
      <c r="C1704" s="800" t="s">
        <v>3848</v>
      </c>
      <c r="D1704" s="800" t="s">
        <v>19564</v>
      </c>
      <c r="E1704" s="801">
        <v>43028</v>
      </c>
      <c r="F1704" s="800" t="s">
        <v>19537</v>
      </c>
      <c r="G1704" s="800" t="s">
        <v>19565</v>
      </c>
      <c r="H1704" s="800" t="s">
        <v>10396</v>
      </c>
      <c r="I1704" s="800" t="s">
        <v>10396</v>
      </c>
      <c r="J1704" s="800" t="s">
        <v>10664</v>
      </c>
      <c r="K1704" s="800">
        <v>1</v>
      </c>
      <c r="L1704" s="802" t="s">
        <v>10398</v>
      </c>
      <c r="M1704" s="802" t="s">
        <v>19566</v>
      </c>
      <c r="N1704" s="802" t="s">
        <v>12242</v>
      </c>
      <c r="O1704" s="802" t="s">
        <v>19558</v>
      </c>
      <c r="P1704" s="807" t="s">
        <v>19567</v>
      </c>
    </row>
    <row r="1705" spans="1:16" s="341" customFormat="1" ht="38.25" customHeight="1">
      <c r="A1705" s="806" t="s">
        <v>110</v>
      </c>
      <c r="B1705" s="800" t="s">
        <v>38</v>
      </c>
      <c r="C1705" s="800" t="s">
        <v>3773</v>
      </c>
      <c r="D1705" s="800" t="s">
        <v>19568</v>
      </c>
      <c r="E1705" s="801">
        <v>43067</v>
      </c>
      <c r="F1705" s="800" t="s">
        <v>3807</v>
      </c>
      <c r="G1705" s="800" t="s">
        <v>19569</v>
      </c>
      <c r="H1705" s="800" t="s">
        <v>10531</v>
      </c>
      <c r="I1705" s="800" t="s">
        <v>10531</v>
      </c>
      <c r="J1705" s="800" t="s">
        <v>4342</v>
      </c>
      <c r="K1705" s="800">
        <v>1</v>
      </c>
      <c r="L1705" s="802" t="s">
        <v>10398</v>
      </c>
      <c r="M1705" s="802" t="s">
        <v>19570</v>
      </c>
      <c r="N1705" s="802" t="s">
        <v>19571</v>
      </c>
      <c r="O1705" s="802" t="s">
        <v>19572</v>
      </c>
      <c r="P1705" s="807" t="s">
        <v>19573</v>
      </c>
    </row>
    <row r="1706" spans="1:16" s="341" customFormat="1" ht="15" customHeight="1">
      <c r="A1706" s="806" t="s">
        <v>110</v>
      </c>
      <c r="B1706" s="800" t="s">
        <v>38</v>
      </c>
      <c r="C1706" s="800" t="s">
        <v>3773</v>
      </c>
      <c r="D1706" s="800" t="s">
        <v>19574</v>
      </c>
      <c r="E1706" s="801">
        <v>43038</v>
      </c>
      <c r="F1706" s="800" t="s">
        <v>19575</v>
      </c>
      <c r="G1706" s="800" t="s">
        <v>19576</v>
      </c>
      <c r="H1706" s="800" t="s">
        <v>10396</v>
      </c>
      <c r="I1706" s="800" t="s">
        <v>10396</v>
      </c>
      <c r="J1706" s="800" t="s">
        <v>10397</v>
      </c>
      <c r="K1706" s="800">
        <v>1</v>
      </c>
      <c r="L1706" s="802" t="s">
        <v>10398</v>
      </c>
      <c r="M1706" s="802" t="s">
        <v>19577</v>
      </c>
      <c r="N1706" s="802" t="s">
        <v>19578</v>
      </c>
      <c r="O1706" s="802" t="s">
        <v>19579</v>
      </c>
      <c r="P1706" s="807" t="s">
        <v>19580</v>
      </c>
    </row>
    <row r="1707" spans="1:16" s="341" customFormat="1" ht="25.5" customHeight="1">
      <c r="A1707" s="806" t="s">
        <v>110</v>
      </c>
      <c r="B1707" s="800" t="s">
        <v>38</v>
      </c>
      <c r="C1707" s="800" t="s">
        <v>3773</v>
      </c>
      <c r="D1707" s="800" t="s">
        <v>19581</v>
      </c>
      <c r="E1707" s="801">
        <v>43062</v>
      </c>
      <c r="F1707" s="800" t="s">
        <v>19582</v>
      </c>
      <c r="G1707" s="800" t="s">
        <v>19583</v>
      </c>
      <c r="H1707" s="800" t="s">
        <v>10531</v>
      </c>
      <c r="I1707" s="800" t="s">
        <v>10531</v>
      </c>
      <c r="J1707" s="800" t="s">
        <v>10447</v>
      </c>
      <c r="K1707" s="800">
        <v>1</v>
      </c>
      <c r="L1707" s="802" t="s">
        <v>10398</v>
      </c>
      <c r="M1707" s="802" t="s">
        <v>19584</v>
      </c>
      <c r="N1707" s="802" t="s">
        <v>19585</v>
      </c>
      <c r="O1707" s="802" t="s">
        <v>19586</v>
      </c>
      <c r="P1707" s="807" t="s">
        <v>19587</v>
      </c>
    </row>
    <row r="1708" spans="1:16" s="341" customFormat="1" ht="15" customHeight="1">
      <c r="A1708" s="806" t="s">
        <v>110</v>
      </c>
      <c r="B1708" s="800" t="s">
        <v>38</v>
      </c>
      <c r="C1708" s="800" t="s">
        <v>3773</v>
      </c>
      <c r="D1708" s="800" t="s">
        <v>19588</v>
      </c>
      <c r="E1708" s="801">
        <v>43062</v>
      </c>
      <c r="F1708" s="800" t="s">
        <v>19582</v>
      </c>
      <c r="G1708" s="800" t="s">
        <v>19589</v>
      </c>
      <c r="H1708" s="800" t="s">
        <v>10396</v>
      </c>
      <c r="I1708" s="800" t="s">
        <v>10396</v>
      </c>
      <c r="J1708" s="800" t="s">
        <v>10447</v>
      </c>
      <c r="K1708" s="800">
        <v>1</v>
      </c>
      <c r="L1708" s="802" t="s">
        <v>10398</v>
      </c>
      <c r="M1708" s="802" t="s">
        <v>19590</v>
      </c>
      <c r="N1708" s="802" t="s">
        <v>19591</v>
      </c>
      <c r="O1708" s="802" t="s">
        <v>19592</v>
      </c>
      <c r="P1708" s="807" t="s">
        <v>19593</v>
      </c>
    </row>
    <row r="1709" spans="1:16" s="341" customFormat="1" ht="15" customHeight="1">
      <c r="A1709" s="806" t="s">
        <v>110</v>
      </c>
      <c r="B1709" s="800" t="s">
        <v>38</v>
      </c>
      <c r="C1709" s="800" t="s">
        <v>3773</v>
      </c>
      <c r="D1709" s="800" t="s">
        <v>19594</v>
      </c>
      <c r="E1709" s="801">
        <v>43061</v>
      </c>
      <c r="F1709" s="800" t="s">
        <v>19582</v>
      </c>
      <c r="G1709" s="800" t="s">
        <v>19583</v>
      </c>
      <c r="H1709" s="800" t="s">
        <v>10531</v>
      </c>
      <c r="I1709" s="800" t="s">
        <v>10531</v>
      </c>
      <c r="J1709" s="800" t="s">
        <v>10447</v>
      </c>
      <c r="K1709" s="800">
        <v>1</v>
      </c>
      <c r="L1709" s="802" t="s">
        <v>10398</v>
      </c>
      <c r="M1709" s="802" t="s">
        <v>19595</v>
      </c>
      <c r="N1709" s="802" t="s">
        <v>19596</v>
      </c>
      <c r="O1709" s="802" t="s">
        <v>19597</v>
      </c>
      <c r="P1709" s="807" t="s">
        <v>19598</v>
      </c>
    </row>
    <row r="1710" spans="1:16" s="341" customFormat="1" ht="15" customHeight="1">
      <c r="A1710" s="806" t="s">
        <v>110</v>
      </c>
      <c r="B1710" s="800" t="s">
        <v>38</v>
      </c>
      <c r="C1710" s="800" t="s">
        <v>3773</v>
      </c>
      <c r="D1710" s="800" t="s">
        <v>19599</v>
      </c>
      <c r="E1710" s="801">
        <v>43062</v>
      </c>
      <c r="F1710" s="800" t="s">
        <v>19582</v>
      </c>
      <c r="G1710" s="800" t="s">
        <v>19600</v>
      </c>
      <c r="H1710" s="800" t="s">
        <v>10404</v>
      </c>
      <c r="I1710" s="800" t="s">
        <v>10404</v>
      </c>
      <c r="J1710" s="800" t="s">
        <v>10447</v>
      </c>
      <c r="K1710" s="800">
        <v>1</v>
      </c>
      <c r="L1710" s="802" t="s">
        <v>10398</v>
      </c>
      <c r="M1710" s="802" t="s">
        <v>19601</v>
      </c>
      <c r="N1710" s="802" t="s">
        <v>13617</v>
      </c>
      <c r="O1710" s="802" t="s">
        <v>19602</v>
      </c>
      <c r="P1710" s="807" t="s">
        <v>32</v>
      </c>
    </row>
    <row r="1711" spans="1:16" s="341" customFormat="1" ht="25.5" customHeight="1">
      <c r="A1711" s="806" t="s">
        <v>110</v>
      </c>
      <c r="B1711" s="800" t="s">
        <v>38</v>
      </c>
      <c r="C1711" s="800" t="s">
        <v>3773</v>
      </c>
      <c r="D1711" s="800" t="s">
        <v>19603</v>
      </c>
      <c r="E1711" s="801">
        <v>43062</v>
      </c>
      <c r="F1711" s="800" t="s">
        <v>19582</v>
      </c>
      <c r="G1711" s="800" t="s">
        <v>19604</v>
      </c>
      <c r="H1711" s="800" t="s">
        <v>10531</v>
      </c>
      <c r="I1711" s="800" t="s">
        <v>10531</v>
      </c>
      <c r="J1711" s="800" t="s">
        <v>10447</v>
      </c>
      <c r="K1711" s="800">
        <v>1</v>
      </c>
      <c r="L1711" s="802" t="s">
        <v>10398</v>
      </c>
      <c r="M1711" s="802" t="s">
        <v>19605</v>
      </c>
      <c r="N1711" s="802" t="s">
        <v>11378</v>
      </c>
      <c r="O1711" s="802" t="s">
        <v>19606</v>
      </c>
      <c r="P1711" s="807" t="s">
        <v>19607</v>
      </c>
    </row>
    <row r="1712" spans="1:16" s="341" customFormat="1" ht="15" customHeight="1">
      <c r="A1712" s="806" t="s">
        <v>110</v>
      </c>
      <c r="B1712" s="800" t="s">
        <v>38</v>
      </c>
      <c r="C1712" s="800" t="s">
        <v>3773</v>
      </c>
      <c r="D1712" s="800" t="s">
        <v>19608</v>
      </c>
      <c r="E1712" s="801">
        <v>43062</v>
      </c>
      <c r="F1712" s="800" t="s">
        <v>19582</v>
      </c>
      <c r="G1712" s="800" t="s">
        <v>19609</v>
      </c>
      <c r="H1712" s="800" t="s">
        <v>10531</v>
      </c>
      <c r="I1712" s="800" t="s">
        <v>10531</v>
      </c>
      <c r="J1712" s="800" t="s">
        <v>10447</v>
      </c>
      <c r="K1712" s="800">
        <v>1</v>
      </c>
      <c r="L1712" s="802" t="s">
        <v>10398</v>
      </c>
      <c r="M1712" s="802" t="s">
        <v>19610</v>
      </c>
      <c r="N1712" s="802" t="s">
        <v>19611</v>
      </c>
      <c r="O1712" s="802" t="s">
        <v>19612</v>
      </c>
      <c r="P1712" s="807" t="s">
        <v>32</v>
      </c>
    </row>
    <row r="1713" spans="1:16" s="341" customFormat="1" ht="15" customHeight="1">
      <c r="A1713" s="806" t="s">
        <v>110</v>
      </c>
      <c r="B1713" s="800" t="s">
        <v>38</v>
      </c>
      <c r="C1713" s="800" t="s">
        <v>3773</v>
      </c>
      <c r="D1713" s="800" t="s">
        <v>19613</v>
      </c>
      <c r="E1713" s="801">
        <v>43062</v>
      </c>
      <c r="F1713" s="800" t="s">
        <v>19582</v>
      </c>
      <c r="G1713" s="800" t="s">
        <v>19614</v>
      </c>
      <c r="H1713" s="800" t="s">
        <v>10396</v>
      </c>
      <c r="I1713" s="800" t="s">
        <v>10396</v>
      </c>
      <c r="J1713" s="800" t="s">
        <v>10447</v>
      </c>
      <c r="K1713" s="800">
        <v>1</v>
      </c>
      <c r="L1713" s="802" t="s">
        <v>10398</v>
      </c>
      <c r="M1713" s="802" t="s">
        <v>19615</v>
      </c>
      <c r="N1713" s="802" t="s">
        <v>19616</v>
      </c>
      <c r="O1713" s="802" t="s">
        <v>19617</v>
      </c>
      <c r="P1713" s="807" t="s">
        <v>32</v>
      </c>
    </row>
    <row r="1714" spans="1:16" s="341" customFormat="1" ht="25.5" customHeight="1">
      <c r="A1714" s="806" t="s">
        <v>110</v>
      </c>
      <c r="B1714" s="800" t="s">
        <v>38</v>
      </c>
      <c r="C1714" s="800" t="s">
        <v>3773</v>
      </c>
      <c r="D1714" s="800" t="s">
        <v>19618</v>
      </c>
      <c r="E1714" s="801">
        <v>43062</v>
      </c>
      <c r="F1714" s="800" t="s">
        <v>19582</v>
      </c>
      <c r="G1714" s="800" t="s">
        <v>19609</v>
      </c>
      <c r="H1714" s="800" t="s">
        <v>10531</v>
      </c>
      <c r="I1714" s="800" t="s">
        <v>10531</v>
      </c>
      <c r="J1714" s="800" t="s">
        <v>10447</v>
      </c>
      <c r="K1714" s="800">
        <v>1</v>
      </c>
      <c r="L1714" s="802" t="s">
        <v>10398</v>
      </c>
      <c r="M1714" s="802" t="s">
        <v>19619</v>
      </c>
      <c r="N1714" s="802" t="s">
        <v>11378</v>
      </c>
      <c r="O1714" s="802" t="s">
        <v>19620</v>
      </c>
      <c r="P1714" s="807" t="s">
        <v>19621</v>
      </c>
    </row>
    <row r="1715" spans="1:16" s="341" customFormat="1" ht="15" customHeight="1">
      <c r="A1715" s="806" t="s">
        <v>110</v>
      </c>
      <c r="B1715" s="800" t="s">
        <v>38</v>
      </c>
      <c r="C1715" s="800" t="s">
        <v>3773</v>
      </c>
      <c r="D1715" s="800" t="s">
        <v>19622</v>
      </c>
      <c r="E1715" s="801">
        <v>43062</v>
      </c>
      <c r="F1715" s="800" t="s">
        <v>19582</v>
      </c>
      <c r="G1715" s="800" t="s">
        <v>19614</v>
      </c>
      <c r="H1715" s="800" t="s">
        <v>10531</v>
      </c>
      <c r="I1715" s="800" t="s">
        <v>10531</v>
      </c>
      <c r="J1715" s="800" t="s">
        <v>10447</v>
      </c>
      <c r="K1715" s="800">
        <v>1</v>
      </c>
      <c r="L1715" s="802" t="s">
        <v>10398</v>
      </c>
      <c r="M1715" s="802" t="s">
        <v>32</v>
      </c>
      <c r="N1715" s="802" t="s">
        <v>18665</v>
      </c>
      <c r="O1715" s="802" t="s">
        <v>19623</v>
      </c>
      <c r="P1715" s="807" t="s">
        <v>32</v>
      </c>
    </row>
    <row r="1716" spans="1:16" s="341" customFormat="1" ht="25.5" customHeight="1">
      <c r="A1716" s="806" t="s">
        <v>110</v>
      </c>
      <c r="B1716" s="800" t="s">
        <v>38</v>
      </c>
      <c r="C1716" s="800" t="s">
        <v>3773</v>
      </c>
      <c r="D1716" s="800" t="s">
        <v>19624</v>
      </c>
      <c r="E1716" s="801">
        <v>43062</v>
      </c>
      <c r="F1716" s="800" t="s">
        <v>19582</v>
      </c>
      <c r="G1716" s="800" t="s">
        <v>19614</v>
      </c>
      <c r="H1716" s="800" t="s">
        <v>10531</v>
      </c>
      <c r="I1716" s="800" t="s">
        <v>10531</v>
      </c>
      <c r="J1716" s="800" t="s">
        <v>10447</v>
      </c>
      <c r="K1716" s="800">
        <v>1</v>
      </c>
      <c r="L1716" s="802" t="s">
        <v>10398</v>
      </c>
      <c r="M1716" s="802" t="s">
        <v>19625</v>
      </c>
      <c r="N1716" s="802" t="s">
        <v>14490</v>
      </c>
      <c r="O1716" s="802" t="s">
        <v>19626</v>
      </c>
      <c r="P1716" s="807" t="s">
        <v>19627</v>
      </c>
    </row>
    <row r="1717" spans="1:16" s="341" customFormat="1" ht="15" customHeight="1">
      <c r="A1717" s="806" t="s">
        <v>110</v>
      </c>
      <c r="B1717" s="800" t="s">
        <v>38</v>
      </c>
      <c r="C1717" s="800" t="s">
        <v>3773</v>
      </c>
      <c r="D1717" s="800" t="s">
        <v>19628</v>
      </c>
      <c r="E1717" s="801">
        <v>43062</v>
      </c>
      <c r="F1717" s="800" t="s">
        <v>19582</v>
      </c>
      <c r="G1717" s="800" t="s">
        <v>19614</v>
      </c>
      <c r="H1717" s="800" t="s">
        <v>10531</v>
      </c>
      <c r="I1717" s="800" t="s">
        <v>10531</v>
      </c>
      <c r="J1717" s="800" t="s">
        <v>10447</v>
      </c>
      <c r="K1717" s="800">
        <v>1</v>
      </c>
      <c r="L1717" s="802" t="s">
        <v>10398</v>
      </c>
      <c r="M1717" s="802" t="s">
        <v>19629</v>
      </c>
      <c r="N1717" s="802" t="s">
        <v>19630</v>
      </c>
      <c r="O1717" s="802" t="s">
        <v>19631</v>
      </c>
      <c r="P1717" s="807" t="s">
        <v>19632</v>
      </c>
    </row>
    <row r="1718" spans="1:16" s="341" customFormat="1" ht="38.25" customHeight="1">
      <c r="A1718" s="806" t="s">
        <v>110</v>
      </c>
      <c r="B1718" s="800" t="s">
        <v>38</v>
      </c>
      <c r="C1718" s="800" t="s">
        <v>3773</v>
      </c>
      <c r="D1718" s="800" t="s">
        <v>19633</v>
      </c>
      <c r="E1718" s="801">
        <v>43062</v>
      </c>
      <c r="F1718" s="800" t="s">
        <v>19582</v>
      </c>
      <c r="G1718" s="800" t="s">
        <v>19614</v>
      </c>
      <c r="H1718" s="800" t="s">
        <v>10531</v>
      </c>
      <c r="I1718" s="800" t="s">
        <v>10531</v>
      </c>
      <c r="J1718" s="800" t="s">
        <v>10447</v>
      </c>
      <c r="K1718" s="800">
        <v>1</v>
      </c>
      <c r="L1718" s="802" t="s">
        <v>10398</v>
      </c>
      <c r="M1718" s="802" t="s">
        <v>19634</v>
      </c>
      <c r="N1718" s="802" t="s">
        <v>19635</v>
      </c>
      <c r="O1718" s="802" t="s">
        <v>19636</v>
      </c>
      <c r="P1718" s="807" t="s">
        <v>19637</v>
      </c>
    </row>
    <row r="1719" spans="1:16" s="341" customFormat="1" ht="15" customHeight="1">
      <c r="A1719" s="806" t="s">
        <v>110</v>
      </c>
      <c r="B1719" s="800" t="s">
        <v>38</v>
      </c>
      <c r="C1719" s="800" t="s">
        <v>3773</v>
      </c>
      <c r="D1719" s="800" t="s">
        <v>19638</v>
      </c>
      <c r="E1719" s="801">
        <v>43062</v>
      </c>
      <c r="F1719" s="800" t="s">
        <v>19582</v>
      </c>
      <c r="G1719" s="800" t="s">
        <v>19639</v>
      </c>
      <c r="H1719" s="800" t="s">
        <v>10404</v>
      </c>
      <c r="I1719" s="800" t="s">
        <v>10404</v>
      </c>
      <c r="J1719" s="800" t="s">
        <v>10447</v>
      </c>
      <c r="K1719" s="800">
        <v>1</v>
      </c>
      <c r="L1719" s="802" t="s">
        <v>10398</v>
      </c>
      <c r="M1719" s="802" t="s">
        <v>19640</v>
      </c>
      <c r="N1719" s="802" t="s">
        <v>19641</v>
      </c>
      <c r="O1719" s="802" t="s">
        <v>19642</v>
      </c>
      <c r="P1719" s="807" t="s">
        <v>19643</v>
      </c>
    </row>
    <row r="1720" spans="1:16" s="341" customFormat="1" ht="25.5" customHeight="1">
      <c r="A1720" s="806" t="s">
        <v>110</v>
      </c>
      <c r="B1720" s="800" t="s">
        <v>38</v>
      </c>
      <c r="C1720" s="800" t="s">
        <v>3773</v>
      </c>
      <c r="D1720" s="800" t="s">
        <v>19644</v>
      </c>
      <c r="E1720" s="801">
        <v>43062</v>
      </c>
      <c r="F1720" s="800" t="s">
        <v>19582</v>
      </c>
      <c r="G1720" s="800" t="s">
        <v>19614</v>
      </c>
      <c r="H1720" s="800" t="s">
        <v>10433</v>
      </c>
      <c r="I1720" s="800" t="s">
        <v>10433</v>
      </c>
      <c r="J1720" s="800" t="s">
        <v>10447</v>
      </c>
      <c r="K1720" s="800">
        <v>1</v>
      </c>
      <c r="L1720" s="802" t="s">
        <v>10398</v>
      </c>
      <c r="M1720" s="802" t="s">
        <v>19645</v>
      </c>
      <c r="N1720" s="802" t="s">
        <v>19646</v>
      </c>
      <c r="O1720" s="802" t="s">
        <v>19647</v>
      </c>
      <c r="P1720" s="807" t="s">
        <v>19648</v>
      </c>
    </row>
    <row r="1721" spans="1:16" s="341" customFormat="1" ht="38.25" customHeight="1">
      <c r="A1721" s="806" t="s">
        <v>110</v>
      </c>
      <c r="B1721" s="800" t="s">
        <v>38</v>
      </c>
      <c r="C1721" s="800" t="s">
        <v>3773</v>
      </c>
      <c r="D1721" s="800" t="s">
        <v>19649</v>
      </c>
      <c r="E1721" s="801">
        <v>43062</v>
      </c>
      <c r="F1721" s="800" t="s">
        <v>19582</v>
      </c>
      <c r="G1721" s="800" t="s">
        <v>19614</v>
      </c>
      <c r="H1721" s="800" t="s">
        <v>10531</v>
      </c>
      <c r="I1721" s="800" t="s">
        <v>10531</v>
      </c>
      <c r="J1721" s="800" t="s">
        <v>10447</v>
      </c>
      <c r="K1721" s="800">
        <v>1</v>
      </c>
      <c r="L1721" s="802" t="s">
        <v>10398</v>
      </c>
      <c r="M1721" s="802" t="s">
        <v>19650</v>
      </c>
      <c r="N1721" s="802" t="s">
        <v>19651</v>
      </c>
      <c r="O1721" s="802" t="s">
        <v>19652</v>
      </c>
      <c r="P1721" s="807" t="s">
        <v>19653</v>
      </c>
    </row>
    <row r="1722" spans="1:16" s="341" customFormat="1" ht="38.25" customHeight="1">
      <c r="A1722" s="806" t="s">
        <v>110</v>
      </c>
      <c r="B1722" s="800" t="s">
        <v>38</v>
      </c>
      <c r="C1722" s="800" t="s">
        <v>3773</v>
      </c>
      <c r="D1722" s="800" t="s">
        <v>19654</v>
      </c>
      <c r="E1722" s="801">
        <v>43123</v>
      </c>
      <c r="F1722" s="800" t="s">
        <v>19582</v>
      </c>
      <c r="G1722" s="800" t="s">
        <v>19614</v>
      </c>
      <c r="H1722" s="800" t="s">
        <v>10531</v>
      </c>
      <c r="I1722" s="800" t="s">
        <v>10531</v>
      </c>
      <c r="J1722" s="800" t="s">
        <v>10447</v>
      </c>
      <c r="K1722" s="800">
        <v>1</v>
      </c>
      <c r="L1722" s="802" t="s">
        <v>10398</v>
      </c>
      <c r="M1722" s="802" t="s">
        <v>19655</v>
      </c>
      <c r="N1722" s="802" t="s">
        <v>10776</v>
      </c>
      <c r="O1722" s="802" t="s">
        <v>19656</v>
      </c>
      <c r="P1722" s="807" t="s">
        <v>19657</v>
      </c>
    </row>
    <row r="1723" spans="1:16" s="341" customFormat="1" ht="25.5" customHeight="1">
      <c r="A1723" s="806" t="s">
        <v>110</v>
      </c>
      <c r="B1723" s="800" t="s">
        <v>38</v>
      </c>
      <c r="C1723" s="800" t="s">
        <v>3773</v>
      </c>
      <c r="D1723" s="800" t="s">
        <v>19658</v>
      </c>
      <c r="E1723" s="801">
        <v>43062</v>
      </c>
      <c r="F1723" s="800" t="s">
        <v>19582</v>
      </c>
      <c r="G1723" s="800" t="s">
        <v>19614</v>
      </c>
      <c r="H1723" s="800" t="s">
        <v>10433</v>
      </c>
      <c r="I1723" s="800" t="s">
        <v>10433</v>
      </c>
      <c r="J1723" s="800" t="s">
        <v>10447</v>
      </c>
      <c r="K1723" s="800">
        <v>1</v>
      </c>
      <c r="L1723" s="802" t="s">
        <v>10398</v>
      </c>
      <c r="M1723" s="802" t="s">
        <v>19659</v>
      </c>
      <c r="N1723" s="802" t="s">
        <v>13225</v>
      </c>
      <c r="O1723" s="802" t="s">
        <v>19660</v>
      </c>
      <c r="P1723" s="807" t="s">
        <v>19661</v>
      </c>
    </row>
    <row r="1724" spans="1:16" s="341" customFormat="1" ht="25.5" customHeight="1">
      <c r="A1724" s="806" t="s">
        <v>110</v>
      </c>
      <c r="B1724" s="800" t="s">
        <v>38</v>
      </c>
      <c r="C1724" s="800" t="s">
        <v>3773</v>
      </c>
      <c r="D1724" s="800" t="s">
        <v>19662</v>
      </c>
      <c r="E1724" s="801">
        <v>43062</v>
      </c>
      <c r="F1724" s="800" t="s">
        <v>19582</v>
      </c>
      <c r="G1724" s="800" t="s">
        <v>19614</v>
      </c>
      <c r="H1724" s="800" t="s">
        <v>10396</v>
      </c>
      <c r="I1724" s="800" t="s">
        <v>10396</v>
      </c>
      <c r="J1724" s="800" t="s">
        <v>10447</v>
      </c>
      <c r="K1724" s="800">
        <v>1</v>
      </c>
      <c r="L1724" s="802" t="s">
        <v>10398</v>
      </c>
      <c r="M1724" s="802" t="s">
        <v>19663</v>
      </c>
      <c r="N1724" s="802" t="s">
        <v>19664</v>
      </c>
      <c r="O1724" s="802" t="s">
        <v>19652</v>
      </c>
      <c r="P1724" s="807" t="s">
        <v>32</v>
      </c>
    </row>
    <row r="1725" spans="1:16" s="341" customFormat="1" ht="25.5" customHeight="1">
      <c r="A1725" s="806" t="s">
        <v>110</v>
      </c>
      <c r="B1725" s="800" t="s">
        <v>38</v>
      </c>
      <c r="C1725" s="800" t="s">
        <v>3773</v>
      </c>
      <c r="D1725" s="800" t="s">
        <v>19665</v>
      </c>
      <c r="E1725" s="801">
        <v>43062</v>
      </c>
      <c r="F1725" s="800" t="s">
        <v>19582</v>
      </c>
      <c r="G1725" s="800" t="s">
        <v>19614</v>
      </c>
      <c r="H1725" s="800" t="s">
        <v>10396</v>
      </c>
      <c r="I1725" s="800" t="s">
        <v>10396</v>
      </c>
      <c r="J1725" s="800" t="s">
        <v>10447</v>
      </c>
      <c r="K1725" s="800">
        <v>1</v>
      </c>
      <c r="L1725" s="802" t="s">
        <v>10398</v>
      </c>
      <c r="M1725" s="802" t="s">
        <v>19666</v>
      </c>
      <c r="N1725" s="802" t="s">
        <v>10848</v>
      </c>
      <c r="O1725" s="802" t="s">
        <v>11579</v>
      </c>
      <c r="P1725" s="807" t="s">
        <v>19667</v>
      </c>
    </row>
    <row r="1726" spans="1:16" s="341" customFormat="1" ht="25.5" customHeight="1">
      <c r="A1726" s="806" t="s">
        <v>110</v>
      </c>
      <c r="B1726" s="800" t="s">
        <v>38</v>
      </c>
      <c r="C1726" s="800" t="s">
        <v>3773</v>
      </c>
      <c r="D1726" s="800" t="s">
        <v>19668</v>
      </c>
      <c r="E1726" s="801">
        <v>43062</v>
      </c>
      <c r="F1726" s="800" t="s">
        <v>19582</v>
      </c>
      <c r="G1726" s="800" t="s">
        <v>19614</v>
      </c>
      <c r="H1726" s="800" t="s">
        <v>10396</v>
      </c>
      <c r="I1726" s="800" t="s">
        <v>10396</v>
      </c>
      <c r="J1726" s="800" t="s">
        <v>10447</v>
      </c>
      <c r="K1726" s="800">
        <v>1</v>
      </c>
      <c r="L1726" s="802" t="s">
        <v>10398</v>
      </c>
      <c r="M1726" s="802" t="s">
        <v>19669</v>
      </c>
      <c r="N1726" s="802" t="s">
        <v>19670</v>
      </c>
      <c r="O1726" s="802" t="s">
        <v>19671</v>
      </c>
      <c r="P1726" s="807" t="s">
        <v>19672</v>
      </c>
    </row>
    <row r="1727" spans="1:16" s="341" customFormat="1" ht="38.25" customHeight="1">
      <c r="A1727" s="806" t="s">
        <v>110</v>
      </c>
      <c r="B1727" s="800" t="s">
        <v>38</v>
      </c>
      <c r="C1727" s="800" t="s">
        <v>3773</v>
      </c>
      <c r="D1727" s="800" t="s">
        <v>19673</v>
      </c>
      <c r="E1727" s="801">
        <v>43062</v>
      </c>
      <c r="F1727" s="800" t="s">
        <v>19582</v>
      </c>
      <c r="G1727" s="800" t="s">
        <v>19674</v>
      </c>
      <c r="H1727" s="800" t="s">
        <v>10396</v>
      </c>
      <c r="I1727" s="800" t="s">
        <v>10396</v>
      </c>
      <c r="J1727" s="800" t="s">
        <v>10447</v>
      </c>
      <c r="K1727" s="800">
        <v>1</v>
      </c>
      <c r="L1727" s="802" t="s">
        <v>10398</v>
      </c>
      <c r="M1727" s="802" t="s">
        <v>19675</v>
      </c>
      <c r="N1727" s="802" t="s">
        <v>14580</v>
      </c>
      <c r="O1727" s="802" t="s">
        <v>19626</v>
      </c>
      <c r="P1727" s="807" t="s">
        <v>19676</v>
      </c>
    </row>
    <row r="1728" spans="1:16" s="341" customFormat="1" ht="38.25" customHeight="1">
      <c r="A1728" s="806" t="s">
        <v>110</v>
      </c>
      <c r="B1728" s="800" t="s">
        <v>38</v>
      </c>
      <c r="C1728" s="800" t="s">
        <v>3773</v>
      </c>
      <c r="D1728" s="800" t="s">
        <v>19677</v>
      </c>
      <c r="E1728" s="801">
        <v>43062</v>
      </c>
      <c r="F1728" s="800" t="s">
        <v>19582</v>
      </c>
      <c r="G1728" s="800" t="s">
        <v>19614</v>
      </c>
      <c r="H1728" s="800" t="s">
        <v>10396</v>
      </c>
      <c r="I1728" s="800" t="s">
        <v>10396</v>
      </c>
      <c r="J1728" s="800" t="s">
        <v>10447</v>
      </c>
      <c r="K1728" s="800">
        <v>1</v>
      </c>
      <c r="L1728" s="802" t="s">
        <v>10398</v>
      </c>
      <c r="M1728" s="802" t="s">
        <v>19678</v>
      </c>
      <c r="N1728" s="802" t="s">
        <v>19679</v>
      </c>
      <c r="O1728" s="802" t="s">
        <v>19680</v>
      </c>
      <c r="P1728" s="807" t="s">
        <v>19681</v>
      </c>
    </row>
    <row r="1729" spans="1:16" s="341" customFormat="1" ht="25.5" customHeight="1">
      <c r="A1729" s="806" t="s">
        <v>110</v>
      </c>
      <c r="B1729" s="800" t="s">
        <v>38</v>
      </c>
      <c r="C1729" s="800" t="s">
        <v>3773</v>
      </c>
      <c r="D1729" s="800" t="s">
        <v>19682</v>
      </c>
      <c r="E1729" s="801">
        <v>43062</v>
      </c>
      <c r="F1729" s="800" t="s">
        <v>19582</v>
      </c>
      <c r="G1729" s="800" t="s">
        <v>19614</v>
      </c>
      <c r="H1729" s="800" t="s">
        <v>10396</v>
      </c>
      <c r="I1729" s="800" t="s">
        <v>10396</v>
      </c>
      <c r="J1729" s="800" t="s">
        <v>10447</v>
      </c>
      <c r="K1729" s="800">
        <v>1</v>
      </c>
      <c r="L1729" s="802" t="s">
        <v>10398</v>
      </c>
      <c r="M1729" s="802" t="s">
        <v>19683</v>
      </c>
      <c r="N1729" s="802" t="s">
        <v>19684</v>
      </c>
      <c r="O1729" s="802" t="s">
        <v>19685</v>
      </c>
      <c r="P1729" s="807" t="s">
        <v>19686</v>
      </c>
    </row>
    <row r="1730" spans="1:16" s="341" customFormat="1" ht="25.5" customHeight="1">
      <c r="A1730" s="806" t="s">
        <v>110</v>
      </c>
      <c r="B1730" s="800" t="s">
        <v>38</v>
      </c>
      <c r="C1730" s="800" t="s">
        <v>3773</v>
      </c>
      <c r="D1730" s="800" t="s">
        <v>19687</v>
      </c>
      <c r="E1730" s="801">
        <v>43062</v>
      </c>
      <c r="F1730" s="800" t="s">
        <v>19582</v>
      </c>
      <c r="G1730" s="800" t="s">
        <v>19688</v>
      </c>
      <c r="H1730" s="800" t="s">
        <v>10396</v>
      </c>
      <c r="I1730" s="800" t="s">
        <v>10396</v>
      </c>
      <c r="J1730" s="800" t="s">
        <v>10447</v>
      </c>
      <c r="K1730" s="800">
        <v>1</v>
      </c>
      <c r="L1730" s="802" t="s">
        <v>10398</v>
      </c>
      <c r="M1730" s="802" t="s">
        <v>19689</v>
      </c>
      <c r="N1730" s="802" t="s">
        <v>10808</v>
      </c>
      <c r="O1730" s="802" t="s">
        <v>19690</v>
      </c>
      <c r="P1730" s="807" t="s">
        <v>19691</v>
      </c>
    </row>
    <row r="1731" spans="1:16" s="341" customFormat="1" ht="25.5" customHeight="1">
      <c r="A1731" s="806" t="s">
        <v>110</v>
      </c>
      <c r="B1731" s="800" t="s">
        <v>38</v>
      </c>
      <c r="C1731" s="800" t="s">
        <v>3773</v>
      </c>
      <c r="D1731" s="800" t="s">
        <v>19692</v>
      </c>
      <c r="E1731" s="801">
        <v>43062</v>
      </c>
      <c r="F1731" s="800" t="s">
        <v>19582</v>
      </c>
      <c r="G1731" s="800" t="s">
        <v>19693</v>
      </c>
      <c r="H1731" s="800" t="s">
        <v>10396</v>
      </c>
      <c r="I1731" s="800" t="s">
        <v>10396</v>
      </c>
      <c r="J1731" s="800" t="s">
        <v>10447</v>
      </c>
      <c r="K1731" s="800">
        <v>1</v>
      </c>
      <c r="L1731" s="802" t="s">
        <v>10398</v>
      </c>
      <c r="M1731" s="802" t="s">
        <v>19694</v>
      </c>
      <c r="N1731" s="802" t="s">
        <v>12362</v>
      </c>
      <c r="O1731" s="802" t="s">
        <v>19695</v>
      </c>
      <c r="P1731" s="807" t="s">
        <v>32</v>
      </c>
    </row>
    <row r="1732" spans="1:16" s="341" customFormat="1" ht="38.25" customHeight="1">
      <c r="A1732" s="806" t="s">
        <v>110</v>
      </c>
      <c r="B1732" s="800" t="s">
        <v>38</v>
      </c>
      <c r="C1732" s="800" t="s">
        <v>3773</v>
      </c>
      <c r="D1732" s="800" t="s">
        <v>19696</v>
      </c>
      <c r="E1732" s="801">
        <v>43062</v>
      </c>
      <c r="F1732" s="800" t="s">
        <v>19582</v>
      </c>
      <c r="G1732" s="800" t="s">
        <v>19697</v>
      </c>
      <c r="H1732" s="800" t="s">
        <v>10396</v>
      </c>
      <c r="I1732" s="800" t="s">
        <v>10396</v>
      </c>
      <c r="J1732" s="800" t="s">
        <v>10447</v>
      </c>
      <c r="K1732" s="800">
        <v>1</v>
      </c>
      <c r="L1732" s="802" t="s">
        <v>10398</v>
      </c>
      <c r="M1732" s="802" t="s">
        <v>19698</v>
      </c>
      <c r="N1732" s="802" t="s">
        <v>19699</v>
      </c>
      <c r="O1732" s="802" t="s">
        <v>19700</v>
      </c>
      <c r="P1732" s="807" t="s">
        <v>19701</v>
      </c>
    </row>
    <row r="1733" spans="1:16" s="341" customFormat="1" ht="15" customHeight="1">
      <c r="A1733" s="806" t="s">
        <v>110</v>
      </c>
      <c r="B1733" s="800" t="s">
        <v>38</v>
      </c>
      <c r="C1733" s="800" t="s">
        <v>3773</v>
      </c>
      <c r="D1733" s="800" t="s">
        <v>19702</v>
      </c>
      <c r="E1733" s="801">
        <v>43062</v>
      </c>
      <c r="F1733" s="800" t="s">
        <v>19582</v>
      </c>
      <c r="G1733" s="800" t="s">
        <v>19703</v>
      </c>
      <c r="H1733" s="800" t="s">
        <v>10396</v>
      </c>
      <c r="I1733" s="800" t="s">
        <v>10396</v>
      </c>
      <c r="J1733" s="800" t="s">
        <v>10447</v>
      </c>
      <c r="K1733" s="800">
        <v>1</v>
      </c>
      <c r="L1733" s="802" t="s">
        <v>10398</v>
      </c>
      <c r="M1733" s="802" t="s">
        <v>19704</v>
      </c>
      <c r="N1733" s="802" t="s">
        <v>19705</v>
      </c>
      <c r="O1733" s="802" t="s">
        <v>19685</v>
      </c>
      <c r="P1733" s="807" t="s">
        <v>19691</v>
      </c>
    </row>
    <row r="1734" spans="1:16" s="341" customFormat="1" ht="15" customHeight="1">
      <c r="A1734" s="806" t="s">
        <v>110</v>
      </c>
      <c r="B1734" s="800" t="s">
        <v>38</v>
      </c>
      <c r="C1734" s="800" t="s">
        <v>3773</v>
      </c>
      <c r="D1734" s="800" t="s">
        <v>19706</v>
      </c>
      <c r="E1734" s="801">
        <v>43062</v>
      </c>
      <c r="F1734" s="800" t="s">
        <v>19582</v>
      </c>
      <c r="G1734" s="800" t="s">
        <v>19707</v>
      </c>
      <c r="H1734" s="800" t="s">
        <v>10404</v>
      </c>
      <c r="I1734" s="800" t="s">
        <v>10404</v>
      </c>
      <c r="J1734" s="800" t="s">
        <v>10447</v>
      </c>
      <c r="K1734" s="800">
        <v>1</v>
      </c>
      <c r="L1734" s="802" t="s">
        <v>10398</v>
      </c>
      <c r="M1734" s="802" t="s">
        <v>19708</v>
      </c>
      <c r="N1734" s="802" t="s">
        <v>19709</v>
      </c>
      <c r="O1734" s="802" t="s">
        <v>19710</v>
      </c>
      <c r="P1734" s="807" t="s">
        <v>19711</v>
      </c>
    </row>
    <row r="1735" spans="1:16" s="341" customFormat="1" ht="15" customHeight="1">
      <c r="A1735" s="806" t="s">
        <v>110</v>
      </c>
      <c r="B1735" s="800" t="s">
        <v>38</v>
      </c>
      <c r="C1735" s="800" t="s">
        <v>3773</v>
      </c>
      <c r="D1735" s="800" t="s">
        <v>19712</v>
      </c>
      <c r="E1735" s="801">
        <v>43062</v>
      </c>
      <c r="F1735" s="800" t="s">
        <v>19713</v>
      </c>
      <c r="G1735" s="800" t="s">
        <v>19714</v>
      </c>
      <c r="H1735" s="800" t="s">
        <v>10396</v>
      </c>
      <c r="I1735" s="800" t="s">
        <v>10396</v>
      </c>
      <c r="J1735" s="800" t="s">
        <v>4342</v>
      </c>
      <c r="K1735" s="800">
        <v>1</v>
      </c>
      <c r="L1735" s="802" t="s">
        <v>10398</v>
      </c>
      <c r="M1735" s="802" t="s">
        <v>19715</v>
      </c>
      <c r="N1735" s="802" t="s">
        <v>19716</v>
      </c>
      <c r="O1735" s="802" t="s">
        <v>19717</v>
      </c>
      <c r="P1735" s="807" t="s">
        <v>32</v>
      </c>
    </row>
    <row r="1736" spans="1:16" s="341" customFormat="1" ht="25.5" customHeight="1">
      <c r="A1736" s="806" t="s">
        <v>110</v>
      </c>
      <c r="B1736" s="800" t="s">
        <v>38</v>
      </c>
      <c r="C1736" s="800" t="s">
        <v>3773</v>
      </c>
      <c r="D1736" s="800" t="s">
        <v>19718</v>
      </c>
      <c r="E1736" s="801">
        <v>43063</v>
      </c>
      <c r="F1736" s="800" t="s">
        <v>19719</v>
      </c>
      <c r="G1736" s="800" t="s">
        <v>19720</v>
      </c>
      <c r="H1736" s="800" t="s">
        <v>10531</v>
      </c>
      <c r="I1736" s="800" t="s">
        <v>10531</v>
      </c>
      <c r="J1736" s="800" t="s">
        <v>4342</v>
      </c>
      <c r="K1736" s="800">
        <v>1</v>
      </c>
      <c r="L1736" s="802" t="s">
        <v>10398</v>
      </c>
      <c r="M1736" s="802" t="s">
        <v>19721</v>
      </c>
      <c r="N1736" s="802" t="s">
        <v>19722</v>
      </c>
      <c r="O1736" s="802" t="s">
        <v>19723</v>
      </c>
      <c r="P1736" s="807" t="s">
        <v>19724</v>
      </c>
    </row>
    <row r="1737" spans="1:16" s="341" customFormat="1" ht="25.5" customHeight="1">
      <c r="A1737" s="806" t="s">
        <v>110</v>
      </c>
      <c r="B1737" s="800" t="s">
        <v>38</v>
      </c>
      <c r="C1737" s="800" t="s">
        <v>3773</v>
      </c>
      <c r="D1737" s="800" t="s">
        <v>19725</v>
      </c>
      <c r="E1737" s="801">
        <v>43063</v>
      </c>
      <c r="F1737" s="800" t="s">
        <v>19719</v>
      </c>
      <c r="G1737" s="800" t="s">
        <v>19720</v>
      </c>
      <c r="H1737" s="800" t="s">
        <v>10396</v>
      </c>
      <c r="I1737" s="800" t="s">
        <v>10396</v>
      </c>
      <c r="J1737" s="800" t="s">
        <v>10397</v>
      </c>
      <c r="K1737" s="800">
        <v>1</v>
      </c>
      <c r="L1737" s="802" t="s">
        <v>10398</v>
      </c>
      <c r="M1737" s="802" t="s">
        <v>19726</v>
      </c>
      <c r="N1737" s="802" t="s">
        <v>19727</v>
      </c>
      <c r="O1737" s="802" t="s">
        <v>19728</v>
      </c>
      <c r="P1737" s="807" t="s">
        <v>32</v>
      </c>
    </row>
    <row r="1738" spans="1:16" s="341" customFormat="1" ht="25.5" customHeight="1">
      <c r="A1738" s="806" t="s">
        <v>110</v>
      </c>
      <c r="B1738" s="800" t="s">
        <v>38</v>
      </c>
      <c r="C1738" s="800" t="s">
        <v>3773</v>
      </c>
      <c r="D1738" s="800" t="s">
        <v>19729</v>
      </c>
      <c r="E1738" s="801">
        <v>43063</v>
      </c>
      <c r="F1738" s="800" t="s">
        <v>19719</v>
      </c>
      <c r="G1738" s="800" t="s">
        <v>19720</v>
      </c>
      <c r="H1738" s="800" t="s">
        <v>10531</v>
      </c>
      <c r="I1738" s="800" t="s">
        <v>10531</v>
      </c>
      <c r="J1738" s="800" t="s">
        <v>10397</v>
      </c>
      <c r="K1738" s="800">
        <v>1</v>
      </c>
      <c r="L1738" s="802" t="s">
        <v>10398</v>
      </c>
      <c r="M1738" s="802" t="s">
        <v>19730</v>
      </c>
      <c r="N1738" s="802" t="s">
        <v>14114</v>
      </c>
      <c r="O1738" s="802" t="s">
        <v>19731</v>
      </c>
      <c r="P1738" s="807" t="s">
        <v>19732</v>
      </c>
    </row>
    <row r="1739" spans="1:16" s="341" customFormat="1" ht="25.5" customHeight="1">
      <c r="A1739" s="806" t="s">
        <v>110</v>
      </c>
      <c r="B1739" s="800" t="s">
        <v>38</v>
      </c>
      <c r="C1739" s="800" t="s">
        <v>3773</v>
      </c>
      <c r="D1739" s="800" t="s">
        <v>19733</v>
      </c>
      <c r="E1739" s="801">
        <v>43063</v>
      </c>
      <c r="F1739" s="800" t="s">
        <v>19719</v>
      </c>
      <c r="G1739" s="800" t="s">
        <v>19734</v>
      </c>
      <c r="H1739" s="800" t="s">
        <v>10531</v>
      </c>
      <c r="I1739" s="800" t="s">
        <v>10531</v>
      </c>
      <c r="J1739" s="800" t="s">
        <v>4342</v>
      </c>
      <c r="K1739" s="800">
        <v>1</v>
      </c>
      <c r="L1739" s="802" t="s">
        <v>10398</v>
      </c>
      <c r="M1739" s="802" t="s">
        <v>19735</v>
      </c>
      <c r="N1739" s="802" t="s">
        <v>19736</v>
      </c>
      <c r="O1739" s="802" t="s">
        <v>19737</v>
      </c>
      <c r="P1739" s="807" t="s">
        <v>32</v>
      </c>
    </row>
    <row r="1740" spans="1:16" s="341" customFormat="1" ht="15" customHeight="1">
      <c r="A1740" s="806" t="s">
        <v>110</v>
      </c>
      <c r="B1740" s="800" t="s">
        <v>38</v>
      </c>
      <c r="C1740" s="800" t="s">
        <v>3773</v>
      </c>
      <c r="D1740" s="800" t="s">
        <v>19738</v>
      </c>
      <c r="E1740" s="801">
        <v>43063</v>
      </c>
      <c r="F1740" s="800" t="s">
        <v>19719</v>
      </c>
      <c r="G1740" s="800" t="s">
        <v>19720</v>
      </c>
      <c r="H1740" s="800" t="s">
        <v>10531</v>
      </c>
      <c r="I1740" s="800" t="s">
        <v>10531</v>
      </c>
      <c r="J1740" s="800" t="s">
        <v>4342</v>
      </c>
      <c r="K1740" s="800">
        <v>1</v>
      </c>
      <c r="L1740" s="802" t="s">
        <v>10398</v>
      </c>
      <c r="M1740" s="802" t="s">
        <v>19739</v>
      </c>
      <c r="N1740" s="802" t="s">
        <v>19740</v>
      </c>
      <c r="O1740" s="802" t="s">
        <v>19741</v>
      </c>
      <c r="P1740" s="807" t="s">
        <v>19742</v>
      </c>
    </row>
    <row r="1741" spans="1:16" s="341" customFormat="1" ht="38.25" customHeight="1">
      <c r="A1741" s="806" t="s">
        <v>110</v>
      </c>
      <c r="B1741" s="800" t="s">
        <v>38</v>
      </c>
      <c r="C1741" s="800" t="s">
        <v>3773</v>
      </c>
      <c r="D1741" s="800" t="s">
        <v>19743</v>
      </c>
      <c r="E1741" s="801">
        <v>43063</v>
      </c>
      <c r="F1741" s="800" t="s">
        <v>19719</v>
      </c>
      <c r="G1741" s="800" t="s">
        <v>19720</v>
      </c>
      <c r="H1741" s="800" t="s">
        <v>10531</v>
      </c>
      <c r="I1741" s="800" t="s">
        <v>10531</v>
      </c>
      <c r="J1741" s="800" t="s">
        <v>4342</v>
      </c>
      <c r="K1741" s="800">
        <v>1</v>
      </c>
      <c r="L1741" s="802" t="s">
        <v>10398</v>
      </c>
      <c r="M1741" s="802" t="s">
        <v>19744</v>
      </c>
      <c r="N1741" s="802" t="s">
        <v>13292</v>
      </c>
      <c r="O1741" s="802" t="s">
        <v>19745</v>
      </c>
      <c r="P1741" s="807" t="s">
        <v>32</v>
      </c>
    </row>
    <row r="1742" spans="1:16" s="341" customFormat="1" ht="51" customHeight="1">
      <c r="A1742" s="806" t="s">
        <v>110</v>
      </c>
      <c r="B1742" s="800" t="s">
        <v>38</v>
      </c>
      <c r="C1742" s="800" t="s">
        <v>3773</v>
      </c>
      <c r="D1742" s="800" t="s">
        <v>19746</v>
      </c>
      <c r="E1742" s="801">
        <v>43063</v>
      </c>
      <c r="F1742" s="800" t="s">
        <v>19719</v>
      </c>
      <c r="G1742" s="800" t="s">
        <v>19720</v>
      </c>
      <c r="H1742" s="800" t="s">
        <v>10531</v>
      </c>
      <c r="I1742" s="800" t="s">
        <v>10531</v>
      </c>
      <c r="J1742" s="800" t="s">
        <v>4342</v>
      </c>
      <c r="K1742" s="800">
        <v>1</v>
      </c>
      <c r="L1742" s="802" t="s">
        <v>10398</v>
      </c>
      <c r="M1742" s="802" t="s">
        <v>19747</v>
      </c>
      <c r="N1742" s="802" t="s">
        <v>19748</v>
      </c>
      <c r="O1742" s="802" t="s">
        <v>19749</v>
      </c>
      <c r="P1742" s="807" t="s">
        <v>32</v>
      </c>
    </row>
    <row r="1743" spans="1:16" s="341" customFormat="1" ht="38.25" customHeight="1">
      <c r="A1743" s="806" t="s">
        <v>110</v>
      </c>
      <c r="B1743" s="800" t="s">
        <v>38</v>
      </c>
      <c r="C1743" s="800" t="s">
        <v>3773</v>
      </c>
      <c r="D1743" s="800" t="s">
        <v>19750</v>
      </c>
      <c r="E1743" s="801">
        <v>43063</v>
      </c>
      <c r="F1743" s="800" t="s">
        <v>19719</v>
      </c>
      <c r="G1743" s="800" t="s">
        <v>19720</v>
      </c>
      <c r="H1743" s="800" t="s">
        <v>10396</v>
      </c>
      <c r="I1743" s="800" t="s">
        <v>10396</v>
      </c>
      <c r="J1743" s="800" t="s">
        <v>4342</v>
      </c>
      <c r="K1743" s="800">
        <v>1</v>
      </c>
      <c r="L1743" s="802" t="s">
        <v>10398</v>
      </c>
      <c r="M1743" s="802" t="s">
        <v>19751</v>
      </c>
      <c r="N1743" s="802" t="s">
        <v>19752</v>
      </c>
      <c r="O1743" s="802" t="s">
        <v>19753</v>
      </c>
      <c r="P1743" s="807" t="s">
        <v>32</v>
      </c>
    </row>
    <row r="1744" spans="1:16" s="341" customFormat="1" ht="38.25" customHeight="1">
      <c r="A1744" s="806" t="s">
        <v>110</v>
      </c>
      <c r="B1744" s="800" t="s">
        <v>38</v>
      </c>
      <c r="C1744" s="800" t="s">
        <v>3773</v>
      </c>
      <c r="D1744" s="800" t="s">
        <v>19754</v>
      </c>
      <c r="E1744" s="801">
        <v>43063</v>
      </c>
      <c r="F1744" s="800" t="s">
        <v>19719</v>
      </c>
      <c r="G1744" s="800" t="s">
        <v>19720</v>
      </c>
      <c r="H1744" s="800" t="s">
        <v>10396</v>
      </c>
      <c r="I1744" s="800" t="s">
        <v>10396</v>
      </c>
      <c r="J1744" s="800" t="s">
        <v>4342</v>
      </c>
      <c r="K1744" s="800">
        <v>1</v>
      </c>
      <c r="L1744" s="802" t="s">
        <v>10398</v>
      </c>
      <c r="M1744" s="802" t="s">
        <v>19755</v>
      </c>
      <c r="N1744" s="802" t="s">
        <v>13426</v>
      </c>
      <c r="O1744" s="802" t="s">
        <v>13844</v>
      </c>
      <c r="P1744" s="807" t="s">
        <v>19756</v>
      </c>
    </row>
    <row r="1745" spans="1:16" s="341" customFormat="1" ht="38.25" customHeight="1">
      <c r="A1745" s="806" t="s">
        <v>110</v>
      </c>
      <c r="B1745" s="800" t="s">
        <v>38</v>
      </c>
      <c r="C1745" s="800" t="s">
        <v>3773</v>
      </c>
      <c r="D1745" s="800" t="s">
        <v>19757</v>
      </c>
      <c r="E1745" s="801">
        <v>43063</v>
      </c>
      <c r="F1745" s="800" t="s">
        <v>19719</v>
      </c>
      <c r="G1745" s="800" t="s">
        <v>19720</v>
      </c>
      <c r="H1745" s="800" t="s">
        <v>10396</v>
      </c>
      <c r="I1745" s="800" t="s">
        <v>10396</v>
      </c>
      <c r="J1745" s="800" t="s">
        <v>10426</v>
      </c>
      <c r="K1745" s="800">
        <v>1</v>
      </c>
      <c r="L1745" s="802" t="s">
        <v>10398</v>
      </c>
      <c r="M1745" s="802" t="s">
        <v>19758</v>
      </c>
      <c r="N1745" s="802" t="s">
        <v>16495</v>
      </c>
      <c r="O1745" s="802" t="s">
        <v>19759</v>
      </c>
      <c r="P1745" s="807" t="s">
        <v>19760</v>
      </c>
    </row>
    <row r="1746" spans="1:16" s="341" customFormat="1" ht="38.25" customHeight="1">
      <c r="A1746" s="806" t="s">
        <v>110</v>
      </c>
      <c r="B1746" s="800" t="s">
        <v>38</v>
      </c>
      <c r="C1746" s="800" t="s">
        <v>3773</v>
      </c>
      <c r="D1746" s="800" t="s">
        <v>19761</v>
      </c>
      <c r="E1746" s="801">
        <v>43063</v>
      </c>
      <c r="F1746" s="800" t="s">
        <v>19719</v>
      </c>
      <c r="G1746" s="800" t="s">
        <v>19720</v>
      </c>
      <c r="H1746" s="800" t="s">
        <v>10396</v>
      </c>
      <c r="I1746" s="800" t="s">
        <v>10396</v>
      </c>
      <c r="J1746" s="800" t="s">
        <v>4342</v>
      </c>
      <c r="K1746" s="800">
        <v>1</v>
      </c>
      <c r="L1746" s="802" t="s">
        <v>10398</v>
      </c>
      <c r="M1746" s="802" t="s">
        <v>19762</v>
      </c>
      <c r="N1746" s="802" t="s">
        <v>15875</v>
      </c>
      <c r="O1746" s="802" t="s">
        <v>19763</v>
      </c>
      <c r="P1746" s="807" t="s">
        <v>19764</v>
      </c>
    </row>
    <row r="1747" spans="1:16" s="341" customFormat="1" ht="51" customHeight="1">
      <c r="A1747" s="806" t="s">
        <v>110</v>
      </c>
      <c r="B1747" s="800" t="s">
        <v>38</v>
      </c>
      <c r="C1747" s="800" t="s">
        <v>3773</v>
      </c>
      <c r="D1747" s="800" t="s">
        <v>19765</v>
      </c>
      <c r="E1747" s="801">
        <v>43063</v>
      </c>
      <c r="F1747" s="800" t="s">
        <v>19719</v>
      </c>
      <c r="G1747" s="800" t="s">
        <v>19720</v>
      </c>
      <c r="H1747" s="800" t="s">
        <v>10531</v>
      </c>
      <c r="I1747" s="800" t="s">
        <v>10531</v>
      </c>
      <c r="J1747" s="800" t="s">
        <v>4342</v>
      </c>
      <c r="K1747" s="800">
        <v>1</v>
      </c>
      <c r="L1747" s="802" t="s">
        <v>10398</v>
      </c>
      <c r="M1747" s="802" t="s">
        <v>19766</v>
      </c>
      <c r="N1747" s="802" t="s">
        <v>14140</v>
      </c>
      <c r="O1747" s="802" t="s">
        <v>19767</v>
      </c>
      <c r="P1747" s="807" t="s">
        <v>19768</v>
      </c>
    </row>
    <row r="1748" spans="1:16" s="341" customFormat="1" ht="25.5" customHeight="1">
      <c r="A1748" s="806" t="s">
        <v>110</v>
      </c>
      <c r="B1748" s="800" t="s">
        <v>38</v>
      </c>
      <c r="C1748" s="800" t="s">
        <v>3773</v>
      </c>
      <c r="D1748" s="800" t="s">
        <v>19769</v>
      </c>
      <c r="E1748" s="801">
        <v>43063</v>
      </c>
      <c r="F1748" s="800" t="s">
        <v>19719</v>
      </c>
      <c r="G1748" s="800" t="s">
        <v>19720</v>
      </c>
      <c r="H1748" s="800" t="s">
        <v>10531</v>
      </c>
      <c r="I1748" s="800" t="s">
        <v>10531</v>
      </c>
      <c r="J1748" s="800" t="s">
        <v>4342</v>
      </c>
      <c r="K1748" s="800">
        <v>1</v>
      </c>
      <c r="L1748" s="802" t="s">
        <v>10398</v>
      </c>
      <c r="M1748" s="802" t="s">
        <v>19770</v>
      </c>
      <c r="N1748" s="802" t="s">
        <v>11220</v>
      </c>
      <c r="O1748" s="802" t="s">
        <v>19771</v>
      </c>
      <c r="P1748" s="807" t="s">
        <v>19772</v>
      </c>
    </row>
    <row r="1749" spans="1:16" s="341" customFormat="1" ht="25.5" customHeight="1">
      <c r="A1749" s="806" t="s">
        <v>110</v>
      </c>
      <c r="B1749" s="800" t="s">
        <v>38</v>
      </c>
      <c r="C1749" s="800" t="s">
        <v>3773</v>
      </c>
      <c r="D1749" s="800" t="s">
        <v>19773</v>
      </c>
      <c r="E1749" s="801">
        <v>43063</v>
      </c>
      <c r="F1749" s="800" t="s">
        <v>19582</v>
      </c>
      <c r="G1749" s="800" t="s">
        <v>19614</v>
      </c>
      <c r="H1749" s="800" t="s">
        <v>10396</v>
      </c>
      <c r="I1749" s="800" t="s">
        <v>10396</v>
      </c>
      <c r="J1749" s="800" t="s">
        <v>4342</v>
      </c>
      <c r="K1749" s="800">
        <v>1</v>
      </c>
      <c r="L1749" s="802" t="s">
        <v>10398</v>
      </c>
      <c r="M1749" s="802" t="s">
        <v>19774</v>
      </c>
      <c r="N1749" s="802" t="s">
        <v>10435</v>
      </c>
      <c r="O1749" s="802" t="s">
        <v>19775</v>
      </c>
      <c r="P1749" s="807" t="s">
        <v>19776</v>
      </c>
    </row>
    <row r="1750" spans="1:16" s="341" customFormat="1" ht="38.25" customHeight="1">
      <c r="A1750" s="806" t="s">
        <v>110</v>
      </c>
      <c r="B1750" s="800" t="s">
        <v>38</v>
      </c>
      <c r="C1750" s="800" t="s">
        <v>3773</v>
      </c>
      <c r="D1750" s="800" t="s">
        <v>19777</v>
      </c>
      <c r="E1750" s="801">
        <v>43063</v>
      </c>
      <c r="F1750" s="800" t="s">
        <v>19719</v>
      </c>
      <c r="G1750" s="800" t="s">
        <v>19720</v>
      </c>
      <c r="H1750" s="800" t="s">
        <v>10396</v>
      </c>
      <c r="I1750" s="800" t="s">
        <v>10396</v>
      </c>
      <c r="J1750" s="800" t="s">
        <v>4342</v>
      </c>
      <c r="K1750" s="800">
        <v>1</v>
      </c>
      <c r="L1750" s="802" t="s">
        <v>10398</v>
      </c>
      <c r="M1750" s="802" t="s">
        <v>19778</v>
      </c>
      <c r="N1750" s="802" t="s">
        <v>19779</v>
      </c>
      <c r="O1750" s="802" t="s">
        <v>19780</v>
      </c>
      <c r="P1750" s="807" t="s">
        <v>19781</v>
      </c>
    </row>
    <row r="1751" spans="1:16" s="341" customFormat="1" ht="25.5" customHeight="1">
      <c r="A1751" s="806" t="s">
        <v>110</v>
      </c>
      <c r="B1751" s="800" t="s">
        <v>38</v>
      </c>
      <c r="C1751" s="800" t="s">
        <v>3773</v>
      </c>
      <c r="D1751" s="800" t="s">
        <v>19782</v>
      </c>
      <c r="E1751" s="801">
        <v>43063</v>
      </c>
      <c r="F1751" s="800" t="s">
        <v>19719</v>
      </c>
      <c r="G1751" s="800" t="s">
        <v>19720</v>
      </c>
      <c r="H1751" s="800" t="s">
        <v>10396</v>
      </c>
      <c r="I1751" s="800" t="s">
        <v>10396</v>
      </c>
      <c r="J1751" s="800" t="s">
        <v>4342</v>
      </c>
      <c r="K1751" s="800">
        <v>1</v>
      </c>
      <c r="L1751" s="802" t="s">
        <v>10398</v>
      </c>
      <c r="M1751" s="802" t="s">
        <v>19783</v>
      </c>
      <c r="N1751" s="802" t="s">
        <v>19784</v>
      </c>
      <c r="O1751" s="802" t="s">
        <v>19785</v>
      </c>
      <c r="P1751" s="807" t="s">
        <v>19786</v>
      </c>
    </row>
    <row r="1752" spans="1:16" s="341" customFormat="1" ht="25.5" customHeight="1">
      <c r="A1752" s="806" t="s">
        <v>110</v>
      </c>
      <c r="B1752" s="800" t="s">
        <v>38</v>
      </c>
      <c r="C1752" s="800" t="s">
        <v>3773</v>
      </c>
      <c r="D1752" s="800" t="s">
        <v>19787</v>
      </c>
      <c r="E1752" s="801">
        <v>43063</v>
      </c>
      <c r="F1752" s="800" t="s">
        <v>19719</v>
      </c>
      <c r="G1752" s="800" t="s">
        <v>19720</v>
      </c>
      <c r="H1752" s="800" t="s">
        <v>10531</v>
      </c>
      <c r="I1752" s="800" t="s">
        <v>10531</v>
      </c>
      <c r="J1752" s="800" t="s">
        <v>4342</v>
      </c>
      <c r="K1752" s="800">
        <v>1</v>
      </c>
      <c r="L1752" s="802" t="s">
        <v>10398</v>
      </c>
      <c r="M1752" s="802" t="s">
        <v>19788</v>
      </c>
      <c r="N1752" s="802" t="s">
        <v>19789</v>
      </c>
      <c r="O1752" s="802" t="s">
        <v>19790</v>
      </c>
      <c r="P1752" s="807" t="s">
        <v>19791</v>
      </c>
    </row>
    <row r="1753" spans="1:16" s="341" customFormat="1" ht="15" customHeight="1">
      <c r="A1753" s="806" t="s">
        <v>110</v>
      </c>
      <c r="B1753" s="800" t="s">
        <v>38</v>
      </c>
      <c r="C1753" s="800" t="s">
        <v>3773</v>
      </c>
      <c r="D1753" s="800" t="s">
        <v>19792</v>
      </c>
      <c r="E1753" s="801">
        <v>43063</v>
      </c>
      <c r="F1753" s="800" t="s">
        <v>19719</v>
      </c>
      <c r="G1753" s="800" t="s">
        <v>19793</v>
      </c>
      <c r="H1753" s="800" t="s">
        <v>10396</v>
      </c>
      <c r="I1753" s="800" t="s">
        <v>10396</v>
      </c>
      <c r="J1753" s="800" t="s">
        <v>4342</v>
      </c>
      <c r="K1753" s="800">
        <v>1</v>
      </c>
      <c r="L1753" s="802" t="s">
        <v>10398</v>
      </c>
      <c r="M1753" s="802" t="s">
        <v>19794</v>
      </c>
      <c r="N1753" s="802" t="s">
        <v>19795</v>
      </c>
      <c r="O1753" s="802" t="s">
        <v>19796</v>
      </c>
      <c r="P1753" s="807" t="s">
        <v>19797</v>
      </c>
    </row>
    <row r="1754" spans="1:16" s="341" customFormat="1" ht="25.5" customHeight="1">
      <c r="A1754" s="806" t="s">
        <v>110</v>
      </c>
      <c r="B1754" s="800" t="s">
        <v>38</v>
      </c>
      <c r="C1754" s="800" t="s">
        <v>3773</v>
      </c>
      <c r="D1754" s="800" t="s">
        <v>19798</v>
      </c>
      <c r="E1754" s="801">
        <v>43063</v>
      </c>
      <c r="F1754" s="800" t="s">
        <v>19719</v>
      </c>
      <c r="G1754" s="800" t="s">
        <v>19799</v>
      </c>
      <c r="H1754" s="800" t="s">
        <v>10396</v>
      </c>
      <c r="I1754" s="800" t="s">
        <v>10396</v>
      </c>
      <c r="J1754" s="800" t="s">
        <v>4342</v>
      </c>
      <c r="K1754" s="800">
        <v>1</v>
      </c>
      <c r="L1754" s="802" t="s">
        <v>10398</v>
      </c>
      <c r="M1754" s="802" t="s">
        <v>19800</v>
      </c>
      <c r="N1754" s="802" t="s">
        <v>19801</v>
      </c>
      <c r="O1754" s="802" t="s">
        <v>19802</v>
      </c>
      <c r="P1754" s="807" t="s">
        <v>19803</v>
      </c>
    </row>
    <row r="1755" spans="1:16" s="341" customFormat="1" ht="25.5" customHeight="1">
      <c r="A1755" s="806" t="s">
        <v>110</v>
      </c>
      <c r="B1755" s="800" t="s">
        <v>38</v>
      </c>
      <c r="C1755" s="800" t="s">
        <v>3773</v>
      </c>
      <c r="D1755" s="800" t="s">
        <v>19804</v>
      </c>
      <c r="E1755" s="801">
        <v>43063</v>
      </c>
      <c r="F1755" s="800" t="s">
        <v>19805</v>
      </c>
      <c r="G1755" s="800" t="s">
        <v>19720</v>
      </c>
      <c r="H1755" s="800" t="s">
        <v>10396</v>
      </c>
      <c r="I1755" s="800" t="s">
        <v>10396</v>
      </c>
      <c r="J1755" s="800" t="s">
        <v>4342</v>
      </c>
      <c r="K1755" s="800">
        <v>1</v>
      </c>
      <c r="L1755" s="802" t="s">
        <v>10398</v>
      </c>
      <c r="M1755" s="802" t="s">
        <v>19806</v>
      </c>
      <c r="N1755" s="802" t="s">
        <v>19807</v>
      </c>
      <c r="O1755" s="802" t="s">
        <v>19808</v>
      </c>
      <c r="P1755" s="807" t="s">
        <v>19809</v>
      </c>
    </row>
    <row r="1756" spans="1:16" s="341" customFormat="1" ht="25.5" customHeight="1">
      <c r="A1756" s="806" t="s">
        <v>110</v>
      </c>
      <c r="B1756" s="800" t="s">
        <v>38</v>
      </c>
      <c r="C1756" s="800" t="s">
        <v>3773</v>
      </c>
      <c r="D1756" s="800" t="s">
        <v>19810</v>
      </c>
      <c r="E1756" s="801">
        <v>43063</v>
      </c>
      <c r="F1756" s="800" t="s">
        <v>19805</v>
      </c>
      <c r="G1756" s="800" t="s">
        <v>19793</v>
      </c>
      <c r="H1756" s="800" t="s">
        <v>10531</v>
      </c>
      <c r="I1756" s="800" t="s">
        <v>10531</v>
      </c>
      <c r="J1756" s="800" t="s">
        <v>4342</v>
      </c>
      <c r="K1756" s="800">
        <v>1</v>
      </c>
      <c r="L1756" s="802" t="s">
        <v>10398</v>
      </c>
      <c r="M1756" s="802" t="s">
        <v>19811</v>
      </c>
      <c r="N1756" s="802" t="s">
        <v>19812</v>
      </c>
      <c r="O1756" s="802" t="s">
        <v>19813</v>
      </c>
      <c r="P1756" s="807" t="s">
        <v>19814</v>
      </c>
    </row>
    <row r="1757" spans="1:16" s="341" customFormat="1" ht="15" customHeight="1">
      <c r="A1757" s="806" t="s">
        <v>110</v>
      </c>
      <c r="B1757" s="800" t="s">
        <v>38</v>
      </c>
      <c r="C1757" s="800" t="s">
        <v>3773</v>
      </c>
      <c r="D1757" s="800" t="s">
        <v>19815</v>
      </c>
      <c r="E1757" s="801">
        <v>43063</v>
      </c>
      <c r="F1757" s="800" t="s">
        <v>19805</v>
      </c>
      <c r="G1757" s="800" t="s">
        <v>19793</v>
      </c>
      <c r="H1757" s="800" t="s">
        <v>10396</v>
      </c>
      <c r="I1757" s="800" t="s">
        <v>10396</v>
      </c>
      <c r="J1757" s="800" t="s">
        <v>4342</v>
      </c>
      <c r="K1757" s="800">
        <v>1</v>
      </c>
      <c r="L1757" s="802" t="s">
        <v>10398</v>
      </c>
      <c r="M1757" s="802" t="s">
        <v>19816</v>
      </c>
      <c r="N1757" s="802" t="s">
        <v>19817</v>
      </c>
      <c r="O1757" s="802" t="s">
        <v>19818</v>
      </c>
      <c r="P1757" s="807" t="s">
        <v>32</v>
      </c>
    </row>
    <row r="1758" spans="1:16" s="341" customFormat="1" ht="25.5" customHeight="1">
      <c r="A1758" s="806" t="s">
        <v>110</v>
      </c>
      <c r="B1758" s="800" t="s">
        <v>38</v>
      </c>
      <c r="C1758" s="800" t="s">
        <v>3773</v>
      </c>
      <c r="D1758" s="800" t="s">
        <v>19819</v>
      </c>
      <c r="E1758" s="801">
        <v>43063</v>
      </c>
      <c r="F1758" s="800" t="s">
        <v>19805</v>
      </c>
      <c r="G1758" s="800" t="s">
        <v>19720</v>
      </c>
      <c r="H1758" s="800" t="s">
        <v>10396</v>
      </c>
      <c r="I1758" s="800" t="s">
        <v>10396</v>
      </c>
      <c r="J1758" s="800" t="s">
        <v>4342</v>
      </c>
      <c r="K1758" s="800">
        <v>1</v>
      </c>
      <c r="L1758" s="802" t="s">
        <v>10398</v>
      </c>
      <c r="M1758" s="802" t="s">
        <v>19820</v>
      </c>
      <c r="N1758" s="802" t="s">
        <v>19821</v>
      </c>
      <c r="O1758" s="802" t="s">
        <v>19822</v>
      </c>
      <c r="P1758" s="807" t="s">
        <v>32</v>
      </c>
    </row>
    <row r="1759" spans="1:16" s="341" customFormat="1" ht="25.5" customHeight="1">
      <c r="A1759" s="806" t="s">
        <v>110</v>
      </c>
      <c r="B1759" s="800" t="s">
        <v>38</v>
      </c>
      <c r="C1759" s="800" t="s">
        <v>3773</v>
      </c>
      <c r="D1759" s="800" t="s">
        <v>19823</v>
      </c>
      <c r="E1759" s="801">
        <v>43063</v>
      </c>
      <c r="F1759" s="800" t="s">
        <v>19805</v>
      </c>
      <c r="G1759" s="800" t="s">
        <v>19793</v>
      </c>
      <c r="H1759" s="800" t="s">
        <v>10396</v>
      </c>
      <c r="I1759" s="800" t="s">
        <v>10396</v>
      </c>
      <c r="J1759" s="800" t="s">
        <v>4342</v>
      </c>
      <c r="K1759" s="800">
        <v>1</v>
      </c>
      <c r="L1759" s="802" t="s">
        <v>12826</v>
      </c>
      <c r="M1759" s="802" t="s">
        <v>19824</v>
      </c>
      <c r="N1759" s="802" t="s">
        <v>19825</v>
      </c>
      <c r="O1759" s="802" t="s">
        <v>19826</v>
      </c>
      <c r="P1759" s="807" t="s">
        <v>32</v>
      </c>
    </row>
    <row r="1760" spans="1:16" s="341" customFormat="1" ht="15" customHeight="1">
      <c r="A1760" s="806" t="s">
        <v>110</v>
      </c>
      <c r="B1760" s="800" t="s">
        <v>38</v>
      </c>
      <c r="C1760" s="800" t="s">
        <v>3773</v>
      </c>
      <c r="D1760" s="800" t="s">
        <v>19827</v>
      </c>
      <c r="E1760" s="801">
        <v>43063</v>
      </c>
      <c r="F1760" s="800" t="s">
        <v>19719</v>
      </c>
      <c r="G1760" s="800" t="s">
        <v>19720</v>
      </c>
      <c r="H1760" s="800" t="s">
        <v>10531</v>
      </c>
      <c r="I1760" s="800" t="s">
        <v>10531</v>
      </c>
      <c r="J1760" s="800" t="s">
        <v>4342</v>
      </c>
      <c r="K1760" s="800">
        <v>1</v>
      </c>
      <c r="L1760" s="802" t="s">
        <v>10398</v>
      </c>
      <c r="M1760" s="802" t="s">
        <v>19828</v>
      </c>
      <c r="N1760" s="802" t="s">
        <v>19829</v>
      </c>
      <c r="O1760" s="802" t="s">
        <v>19830</v>
      </c>
      <c r="P1760" s="807" t="s">
        <v>19831</v>
      </c>
    </row>
    <row r="1761" spans="1:16" s="341" customFormat="1" ht="38.25" customHeight="1">
      <c r="A1761" s="806" t="s">
        <v>110</v>
      </c>
      <c r="B1761" s="800" t="s">
        <v>38</v>
      </c>
      <c r="C1761" s="800" t="s">
        <v>3773</v>
      </c>
      <c r="D1761" s="800" t="s">
        <v>19832</v>
      </c>
      <c r="E1761" s="801">
        <v>43063</v>
      </c>
      <c r="F1761" s="800" t="s">
        <v>19719</v>
      </c>
      <c r="G1761" s="800" t="s">
        <v>19793</v>
      </c>
      <c r="H1761" s="800" t="s">
        <v>10396</v>
      </c>
      <c r="I1761" s="800" t="s">
        <v>10396</v>
      </c>
      <c r="J1761" s="800" t="s">
        <v>4342</v>
      </c>
      <c r="K1761" s="800">
        <v>1</v>
      </c>
      <c r="L1761" s="802" t="s">
        <v>10398</v>
      </c>
      <c r="M1761" s="802" t="s">
        <v>19833</v>
      </c>
      <c r="N1761" s="802" t="s">
        <v>19834</v>
      </c>
      <c r="O1761" s="802" t="s">
        <v>19835</v>
      </c>
      <c r="P1761" s="807" t="s">
        <v>19836</v>
      </c>
    </row>
    <row r="1762" spans="1:16" s="341" customFormat="1" ht="38.25" customHeight="1">
      <c r="A1762" s="806" t="s">
        <v>110</v>
      </c>
      <c r="B1762" s="800" t="s">
        <v>38</v>
      </c>
      <c r="C1762" s="800" t="s">
        <v>3773</v>
      </c>
      <c r="D1762" s="800" t="s">
        <v>19837</v>
      </c>
      <c r="E1762" s="801">
        <v>43063</v>
      </c>
      <c r="F1762" s="800" t="s">
        <v>19719</v>
      </c>
      <c r="G1762" s="800" t="s">
        <v>19838</v>
      </c>
      <c r="H1762" s="800" t="s">
        <v>10404</v>
      </c>
      <c r="I1762" s="800" t="s">
        <v>10404</v>
      </c>
      <c r="J1762" s="800" t="s">
        <v>4342</v>
      </c>
      <c r="K1762" s="800">
        <v>1</v>
      </c>
      <c r="L1762" s="802" t="s">
        <v>10398</v>
      </c>
      <c r="M1762" s="802" t="s">
        <v>19839</v>
      </c>
      <c r="N1762" s="802" t="s">
        <v>19840</v>
      </c>
      <c r="O1762" s="802" t="s">
        <v>19841</v>
      </c>
      <c r="P1762" s="807" t="s">
        <v>19842</v>
      </c>
    </row>
    <row r="1763" spans="1:16" s="341" customFormat="1" ht="25.5" customHeight="1">
      <c r="A1763" s="806" t="s">
        <v>110</v>
      </c>
      <c r="B1763" s="800" t="s">
        <v>38</v>
      </c>
      <c r="C1763" s="800" t="s">
        <v>3773</v>
      </c>
      <c r="D1763" s="800" t="s">
        <v>19843</v>
      </c>
      <c r="E1763" s="801">
        <v>43066</v>
      </c>
      <c r="F1763" s="800" t="s">
        <v>19719</v>
      </c>
      <c r="G1763" s="800" t="s">
        <v>19720</v>
      </c>
      <c r="H1763" s="800" t="s">
        <v>10404</v>
      </c>
      <c r="I1763" s="800" t="s">
        <v>10404</v>
      </c>
      <c r="J1763" s="800" t="s">
        <v>4342</v>
      </c>
      <c r="K1763" s="800">
        <v>1</v>
      </c>
      <c r="L1763" s="802" t="s">
        <v>10398</v>
      </c>
      <c r="M1763" s="802" t="s">
        <v>32</v>
      </c>
      <c r="N1763" s="802" t="s">
        <v>16781</v>
      </c>
      <c r="O1763" s="802" t="s">
        <v>19844</v>
      </c>
      <c r="P1763" s="807" t="s">
        <v>19845</v>
      </c>
    </row>
    <row r="1764" spans="1:16" s="341" customFormat="1" ht="38.25" customHeight="1">
      <c r="A1764" s="806" t="s">
        <v>110</v>
      </c>
      <c r="B1764" s="800" t="s">
        <v>38</v>
      </c>
      <c r="C1764" s="800" t="s">
        <v>3773</v>
      </c>
      <c r="D1764" s="800" t="s">
        <v>19846</v>
      </c>
      <c r="E1764" s="801">
        <v>43063</v>
      </c>
      <c r="F1764" s="800" t="s">
        <v>19719</v>
      </c>
      <c r="G1764" s="800" t="s">
        <v>19720</v>
      </c>
      <c r="H1764" s="800" t="s">
        <v>10396</v>
      </c>
      <c r="I1764" s="800" t="s">
        <v>10396</v>
      </c>
      <c r="J1764" s="800" t="s">
        <v>4342</v>
      </c>
      <c r="K1764" s="800">
        <v>1</v>
      </c>
      <c r="L1764" s="802" t="s">
        <v>10398</v>
      </c>
      <c r="M1764" s="802" t="s">
        <v>19847</v>
      </c>
      <c r="N1764" s="802" t="s">
        <v>19848</v>
      </c>
      <c r="O1764" s="802" t="s">
        <v>19844</v>
      </c>
      <c r="P1764" s="807" t="s">
        <v>19849</v>
      </c>
    </row>
    <row r="1765" spans="1:16" s="341" customFormat="1" ht="25.5" customHeight="1">
      <c r="A1765" s="806" t="s">
        <v>110</v>
      </c>
      <c r="B1765" s="800" t="s">
        <v>38</v>
      </c>
      <c r="C1765" s="800" t="s">
        <v>3773</v>
      </c>
      <c r="D1765" s="800" t="s">
        <v>19850</v>
      </c>
      <c r="E1765" s="801">
        <v>43063</v>
      </c>
      <c r="F1765" s="800" t="s">
        <v>19851</v>
      </c>
      <c r="G1765" s="800" t="s">
        <v>19720</v>
      </c>
      <c r="H1765" s="800" t="s">
        <v>10531</v>
      </c>
      <c r="I1765" s="800" t="s">
        <v>10531</v>
      </c>
      <c r="J1765" s="800" t="s">
        <v>4342</v>
      </c>
      <c r="K1765" s="800">
        <v>1</v>
      </c>
      <c r="L1765" s="802" t="s">
        <v>10398</v>
      </c>
      <c r="M1765" s="802" t="s">
        <v>19852</v>
      </c>
      <c r="N1765" s="802" t="s">
        <v>19853</v>
      </c>
      <c r="O1765" s="802" t="s">
        <v>19854</v>
      </c>
      <c r="P1765" s="807" t="s">
        <v>19855</v>
      </c>
    </row>
    <row r="1766" spans="1:16" s="341" customFormat="1" ht="25.5" customHeight="1">
      <c r="A1766" s="806" t="s">
        <v>110</v>
      </c>
      <c r="B1766" s="800" t="s">
        <v>38</v>
      </c>
      <c r="C1766" s="800" t="s">
        <v>3773</v>
      </c>
      <c r="D1766" s="800" t="s">
        <v>19856</v>
      </c>
      <c r="E1766" s="801">
        <v>43069</v>
      </c>
      <c r="F1766" s="800" t="s">
        <v>4951</v>
      </c>
      <c r="G1766" s="800" t="s">
        <v>32</v>
      </c>
      <c r="H1766" s="800" t="s">
        <v>10404</v>
      </c>
      <c r="I1766" s="800" t="s">
        <v>10404</v>
      </c>
      <c r="J1766" s="800" t="s">
        <v>4342</v>
      </c>
      <c r="K1766" s="800">
        <v>1</v>
      </c>
      <c r="L1766" s="802" t="s">
        <v>10398</v>
      </c>
      <c r="M1766" s="802" t="s">
        <v>19857</v>
      </c>
      <c r="N1766" s="802" t="s">
        <v>19858</v>
      </c>
      <c r="O1766" s="802" t="s">
        <v>19859</v>
      </c>
      <c r="P1766" s="807" t="s">
        <v>32</v>
      </c>
    </row>
    <row r="1767" spans="1:16" s="341" customFormat="1" ht="15" customHeight="1">
      <c r="A1767" s="806" t="s">
        <v>110</v>
      </c>
      <c r="B1767" s="800" t="s">
        <v>38</v>
      </c>
      <c r="C1767" s="800" t="s">
        <v>3773</v>
      </c>
      <c r="D1767" s="800" t="s">
        <v>19860</v>
      </c>
      <c r="E1767" s="801">
        <v>43069</v>
      </c>
      <c r="F1767" s="800" t="s">
        <v>19861</v>
      </c>
      <c r="G1767" s="800" t="s">
        <v>19862</v>
      </c>
      <c r="H1767" s="800" t="s">
        <v>10433</v>
      </c>
      <c r="I1767" s="800" t="s">
        <v>10433</v>
      </c>
      <c r="J1767" s="800" t="s">
        <v>4342</v>
      </c>
      <c r="K1767" s="800">
        <v>1</v>
      </c>
      <c r="L1767" s="802" t="s">
        <v>11045</v>
      </c>
      <c r="M1767" s="802" t="s">
        <v>19863</v>
      </c>
      <c r="N1767" s="802" t="s">
        <v>19864</v>
      </c>
      <c r="O1767" s="802" t="s">
        <v>19865</v>
      </c>
      <c r="P1767" s="807" t="s">
        <v>19866</v>
      </c>
    </row>
    <row r="1768" spans="1:16" s="341" customFormat="1" ht="25.5" customHeight="1">
      <c r="A1768" s="806" t="s">
        <v>110</v>
      </c>
      <c r="B1768" s="800" t="s">
        <v>38</v>
      </c>
      <c r="C1768" s="800" t="s">
        <v>3773</v>
      </c>
      <c r="D1768" s="800" t="s">
        <v>19867</v>
      </c>
      <c r="E1768" s="801">
        <v>43069</v>
      </c>
      <c r="F1768" s="800" t="s">
        <v>19861</v>
      </c>
      <c r="G1768" s="800" t="s">
        <v>19862</v>
      </c>
      <c r="H1768" s="800" t="s">
        <v>10531</v>
      </c>
      <c r="I1768" s="800" t="s">
        <v>10531</v>
      </c>
      <c r="J1768" s="800" t="s">
        <v>4342</v>
      </c>
      <c r="K1768" s="800">
        <v>1</v>
      </c>
      <c r="L1768" s="802" t="s">
        <v>10605</v>
      </c>
      <c r="M1768" s="802" t="s">
        <v>32</v>
      </c>
      <c r="N1768" s="802" t="s">
        <v>19868</v>
      </c>
      <c r="O1768" s="802" t="s">
        <v>19869</v>
      </c>
      <c r="P1768" s="807" t="s">
        <v>19866</v>
      </c>
    </row>
    <row r="1769" spans="1:16" s="341" customFormat="1" ht="25.5" customHeight="1">
      <c r="A1769" s="806" t="s">
        <v>110</v>
      </c>
      <c r="B1769" s="800" t="s">
        <v>38</v>
      </c>
      <c r="C1769" s="800" t="s">
        <v>3773</v>
      </c>
      <c r="D1769" s="800" t="s">
        <v>19870</v>
      </c>
      <c r="E1769" s="801">
        <v>43070</v>
      </c>
      <c r="F1769" s="800" t="s">
        <v>19871</v>
      </c>
      <c r="G1769" s="800" t="s">
        <v>19872</v>
      </c>
      <c r="H1769" s="800" t="s">
        <v>10531</v>
      </c>
      <c r="I1769" s="800" t="s">
        <v>10531</v>
      </c>
      <c r="J1769" s="800" t="s">
        <v>4342</v>
      </c>
      <c r="K1769" s="800">
        <v>1</v>
      </c>
      <c r="L1769" s="802" t="s">
        <v>10398</v>
      </c>
      <c r="M1769" s="802" t="s">
        <v>19873</v>
      </c>
      <c r="N1769" s="802" t="s">
        <v>19874</v>
      </c>
      <c r="O1769" s="802" t="s">
        <v>19875</v>
      </c>
      <c r="P1769" s="807" t="s">
        <v>19876</v>
      </c>
    </row>
    <row r="1770" spans="1:16" s="341" customFormat="1" ht="15" customHeight="1">
      <c r="A1770" s="806" t="s">
        <v>110</v>
      </c>
      <c r="B1770" s="800" t="s">
        <v>38</v>
      </c>
      <c r="C1770" s="800" t="s">
        <v>3773</v>
      </c>
      <c r="D1770" s="800" t="s">
        <v>19877</v>
      </c>
      <c r="E1770" s="801">
        <v>43070</v>
      </c>
      <c r="F1770" s="800" t="s">
        <v>19871</v>
      </c>
      <c r="G1770" s="800" t="s">
        <v>19878</v>
      </c>
      <c r="H1770" s="800" t="s">
        <v>10531</v>
      </c>
      <c r="I1770" s="800" t="s">
        <v>10531</v>
      </c>
      <c r="J1770" s="800" t="s">
        <v>4342</v>
      </c>
      <c r="K1770" s="800">
        <v>1</v>
      </c>
      <c r="L1770" s="802" t="s">
        <v>10398</v>
      </c>
      <c r="M1770" s="802" t="s">
        <v>19879</v>
      </c>
      <c r="N1770" s="802" t="s">
        <v>19880</v>
      </c>
      <c r="O1770" s="802" t="s">
        <v>19881</v>
      </c>
      <c r="P1770" s="807" t="s">
        <v>19882</v>
      </c>
    </row>
    <row r="1771" spans="1:16" s="341" customFormat="1" ht="25.5" customHeight="1">
      <c r="A1771" s="806" t="s">
        <v>110</v>
      </c>
      <c r="B1771" s="800" t="s">
        <v>38</v>
      </c>
      <c r="C1771" s="800" t="s">
        <v>3773</v>
      </c>
      <c r="D1771" s="800" t="s">
        <v>19883</v>
      </c>
      <c r="E1771" s="801">
        <v>43070</v>
      </c>
      <c r="F1771" s="800" t="s">
        <v>19871</v>
      </c>
      <c r="G1771" s="800" t="s">
        <v>19884</v>
      </c>
      <c r="H1771" s="800" t="s">
        <v>10531</v>
      </c>
      <c r="I1771" s="800" t="s">
        <v>10531</v>
      </c>
      <c r="J1771" s="800" t="s">
        <v>4342</v>
      </c>
      <c r="K1771" s="800">
        <v>1</v>
      </c>
      <c r="L1771" s="802" t="s">
        <v>10398</v>
      </c>
      <c r="M1771" s="802" t="s">
        <v>19885</v>
      </c>
      <c r="N1771" s="802" t="s">
        <v>19886</v>
      </c>
      <c r="O1771" s="802" t="s">
        <v>19887</v>
      </c>
      <c r="P1771" s="807" t="s">
        <v>19888</v>
      </c>
    </row>
    <row r="1772" spans="1:16" s="341" customFormat="1" ht="25.5" customHeight="1">
      <c r="A1772" s="806" t="s">
        <v>110</v>
      </c>
      <c r="B1772" s="800" t="s">
        <v>38</v>
      </c>
      <c r="C1772" s="800" t="s">
        <v>3773</v>
      </c>
      <c r="D1772" s="800" t="s">
        <v>19889</v>
      </c>
      <c r="E1772" s="801">
        <v>43070</v>
      </c>
      <c r="F1772" s="800" t="s">
        <v>19871</v>
      </c>
      <c r="G1772" s="800" t="s">
        <v>19890</v>
      </c>
      <c r="H1772" s="800" t="s">
        <v>10531</v>
      </c>
      <c r="I1772" s="800" t="s">
        <v>10531</v>
      </c>
      <c r="J1772" s="800" t="s">
        <v>4342</v>
      </c>
      <c r="K1772" s="800">
        <v>1</v>
      </c>
      <c r="L1772" s="802" t="s">
        <v>10398</v>
      </c>
      <c r="M1772" s="802" t="s">
        <v>19891</v>
      </c>
      <c r="N1772" s="802" t="s">
        <v>19892</v>
      </c>
      <c r="O1772" s="802" t="s">
        <v>19893</v>
      </c>
      <c r="P1772" s="807" t="s">
        <v>19894</v>
      </c>
    </row>
    <row r="1773" spans="1:16" s="341" customFormat="1" ht="15" customHeight="1">
      <c r="A1773" s="806" t="s">
        <v>110</v>
      </c>
      <c r="B1773" s="800" t="s">
        <v>38</v>
      </c>
      <c r="C1773" s="800" t="s">
        <v>3773</v>
      </c>
      <c r="D1773" s="800" t="s">
        <v>19895</v>
      </c>
      <c r="E1773" s="801">
        <v>43070</v>
      </c>
      <c r="F1773" s="800" t="s">
        <v>19871</v>
      </c>
      <c r="G1773" s="800" t="s">
        <v>19896</v>
      </c>
      <c r="H1773" s="800" t="s">
        <v>10531</v>
      </c>
      <c r="I1773" s="800" t="s">
        <v>10531</v>
      </c>
      <c r="J1773" s="800" t="s">
        <v>4342</v>
      </c>
      <c r="K1773" s="800">
        <v>1</v>
      </c>
      <c r="L1773" s="802" t="s">
        <v>10398</v>
      </c>
      <c r="M1773" s="802" t="s">
        <v>19897</v>
      </c>
      <c r="N1773" s="802" t="s">
        <v>19898</v>
      </c>
      <c r="O1773" s="802" t="s">
        <v>19899</v>
      </c>
      <c r="P1773" s="807" t="s">
        <v>19900</v>
      </c>
    </row>
    <row r="1774" spans="1:16" s="341" customFormat="1" ht="25.5" customHeight="1">
      <c r="A1774" s="806" t="s">
        <v>110</v>
      </c>
      <c r="B1774" s="800" t="s">
        <v>38</v>
      </c>
      <c r="C1774" s="800" t="s">
        <v>3773</v>
      </c>
      <c r="D1774" s="800" t="s">
        <v>19901</v>
      </c>
      <c r="E1774" s="801">
        <v>43070</v>
      </c>
      <c r="F1774" s="800" t="s">
        <v>19871</v>
      </c>
      <c r="G1774" s="800" t="s">
        <v>19902</v>
      </c>
      <c r="H1774" s="800" t="s">
        <v>10531</v>
      </c>
      <c r="I1774" s="800" t="s">
        <v>10531</v>
      </c>
      <c r="J1774" s="800" t="s">
        <v>4342</v>
      </c>
      <c r="K1774" s="800">
        <v>1</v>
      </c>
      <c r="L1774" s="802" t="s">
        <v>10398</v>
      </c>
      <c r="M1774" s="802" t="s">
        <v>19903</v>
      </c>
      <c r="N1774" s="802" t="s">
        <v>19904</v>
      </c>
      <c r="O1774" s="802" t="s">
        <v>19905</v>
      </c>
      <c r="P1774" s="807" t="s">
        <v>19906</v>
      </c>
    </row>
    <row r="1775" spans="1:16" s="341" customFormat="1" ht="25.5" customHeight="1">
      <c r="A1775" s="806" t="s">
        <v>110</v>
      </c>
      <c r="B1775" s="800" t="s">
        <v>38</v>
      </c>
      <c r="C1775" s="800" t="s">
        <v>3773</v>
      </c>
      <c r="D1775" s="800" t="s">
        <v>19907</v>
      </c>
      <c r="E1775" s="801">
        <v>43070</v>
      </c>
      <c r="F1775" s="800" t="s">
        <v>19871</v>
      </c>
      <c r="G1775" s="800" t="s">
        <v>19908</v>
      </c>
      <c r="H1775" s="800" t="s">
        <v>10531</v>
      </c>
      <c r="I1775" s="800" t="s">
        <v>10531</v>
      </c>
      <c r="J1775" s="800" t="s">
        <v>4342</v>
      </c>
      <c r="K1775" s="800">
        <v>1</v>
      </c>
      <c r="L1775" s="802" t="s">
        <v>10398</v>
      </c>
      <c r="M1775" s="802" t="s">
        <v>19909</v>
      </c>
      <c r="N1775" s="802" t="s">
        <v>19910</v>
      </c>
      <c r="O1775" s="802" t="s">
        <v>19911</v>
      </c>
      <c r="P1775" s="807" t="s">
        <v>19912</v>
      </c>
    </row>
    <row r="1776" spans="1:16" s="341" customFormat="1" ht="25.5" customHeight="1">
      <c r="A1776" s="806" t="s">
        <v>110</v>
      </c>
      <c r="B1776" s="800" t="s">
        <v>38</v>
      </c>
      <c r="C1776" s="800" t="s">
        <v>3773</v>
      </c>
      <c r="D1776" s="800" t="s">
        <v>19913</v>
      </c>
      <c r="E1776" s="801">
        <v>43070</v>
      </c>
      <c r="F1776" s="800" t="s">
        <v>19871</v>
      </c>
      <c r="G1776" s="800" t="s">
        <v>19914</v>
      </c>
      <c r="H1776" s="800" t="s">
        <v>10531</v>
      </c>
      <c r="I1776" s="800" t="s">
        <v>10531</v>
      </c>
      <c r="J1776" s="800" t="s">
        <v>4342</v>
      </c>
      <c r="K1776" s="800">
        <v>1</v>
      </c>
      <c r="L1776" s="802" t="s">
        <v>10398</v>
      </c>
      <c r="M1776" s="802" t="s">
        <v>19915</v>
      </c>
      <c r="N1776" s="802" t="s">
        <v>19916</v>
      </c>
      <c r="O1776" s="802" t="s">
        <v>19917</v>
      </c>
      <c r="P1776" s="807" t="s">
        <v>19918</v>
      </c>
    </row>
    <row r="1777" spans="1:16" s="341" customFormat="1" ht="25.5" customHeight="1">
      <c r="A1777" s="806" t="s">
        <v>110</v>
      </c>
      <c r="B1777" s="800" t="s">
        <v>38</v>
      </c>
      <c r="C1777" s="800" t="s">
        <v>3773</v>
      </c>
      <c r="D1777" s="800" t="s">
        <v>19919</v>
      </c>
      <c r="E1777" s="801">
        <v>43070</v>
      </c>
      <c r="F1777" s="800" t="s">
        <v>19871</v>
      </c>
      <c r="G1777" s="800" t="s">
        <v>19920</v>
      </c>
      <c r="H1777" s="800" t="s">
        <v>10531</v>
      </c>
      <c r="I1777" s="800" t="s">
        <v>10531</v>
      </c>
      <c r="J1777" s="800" t="s">
        <v>4342</v>
      </c>
      <c r="K1777" s="800">
        <v>1</v>
      </c>
      <c r="L1777" s="802" t="s">
        <v>10398</v>
      </c>
      <c r="M1777" s="802" t="s">
        <v>19921</v>
      </c>
      <c r="N1777" s="802" t="s">
        <v>19922</v>
      </c>
      <c r="O1777" s="802" t="s">
        <v>19923</v>
      </c>
      <c r="P1777" s="807" t="s">
        <v>19924</v>
      </c>
    </row>
    <row r="1778" spans="1:16" s="341" customFormat="1" ht="25.5" customHeight="1">
      <c r="A1778" s="806" t="s">
        <v>110</v>
      </c>
      <c r="B1778" s="800" t="s">
        <v>38</v>
      </c>
      <c r="C1778" s="800" t="s">
        <v>3773</v>
      </c>
      <c r="D1778" s="800" t="s">
        <v>19925</v>
      </c>
      <c r="E1778" s="801">
        <v>43070</v>
      </c>
      <c r="F1778" s="800" t="s">
        <v>19926</v>
      </c>
      <c r="G1778" s="800" t="s">
        <v>19927</v>
      </c>
      <c r="H1778" s="800" t="s">
        <v>10531</v>
      </c>
      <c r="I1778" s="800" t="s">
        <v>10531</v>
      </c>
      <c r="J1778" s="800" t="s">
        <v>4342</v>
      </c>
      <c r="K1778" s="800">
        <v>1</v>
      </c>
      <c r="L1778" s="802" t="s">
        <v>10398</v>
      </c>
      <c r="M1778" s="802" t="s">
        <v>19928</v>
      </c>
      <c r="N1778" s="802" t="s">
        <v>12870</v>
      </c>
      <c r="O1778" s="802" t="s">
        <v>19929</v>
      </c>
      <c r="P1778" s="807" t="s">
        <v>19930</v>
      </c>
    </row>
    <row r="1779" spans="1:16" s="341" customFormat="1" ht="25.5" customHeight="1">
      <c r="A1779" s="806" t="s">
        <v>110</v>
      </c>
      <c r="B1779" s="800" t="s">
        <v>38</v>
      </c>
      <c r="C1779" s="800" t="s">
        <v>3773</v>
      </c>
      <c r="D1779" s="800" t="s">
        <v>19931</v>
      </c>
      <c r="E1779" s="801">
        <v>43070</v>
      </c>
      <c r="F1779" s="800" t="s">
        <v>19932</v>
      </c>
      <c r="G1779" s="800" t="s">
        <v>19933</v>
      </c>
      <c r="H1779" s="800" t="s">
        <v>10531</v>
      </c>
      <c r="I1779" s="800" t="s">
        <v>10531</v>
      </c>
      <c r="J1779" s="800" t="s">
        <v>4342</v>
      </c>
      <c r="K1779" s="800">
        <v>1</v>
      </c>
      <c r="L1779" s="802" t="s">
        <v>10398</v>
      </c>
      <c r="M1779" s="802" t="s">
        <v>19934</v>
      </c>
      <c r="N1779" s="802" t="s">
        <v>19935</v>
      </c>
      <c r="O1779" s="802" t="s">
        <v>19936</v>
      </c>
      <c r="P1779" s="807" t="s">
        <v>19937</v>
      </c>
    </row>
    <row r="1780" spans="1:16" s="341" customFormat="1" ht="25.5" customHeight="1">
      <c r="A1780" s="806" t="s">
        <v>110</v>
      </c>
      <c r="B1780" s="800" t="s">
        <v>38</v>
      </c>
      <c r="C1780" s="800" t="s">
        <v>3773</v>
      </c>
      <c r="D1780" s="800" t="s">
        <v>19938</v>
      </c>
      <c r="E1780" s="801">
        <v>43070</v>
      </c>
      <c r="F1780" s="800" t="s">
        <v>19939</v>
      </c>
      <c r="G1780" s="800" t="s">
        <v>19940</v>
      </c>
      <c r="H1780" s="800" t="s">
        <v>10531</v>
      </c>
      <c r="I1780" s="800" t="s">
        <v>10531</v>
      </c>
      <c r="J1780" s="800" t="s">
        <v>4342</v>
      </c>
      <c r="K1780" s="800">
        <v>1</v>
      </c>
      <c r="L1780" s="802" t="s">
        <v>10398</v>
      </c>
      <c r="M1780" s="802" t="s">
        <v>19941</v>
      </c>
      <c r="N1780" s="802" t="s">
        <v>19942</v>
      </c>
      <c r="O1780" s="802" t="s">
        <v>19943</v>
      </c>
      <c r="P1780" s="807" t="s">
        <v>19944</v>
      </c>
    </row>
    <row r="1781" spans="1:16" s="341" customFormat="1" ht="25.5" customHeight="1">
      <c r="A1781" s="806" t="s">
        <v>110</v>
      </c>
      <c r="B1781" s="800" t="s">
        <v>38</v>
      </c>
      <c r="C1781" s="800" t="s">
        <v>3773</v>
      </c>
      <c r="D1781" s="800" t="s">
        <v>19945</v>
      </c>
      <c r="E1781" s="801">
        <v>43070</v>
      </c>
      <c r="F1781" s="800" t="s">
        <v>19939</v>
      </c>
      <c r="G1781" s="800" t="s">
        <v>19946</v>
      </c>
      <c r="H1781" s="800" t="s">
        <v>10531</v>
      </c>
      <c r="I1781" s="800" t="s">
        <v>10531</v>
      </c>
      <c r="J1781" s="800" t="s">
        <v>4342</v>
      </c>
      <c r="K1781" s="800">
        <v>1</v>
      </c>
      <c r="L1781" s="802" t="s">
        <v>10398</v>
      </c>
      <c r="M1781" s="802" t="s">
        <v>19947</v>
      </c>
      <c r="N1781" s="802" t="s">
        <v>19910</v>
      </c>
      <c r="O1781" s="802" t="s">
        <v>19948</v>
      </c>
      <c r="P1781" s="807" t="s">
        <v>19949</v>
      </c>
    </row>
    <row r="1782" spans="1:16" s="341" customFormat="1" ht="15" customHeight="1">
      <c r="A1782" s="806" t="s">
        <v>110</v>
      </c>
      <c r="B1782" s="800" t="s">
        <v>38</v>
      </c>
      <c r="C1782" s="800" t="s">
        <v>3773</v>
      </c>
      <c r="D1782" s="800" t="s">
        <v>19950</v>
      </c>
      <c r="E1782" s="801">
        <v>43070</v>
      </c>
      <c r="F1782" s="800" t="s">
        <v>19939</v>
      </c>
      <c r="G1782" s="800" t="s">
        <v>19951</v>
      </c>
      <c r="H1782" s="800" t="s">
        <v>10531</v>
      </c>
      <c r="I1782" s="800" t="s">
        <v>10531</v>
      </c>
      <c r="J1782" s="800" t="s">
        <v>4342</v>
      </c>
      <c r="K1782" s="800">
        <v>1</v>
      </c>
      <c r="L1782" s="802" t="s">
        <v>10398</v>
      </c>
      <c r="M1782" s="802" t="s">
        <v>19952</v>
      </c>
      <c r="N1782" s="802" t="s">
        <v>19953</v>
      </c>
      <c r="O1782" s="802" t="s">
        <v>19954</v>
      </c>
      <c r="P1782" s="807" t="s">
        <v>19955</v>
      </c>
    </row>
    <row r="1783" spans="1:16" s="341" customFormat="1" ht="15" customHeight="1">
      <c r="A1783" s="806" t="s">
        <v>110</v>
      </c>
      <c r="B1783" s="800" t="s">
        <v>38</v>
      </c>
      <c r="C1783" s="800" t="s">
        <v>3773</v>
      </c>
      <c r="D1783" s="800" t="s">
        <v>19956</v>
      </c>
      <c r="E1783" s="801">
        <v>43070</v>
      </c>
      <c r="F1783" s="800" t="s">
        <v>19932</v>
      </c>
      <c r="G1783" s="800" t="s">
        <v>19957</v>
      </c>
      <c r="H1783" s="800" t="s">
        <v>10404</v>
      </c>
      <c r="I1783" s="800" t="s">
        <v>10404</v>
      </c>
      <c r="J1783" s="800" t="s">
        <v>4342</v>
      </c>
      <c r="K1783" s="800">
        <v>1</v>
      </c>
      <c r="L1783" s="802" t="s">
        <v>10398</v>
      </c>
      <c r="M1783" s="802" t="s">
        <v>19958</v>
      </c>
      <c r="N1783" s="802" t="s">
        <v>19959</v>
      </c>
      <c r="O1783" s="802" t="s">
        <v>19960</v>
      </c>
      <c r="P1783" s="807" t="s">
        <v>19961</v>
      </c>
    </row>
    <row r="1784" spans="1:16" s="341" customFormat="1" ht="25.5" customHeight="1">
      <c r="A1784" s="806" t="s">
        <v>110</v>
      </c>
      <c r="B1784" s="800" t="s">
        <v>38</v>
      </c>
      <c r="C1784" s="800" t="s">
        <v>3773</v>
      </c>
      <c r="D1784" s="800" t="s">
        <v>19962</v>
      </c>
      <c r="E1784" s="801">
        <v>43070</v>
      </c>
      <c r="F1784" s="800" t="s">
        <v>19963</v>
      </c>
      <c r="G1784" s="800" t="s">
        <v>19964</v>
      </c>
      <c r="H1784" s="800" t="s">
        <v>10404</v>
      </c>
      <c r="I1784" s="800" t="s">
        <v>10404</v>
      </c>
      <c r="J1784" s="800" t="s">
        <v>4342</v>
      </c>
      <c r="K1784" s="800">
        <v>1</v>
      </c>
      <c r="L1784" s="802" t="s">
        <v>10398</v>
      </c>
      <c r="M1784" s="802" t="s">
        <v>19965</v>
      </c>
      <c r="N1784" s="802" t="s">
        <v>19966</v>
      </c>
      <c r="O1784" s="802" t="s">
        <v>19967</v>
      </c>
      <c r="P1784" s="807" t="s">
        <v>19968</v>
      </c>
    </row>
    <row r="1785" spans="1:16" s="341" customFormat="1" ht="15" customHeight="1">
      <c r="A1785" s="806" t="s">
        <v>110</v>
      </c>
      <c r="B1785" s="800" t="s">
        <v>38</v>
      </c>
      <c r="C1785" s="800" t="s">
        <v>3773</v>
      </c>
      <c r="D1785" s="800" t="s">
        <v>19969</v>
      </c>
      <c r="E1785" s="801">
        <v>43070</v>
      </c>
      <c r="F1785" s="800" t="s">
        <v>19932</v>
      </c>
      <c r="G1785" s="800" t="s">
        <v>19970</v>
      </c>
      <c r="H1785" s="800" t="s">
        <v>10396</v>
      </c>
      <c r="I1785" s="800" t="s">
        <v>10396</v>
      </c>
      <c r="J1785" s="800" t="s">
        <v>4342</v>
      </c>
      <c r="K1785" s="800">
        <v>2</v>
      </c>
      <c r="L1785" s="802" t="s">
        <v>10398</v>
      </c>
      <c r="M1785" s="802" t="s">
        <v>19971</v>
      </c>
      <c r="N1785" s="802" t="s">
        <v>12274</v>
      </c>
      <c r="O1785" s="802" t="s">
        <v>19972</v>
      </c>
      <c r="P1785" s="807" t="s">
        <v>19973</v>
      </c>
    </row>
    <row r="1786" spans="1:16" s="341" customFormat="1" ht="25.5" customHeight="1">
      <c r="A1786" s="806" t="s">
        <v>110</v>
      </c>
      <c r="B1786" s="800" t="s">
        <v>38</v>
      </c>
      <c r="C1786" s="800" t="s">
        <v>3773</v>
      </c>
      <c r="D1786" s="800" t="s">
        <v>19969</v>
      </c>
      <c r="E1786" s="801">
        <v>43070</v>
      </c>
      <c r="F1786" s="800" t="s">
        <v>19932</v>
      </c>
      <c r="G1786" s="800" t="s">
        <v>19970</v>
      </c>
      <c r="H1786" s="800" t="s">
        <v>10396</v>
      </c>
      <c r="I1786" s="800" t="s">
        <v>10396</v>
      </c>
      <c r="J1786" s="800" t="s">
        <v>4342</v>
      </c>
      <c r="K1786" s="800">
        <v>2</v>
      </c>
      <c r="L1786" s="802" t="s">
        <v>10398</v>
      </c>
      <c r="M1786" s="802"/>
      <c r="N1786" s="802"/>
      <c r="O1786" s="802"/>
      <c r="P1786" s="807" t="s">
        <v>19973</v>
      </c>
    </row>
    <row r="1787" spans="1:16" s="341" customFormat="1" ht="25.5" customHeight="1">
      <c r="A1787" s="806" t="s">
        <v>110</v>
      </c>
      <c r="B1787" s="800" t="s">
        <v>38</v>
      </c>
      <c r="C1787" s="800" t="s">
        <v>3773</v>
      </c>
      <c r="D1787" s="800" t="s">
        <v>19974</v>
      </c>
      <c r="E1787" s="801">
        <v>43070</v>
      </c>
      <c r="F1787" s="800" t="s">
        <v>19963</v>
      </c>
      <c r="G1787" s="800" t="s">
        <v>19964</v>
      </c>
      <c r="H1787" s="800" t="s">
        <v>10396</v>
      </c>
      <c r="I1787" s="800" t="s">
        <v>10396</v>
      </c>
      <c r="J1787" s="800" t="s">
        <v>4342</v>
      </c>
      <c r="K1787" s="800">
        <v>1</v>
      </c>
      <c r="L1787" s="802" t="s">
        <v>10398</v>
      </c>
      <c r="M1787" s="802" t="s">
        <v>19975</v>
      </c>
      <c r="N1787" s="802" t="s">
        <v>12557</v>
      </c>
      <c r="O1787" s="802" t="s">
        <v>19976</v>
      </c>
      <c r="P1787" s="807" t="s">
        <v>19977</v>
      </c>
    </row>
    <row r="1788" spans="1:16" s="341" customFormat="1" ht="25.5" customHeight="1">
      <c r="A1788" s="806" t="s">
        <v>110</v>
      </c>
      <c r="B1788" s="800" t="s">
        <v>38</v>
      </c>
      <c r="C1788" s="800" t="s">
        <v>3773</v>
      </c>
      <c r="D1788" s="800" t="s">
        <v>19978</v>
      </c>
      <c r="E1788" s="801">
        <v>43070</v>
      </c>
      <c r="F1788" s="800" t="s">
        <v>19979</v>
      </c>
      <c r="G1788" s="800" t="s">
        <v>19980</v>
      </c>
      <c r="H1788" s="800" t="s">
        <v>10531</v>
      </c>
      <c r="I1788" s="800" t="s">
        <v>10531</v>
      </c>
      <c r="J1788" s="800" t="s">
        <v>4342</v>
      </c>
      <c r="K1788" s="800">
        <v>1</v>
      </c>
      <c r="L1788" s="802" t="s">
        <v>10398</v>
      </c>
      <c r="M1788" s="802" t="s">
        <v>19981</v>
      </c>
      <c r="N1788" s="802" t="s">
        <v>19982</v>
      </c>
      <c r="O1788" s="802" t="s">
        <v>19893</v>
      </c>
      <c r="P1788" s="807" t="s">
        <v>19983</v>
      </c>
    </row>
    <row r="1789" spans="1:16" s="341" customFormat="1" ht="25.5" customHeight="1">
      <c r="A1789" s="806" t="s">
        <v>110</v>
      </c>
      <c r="B1789" s="800" t="s">
        <v>38</v>
      </c>
      <c r="C1789" s="800" t="s">
        <v>3773</v>
      </c>
      <c r="D1789" s="800" t="s">
        <v>19984</v>
      </c>
      <c r="E1789" s="801">
        <v>43070</v>
      </c>
      <c r="F1789" s="800" t="s">
        <v>19979</v>
      </c>
      <c r="G1789" s="800" t="s">
        <v>19980</v>
      </c>
      <c r="H1789" s="800" t="s">
        <v>10531</v>
      </c>
      <c r="I1789" s="800" t="s">
        <v>10531</v>
      </c>
      <c r="J1789" s="800" t="s">
        <v>4342</v>
      </c>
      <c r="K1789" s="800">
        <v>1</v>
      </c>
      <c r="L1789" s="802" t="s">
        <v>10398</v>
      </c>
      <c r="M1789" s="802" t="s">
        <v>19985</v>
      </c>
      <c r="N1789" s="802" t="s">
        <v>19986</v>
      </c>
      <c r="O1789" s="802" t="s">
        <v>19987</v>
      </c>
      <c r="P1789" s="807" t="s">
        <v>19988</v>
      </c>
    </row>
    <row r="1790" spans="1:16" s="341" customFormat="1" ht="25.5" customHeight="1">
      <c r="A1790" s="806" t="s">
        <v>110</v>
      </c>
      <c r="B1790" s="800" t="s">
        <v>38</v>
      </c>
      <c r="C1790" s="800" t="s">
        <v>3773</v>
      </c>
      <c r="D1790" s="800" t="s">
        <v>19989</v>
      </c>
      <c r="E1790" s="801">
        <v>43070</v>
      </c>
      <c r="F1790" s="800" t="s">
        <v>19979</v>
      </c>
      <c r="G1790" s="800" t="s">
        <v>19990</v>
      </c>
      <c r="H1790" s="800" t="s">
        <v>10531</v>
      </c>
      <c r="I1790" s="800" t="s">
        <v>10531</v>
      </c>
      <c r="J1790" s="800" t="s">
        <v>4342</v>
      </c>
      <c r="K1790" s="800">
        <v>1</v>
      </c>
      <c r="L1790" s="802" t="s">
        <v>10398</v>
      </c>
      <c r="M1790" s="802" t="s">
        <v>19991</v>
      </c>
      <c r="N1790" s="802" t="s">
        <v>14282</v>
      </c>
      <c r="O1790" s="802" t="s">
        <v>19992</v>
      </c>
      <c r="P1790" s="807" t="s">
        <v>19993</v>
      </c>
    </row>
    <row r="1791" spans="1:16" s="341" customFormat="1" ht="15" customHeight="1">
      <c r="A1791" s="806" t="s">
        <v>110</v>
      </c>
      <c r="B1791" s="800" t="s">
        <v>38</v>
      </c>
      <c r="C1791" s="800" t="s">
        <v>3773</v>
      </c>
      <c r="D1791" s="800" t="s">
        <v>19994</v>
      </c>
      <c r="E1791" s="801">
        <v>43070</v>
      </c>
      <c r="F1791" s="800" t="s">
        <v>19979</v>
      </c>
      <c r="G1791" s="800" t="s">
        <v>19964</v>
      </c>
      <c r="H1791" s="800" t="s">
        <v>10531</v>
      </c>
      <c r="I1791" s="800" t="s">
        <v>10531</v>
      </c>
      <c r="J1791" s="800" t="s">
        <v>4342</v>
      </c>
      <c r="K1791" s="800">
        <v>1</v>
      </c>
      <c r="L1791" s="802" t="s">
        <v>10605</v>
      </c>
      <c r="M1791" s="802" t="s">
        <v>32</v>
      </c>
      <c r="N1791" s="802" t="s">
        <v>19995</v>
      </c>
      <c r="O1791" s="802" t="s">
        <v>19996</v>
      </c>
      <c r="P1791" s="807" t="s">
        <v>19997</v>
      </c>
    </row>
    <row r="1792" spans="1:16" s="341" customFormat="1" ht="25.5" customHeight="1">
      <c r="A1792" s="806" t="s">
        <v>110</v>
      </c>
      <c r="B1792" s="800" t="s">
        <v>38</v>
      </c>
      <c r="C1792" s="800" t="s">
        <v>3773</v>
      </c>
      <c r="D1792" s="800" t="s">
        <v>19998</v>
      </c>
      <c r="E1792" s="801">
        <v>43070</v>
      </c>
      <c r="F1792" s="800" t="s">
        <v>19999</v>
      </c>
      <c r="G1792" s="800" t="s">
        <v>20000</v>
      </c>
      <c r="H1792" s="800" t="s">
        <v>10531</v>
      </c>
      <c r="I1792" s="800" t="s">
        <v>10531</v>
      </c>
      <c r="J1792" s="800" t="s">
        <v>4342</v>
      </c>
      <c r="K1792" s="800">
        <v>1</v>
      </c>
      <c r="L1792" s="802" t="s">
        <v>10398</v>
      </c>
      <c r="M1792" s="802" t="s">
        <v>20001</v>
      </c>
      <c r="N1792" s="802" t="s">
        <v>14062</v>
      </c>
      <c r="O1792" s="802" t="s">
        <v>20002</v>
      </c>
      <c r="P1792" s="807" t="s">
        <v>20003</v>
      </c>
    </row>
    <row r="1793" spans="1:16" s="341" customFormat="1" ht="25.5" customHeight="1">
      <c r="A1793" s="806" t="s">
        <v>110</v>
      </c>
      <c r="B1793" s="800" t="s">
        <v>38</v>
      </c>
      <c r="C1793" s="800" t="s">
        <v>3773</v>
      </c>
      <c r="D1793" s="800" t="s">
        <v>20004</v>
      </c>
      <c r="E1793" s="801">
        <v>43070</v>
      </c>
      <c r="F1793" s="800" t="s">
        <v>19999</v>
      </c>
      <c r="G1793" s="800" t="s">
        <v>20000</v>
      </c>
      <c r="H1793" s="800" t="s">
        <v>10396</v>
      </c>
      <c r="I1793" s="800" t="s">
        <v>10396</v>
      </c>
      <c r="J1793" s="800" t="s">
        <v>4342</v>
      </c>
      <c r="K1793" s="800">
        <v>1</v>
      </c>
      <c r="L1793" s="802" t="s">
        <v>10398</v>
      </c>
      <c r="M1793" s="802" t="s">
        <v>20005</v>
      </c>
      <c r="N1793" s="802" t="s">
        <v>20006</v>
      </c>
      <c r="O1793" s="802" t="s">
        <v>20007</v>
      </c>
      <c r="P1793" s="807" t="s">
        <v>20008</v>
      </c>
    </row>
    <row r="1794" spans="1:16" s="341" customFormat="1" ht="15" customHeight="1">
      <c r="A1794" s="806" t="s">
        <v>110</v>
      </c>
      <c r="B1794" s="800" t="s">
        <v>38</v>
      </c>
      <c r="C1794" s="800" t="s">
        <v>3773</v>
      </c>
      <c r="D1794" s="800" t="s">
        <v>20009</v>
      </c>
      <c r="E1794" s="801">
        <v>43070</v>
      </c>
      <c r="F1794" s="800" t="s">
        <v>19999</v>
      </c>
      <c r="G1794" s="800" t="s">
        <v>20010</v>
      </c>
      <c r="H1794" s="800" t="s">
        <v>10531</v>
      </c>
      <c r="I1794" s="800" t="s">
        <v>10531</v>
      </c>
      <c r="J1794" s="800" t="s">
        <v>4342</v>
      </c>
      <c r="K1794" s="800">
        <v>1</v>
      </c>
      <c r="L1794" s="802" t="s">
        <v>10398</v>
      </c>
      <c r="M1794" s="802" t="s">
        <v>20011</v>
      </c>
      <c r="N1794" s="802" t="s">
        <v>20012</v>
      </c>
      <c r="O1794" s="802" t="s">
        <v>20013</v>
      </c>
      <c r="P1794" s="807" t="s">
        <v>20014</v>
      </c>
    </row>
    <row r="1795" spans="1:16" s="341" customFormat="1" ht="25.5" customHeight="1">
      <c r="A1795" s="806" t="s">
        <v>110</v>
      </c>
      <c r="B1795" s="800" t="s">
        <v>38</v>
      </c>
      <c r="C1795" s="800" t="s">
        <v>3773</v>
      </c>
      <c r="D1795" s="800" t="s">
        <v>20015</v>
      </c>
      <c r="E1795" s="801">
        <v>43070</v>
      </c>
      <c r="F1795" s="800" t="s">
        <v>19999</v>
      </c>
      <c r="G1795" s="800" t="s">
        <v>20000</v>
      </c>
      <c r="H1795" s="800" t="s">
        <v>10531</v>
      </c>
      <c r="I1795" s="800" t="s">
        <v>10531</v>
      </c>
      <c r="J1795" s="800" t="s">
        <v>4342</v>
      </c>
      <c r="K1795" s="800">
        <v>1</v>
      </c>
      <c r="L1795" s="802" t="s">
        <v>10398</v>
      </c>
      <c r="M1795" s="802" t="s">
        <v>20016</v>
      </c>
      <c r="N1795" s="802" t="s">
        <v>12369</v>
      </c>
      <c r="O1795" s="802" t="s">
        <v>20017</v>
      </c>
      <c r="P1795" s="807" t="s">
        <v>20018</v>
      </c>
    </row>
    <row r="1796" spans="1:16" s="341" customFormat="1" ht="25.5" customHeight="1">
      <c r="A1796" s="806" t="s">
        <v>110</v>
      </c>
      <c r="B1796" s="800" t="s">
        <v>38</v>
      </c>
      <c r="C1796" s="800" t="s">
        <v>3773</v>
      </c>
      <c r="D1796" s="800" t="s">
        <v>20019</v>
      </c>
      <c r="E1796" s="801">
        <v>43070</v>
      </c>
      <c r="F1796" s="800" t="s">
        <v>19999</v>
      </c>
      <c r="G1796" s="800" t="s">
        <v>20000</v>
      </c>
      <c r="H1796" s="800" t="s">
        <v>10396</v>
      </c>
      <c r="I1796" s="800" t="s">
        <v>10396</v>
      </c>
      <c r="J1796" s="800" t="s">
        <v>4342</v>
      </c>
      <c r="K1796" s="800">
        <v>1</v>
      </c>
      <c r="L1796" s="802" t="s">
        <v>10398</v>
      </c>
      <c r="M1796" s="802" t="s">
        <v>20020</v>
      </c>
      <c r="N1796" s="802" t="s">
        <v>20021</v>
      </c>
      <c r="O1796" s="802" t="s">
        <v>20022</v>
      </c>
      <c r="P1796" s="807" t="s">
        <v>20023</v>
      </c>
    </row>
    <row r="1797" spans="1:16" s="341" customFormat="1" ht="25.5" customHeight="1">
      <c r="A1797" s="806" t="s">
        <v>110</v>
      </c>
      <c r="B1797" s="800" t="s">
        <v>38</v>
      </c>
      <c r="C1797" s="800" t="s">
        <v>3773</v>
      </c>
      <c r="D1797" s="800" t="s">
        <v>20024</v>
      </c>
      <c r="E1797" s="801">
        <v>43069</v>
      </c>
      <c r="F1797" s="800" t="s">
        <v>20025</v>
      </c>
      <c r="G1797" s="800" t="s">
        <v>20026</v>
      </c>
      <c r="H1797" s="800" t="s">
        <v>10531</v>
      </c>
      <c r="I1797" s="800" t="s">
        <v>10531</v>
      </c>
      <c r="J1797" s="800" t="s">
        <v>4342</v>
      </c>
      <c r="K1797" s="800">
        <v>1</v>
      </c>
      <c r="L1797" s="802" t="s">
        <v>10398</v>
      </c>
      <c r="M1797" s="802" t="s">
        <v>20027</v>
      </c>
      <c r="N1797" s="802" t="s">
        <v>20028</v>
      </c>
      <c r="O1797" s="802" t="s">
        <v>20029</v>
      </c>
      <c r="P1797" s="807" t="s">
        <v>20030</v>
      </c>
    </row>
    <row r="1798" spans="1:16" s="341" customFormat="1" ht="25.5" customHeight="1">
      <c r="A1798" s="806" t="s">
        <v>110</v>
      </c>
      <c r="B1798" s="800" t="s">
        <v>38</v>
      </c>
      <c r="C1798" s="800" t="s">
        <v>3773</v>
      </c>
      <c r="D1798" s="800" t="s">
        <v>20031</v>
      </c>
      <c r="E1798" s="801">
        <v>43069</v>
      </c>
      <c r="F1798" s="800" t="s">
        <v>20025</v>
      </c>
      <c r="G1798" s="800" t="s">
        <v>20032</v>
      </c>
      <c r="H1798" s="800" t="s">
        <v>10531</v>
      </c>
      <c r="I1798" s="800" t="s">
        <v>10531</v>
      </c>
      <c r="J1798" s="800" t="s">
        <v>4342</v>
      </c>
      <c r="K1798" s="800">
        <v>1</v>
      </c>
      <c r="L1798" s="802" t="s">
        <v>10398</v>
      </c>
      <c r="M1798" s="802" t="s">
        <v>20033</v>
      </c>
      <c r="N1798" s="802" t="s">
        <v>14490</v>
      </c>
      <c r="O1798" s="802" t="s">
        <v>20034</v>
      </c>
      <c r="P1798" s="807" t="s">
        <v>20035</v>
      </c>
    </row>
    <row r="1799" spans="1:16" s="341" customFormat="1" ht="51" customHeight="1">
      <c r="A1799" s="806" t="s">
        <v>110</v>
      </c>
      <c r="B1799" s="800" t="s">
        <v>38</v>
      </c>
      <c r="C1799" s="800" t="s">
        <v>3773</v>
      </c>
      <c r="D1799" s="800" t="s">
        <v>20036</v>
      </c>
      <c r="E1799" s="801">
        <v>43069</v>
      </c>
      <c r="F1799" s="800" t="s">
        <v>20025</v>
      </c>
      <c r="G1799" s="800" t="s">
        <v>20037</v>
      </c>
      <c r="H1799" s="800" t="s">
        <v>10531</v>
      </c>
      <c r="I1799" s="800" t="s">
        <v>10531</v>
      </c>
      <c r="J1799" s="800" t="s">
        <v>4342</v>
      </c>
      <c r="K1799" s="800">
        <v>1</v>
      </c>
      <c r="L1799" s="802" t="s">
        <v>10398</v>
      </c>
      <c r="M1799" s="802" t="s">
        <v>20038</v>
      </c>
      <c r="N1799" s="802" t="s">
        <v>13037</v>
      </c>
      <c r="O1799" s="802" t="s">
        <v>20039</v>
      </c>
      <c r="P1799" s="807" t="s">
        <v>20040</v>
      </c>
    </row>
    <row r="1800" spans="1:16" s="341" customFormat="1" ht="15" customHeight="1">
      <c r="A1800" s="806" t="s">
        <v>110</v>
      </c>
      <c r="B1800" s="800" t="s">
        <v>38</v>
      </c>
      <c r="C1800" s="800" t="s">
        <v>3773</v>
      </c>
      <c r="D1800" s="800" t="s">
        <v>20041</v>
      </c>
      <c r="E1800" s="801">
        <v>43069</v>
      </c>
      <c r="F1800" s="800" t="s">
        <v>20025</v>
      </c>
      <c r="G1800" s="800" t="s">
        <v>20042</v>
      </c>
      <c r="H1800" s="800" t="s">
        <v>10531</v>
      </c>
      <c r="I1800" s="800" t="s">
        <v>10531</v>
      </c>
      <c r="J1800" s="800" t="s">
        <v>4342</v>
      </c>
      <c r="K1800" s="800">
        <v>1</v>
      </c>
      <c r="L1800" s="802" t="s">
        <v>10398</v>
      </c>
      <c r="M1800" s="802" t="s">
        <v>20043</v>
      </c>
      <c r="N1800" s="802" t="s">
        <v>20044</v>
      </c>
      <c r="O1800" s="802" t="s">
        <v>20045</v>
      </c>
      <c r="P1800" s="807" t="s">
        <v>20046</v>
      </c>
    </row>
    <row r="1801" spans="1:16" s="341" customFormat="1" ht="25.5" customHeight="1">
      <c r="A1801" s="806" t="s">
        <v>110</v>
      </c>
      <c r="B1801" s="800" t="s">
        <v>38</v>
      </c>
      <c r="C1801" s="800" t="s">
        <v>3773</v>
      </c>
      <c r="D1801" s="800" t="s">
        <v>20047</v>
      </c>
      <c r="E1801" s="801">
        <v>43069</v>
      </c>
      <c r="F1801" s="800" t="s">
        <v>20025</v>
      </c>
      <c r="G1801" s="800" t="s">
        <v>20048</v>
      </c>
      <c r="H1801" s="800" t="s">
        <v>10531</v>
      </c>
      <c r="I1801" s="800" t="s">
        <v>10531</v>
      </c>
      <c r="J1801" s="800" t="s">
        <v>4342</v>
      </c>
      <c r="K1801" s="800">
        <v>1</v>
      </c>
      <c r="L1801" s="802" t="s">
        <v>10398</v>
      </c>
      <c r="M1801" s="802" t="s">
        <v>20049</v>
      </c>
      <c r="N1801" s="802" t="s">
        <v>20050</v>
      </c>
      <c r="O1801" s="802" t="s">
        <v>20045</v>
      </c>
      <c r="P1801" s="807" t="s">
        <v>20051</v>
      </c>
    </row>
    <row r="1802" spans="1:16" s="341" customFormat="1" ht="25.5" customHeight="1">
      <c r="A1802" s="806" t="s">
        <v>110</v>
      </c>
      <c r="B1802" s="800" t="s">
        <v>38</v>
      </c>
      <c r="C1802" s="800" t="s">
        <v>3773</v>
      </c>
      <c r="D1802" s="800" t="s">
        <v>20052</v>
      </c>
      <c r="E1802" s="801">
        <v>43069</v>
      </c>
      <c r="F1802" s="800" t="s">
        <v>20025</v>
      </c>
      <c r="G1802" s="800" t="s">
        <v>20048</v>
      </c>
      <c r="H1802" s="800" t="s">
        <v>10531</v>
      </c>
      <c r="I1802" s="800" t="s">
        <v>10531</v>
      </c>
      <c r="J1802" s="800" t="s">
        <v>4342</v>
      </c>
      <c r="K1802" s="800">
        <v>1</v>
      </c>
      <c r="L1802" s="802" t="s">
        <v>10398</v>
      </c>
      <c r="M1802" s="802" t="s">
        <v>20053</v>
      </c>
      <c r="N1802" s="802" t="s">
        <v>13777</v>
      </c>
      <c r="O1802" s="802" t="s">
        <v>20054</v>
      </c>
      <c r="P1802" s="807" t="s">
        <v>20055</v>
      </c>
    </row>
    <row r="1803" spans="1:16" s="341" customFormat="1" ht="38.25" customHeight="1">
      <c r="A1803" s="806" t="s">
        <v>110</v>
      </c>
      <c r="B1803" s="800" t="s">
        <v>38</v>
      </c>
      <c r="C1803" s="800" t="s">
        <v>3773</v>
      </c>
      <c r="D1803" s="800" t="s">
        <v>20056</v>
      </c>
      <c r="E1803" s="801">
        <v>43069</v>
      </c>
      <c r="F1803" s="800" t="s">
        <v>20025</v>
      </c>
      <c r="G1803" s="800" t="s">
        <v>20057</v>
      </c>
      <c r="H1803" s="800" t="s">
        <v>10531</v>
      </c>
      <c r="I1803" s="800" t="s">
        <v>10531</v>
      </c>
      <c r="J1803" s="800" t="s">
        <v>4342</v>
      </c>
      <c r="K1803" s="800">
        <v>1</v>
      </c>
      <c r="L1803" s="802" t="s">
        <v>10398</v>
      </c>
      <c r="M1803" s="802" t="s">
        <v>20058</v>
      </c>
      <c r="N1803" s="802" t="s">
        <v>20059</v>
      </c>
      <c r="O1803" s="802" t="s">
        <v>20060</v>
      </c>
      <c r="P1803" s="807" t="s">
        <v>20061</v>
      </c>
    </row>
    <row r="1804" spans="1:16" s="341" customFormat="1" ht="15" customHeight="1">
      <c r="A1804" s="806" t="s">
        <v>110</v>
      </c>
      <c r="B1804" s="800" t="s">
        <v>38</v>
      </c>
      <c r="C1804" s="800" t="s">
        <v>3773</v>
      </c>
      <c r="D1804" s="800" t="s">
        <v>20062</v>
      </c>
      <c r="E1804" s="801">
        <v>43069</v>
      </c>
      <c r="F1804" s="800" t="s">
        <v>20025</v>
      </c>
      <c r="G1804" s="800" t="s">
        <v>20063</v>
      </c>
      <c r="H1804" s="800" t="s">
        <v>10531</v>
      </c>
      <c r="I1804" s="800" t="s">
        <v>10531</v>
      </c>
      <c r="J1804" s="800" t="s">
        <v>4342</v>
      </c>
      <c r="K1804" s="800">
        <v>2</v>
      </c>
      <c r="L1804" s="802" t="s">
        <v>10398</v>
      </c>
      <c r="M1804" s="802" t="s">
        <v>20064</v>
      </c>
      <c r="N1804" s="802" t="s">
        <v>10808</v>
      </c>
      <c r="O1804" s="802" t="s">
        <v>20065</v>
      </c>
      <c r="P1804" s="807" t="s">
        <v>20066</v>
      </c>
    </row>
    <row r="1805" spans="1:16" s="341" customFormat="1" ht="15" customHeight="1">
      <c r="A1805" s="806" t="s">
        <v>110</v>
      </c>
      <c r="B1805" s="800" t="s">
        <v>38</v>
      </c>
      <c r="C1805" s="800" t="s">
        <v>3773</v>
      </c>
      <c r="D1805" s="800" t="s">
        <v>20062</v>
      </c>
      <c r="E1805" s="801">
        <v>43069</v>
      </c>
      <c r="F1805" s="800" t="s">
        <v>20025</v>
      </c>
      <c r="G1805" s="800" t="s">
        <v>20063</v>
      </c>
      <c r="H1805" s="800" t="s">
        <v>10531</v>
      </c>
      <c r="I1805" s="800" t="s">
        <v>10531</v>
      </c>
      <c r="J1805" s="800" t="s">
        <v>4342</v>
      </c>
      <c r="K1805" s="800">
        <v>2</v>
      </c>
      <c r="L1805" s="802" t="s">
        <v>10398</v>
      </c>
      <c r="M1805" s="802" t="s">
        <v>20067</v>
      </c>
      <c r="N1805" s="802" t="s">
        <v>20068</v>
      </c>
      <c r="O1805" s="802" t="s">
        <v>20065</v>
      </c>
      <c r="P1805" s="807" t="s">
        <v>20066</v>
      </c>
    </row>
    <row r="1806" spans="1:16" s="341" customFormat="1" ht="15" customHeight="1">
      <c r="A1806" s="806" t="s">
        <v>110</v>
      </c>
      <c r="B1806" s="800" t="s">
        <v>38</v>
      </c>
      <c r="C1806" s="800" t="s">
        <v>3773</v>
      </c>
      <c r="D1806" s="800" t="s">
        <v>20069</v>
      </c>
      <c r="E1806" s="801">
        <v>43068</v>
      </c>
      <c r="F1806" s="800" t="s">
        <v>20025</v>
      </c>
      <c r="G1806" s="800" t="s">
        <v>20070</v>
      </c>
      <c r="H1806" s="800" t="s">
        <v>10396</v>
      </c>
      <c r="I1806" s="800" t="s">
        <v>10396</v>
      </c>
      <c r="J1806" s="800" t="s">
        <v>4342</v>
      </c>
      <c r="K1806" s="800">
        <v>1</v>
      </c>
      <c r="L1806" s="802" t="s">
        <v>10398</v>
      </c>
      <c r="M1806" s="802" t="s">
        <v>20071</v>
      </c>
      <c r="N1806" s="802" t="s">
        <v>11005</v>
      </c>
      <c r="O1806" s="802" t="s">
        <v>20072</v>
      </c>
      <c r="P1806" s="807" t="s">
        <v>20073</v>
      </c>
    </row>
    <row r="1807" spans="1:16" s="341" customFormat="1" ht="15" customHeight="1">
      <c r="A1807" s="806" t="s">
        <v>110</v>
      </c>
      <c r="B1807" s="800" t="s">
        <v>38</v>
      </c>
      <c r="C1807" s="800" t="s">
        <v>3773</v>
      </c>
      <c r="D1807" s="800" t="s">
        <v>20074</v>
      </c>
      <c r="E1807" s="801">
        <v>43068</v>
      </c>
      <c r="F1807" s="800" t="s">
        <v>20025</v>
      </c>
      <c r="G1807" s="800" t="s">
        <v>20075</v>
      </c>
      <c r="H1807" s="800" t="s">
        <v>10531</v>
      </c>
      <c r="I1807" s="800" t="s">
        <v>10531</v>
      </c>
      <c r="J1807" s="800" t="s">
        <v>4342</v>
      </c>
      <c r="K1807" s="800">
        <v>1</v>
      </c>
      <c r="L1807" s="802" t="s">
        <v>10398</v>
      </c>
      <c r="M1807" s="802" t="s">
        <v>20076</v>
      </c>
      <c r="N1807" s="802" t="s">
        <v>20077</v>
      </c>
      <c r="O1807" s="802" t="s">
        <v>20078</v>
      </c>
      <c r="P1807" s="807" t="s">
        <v>20079</v>
      </c>
    </row>
    <row r="1808" spans="1:16" s="341" customFormat="1" ht="15" customHeight="1">
      <c r="A1808" s="806" t="s">
        <v>110</v>
      </c>
      <c r="B1808" s="800" t="s">
        <v>38</v>
      </c>
      <c r="C1808" s="800" t="s">
        <v>3773</v>
      </c>
      <c r="D1808" s="800" t="s">
        <v>20080</v>
      </c>
      <c r="E1808" s="801">
        <v>43068</v>
      </c>
      <c r="F1808" s="800" t="s">
        <v>20025</v>
      </c>
      <c r="G1808" s="800" t="s">
        <v>20081</v>
      </c>
      <c r="H1808" s="800" t="s">
        <v>10531</v>
      </c>
      <c r="I1808" s="800" t="s">
        <v>10531</v>
      </c>
      <c r="J1808" s="800" t="s">
        <v>4342</v>
      </c>
      <c r="K1808" s="800">
        <v>1</v>
      </c>
      <c r="L1808" s="802" t="s">
        <v>10398</v>
      </c>
      <c r="M1808" s="802" t="s">
        <v>20082</v>
      </c>
      <c r="N1808" s="802" t="s">
        <v>11990</v>
      </c>
      <c r="O1808" s="802" t="s">
        <v>20045</v>
      </c>
      <c r="P1808" s="807" t="s">
        <v>20083</v>
      </c>
    </row>
    <row r="1809" spans="1:16" s="341" customFormat="1" ht="15" customHeight="1">
      <c r="A1809" s="806" t="s">
        <v>110</v>
      </c>
      <c r="B1809" s="800" t="s">
        <v>38</v>
      </c>
      <c r="C1809" s="800" t="s">
        <v>3773</v>
      </c>
      <c r="D1809" s="800" t="s">
        <v>20084</v>
      </c>
      <c r="E1809" s="801">
        <v>43068</v>
      </c>
      <c r="F1809" s="800" t="s">
        <v>20025</v>
      </c>
      <c r="G1809" s="800" t="s">
        <v>20085</v>
      </c>
      <c r="H1809" s="800" t="s">
        <v>10531</v>
      </c>
      <c r="I1809" s="800" t="s">
        <v>10531</v>
      </c>
      <c r="J1809" s="800" t="s">
        <v>4342</v>
      </c>
      <c r="K1809" s="800">
        <v>1</v>
      </c>
      <c r="L1809" s="802" t="s">
        <v>10398</v>
      </c>
      <c r="M1809" s="802" t="s">
        <v>20086</v>
      </c>
      <c r="N1809" s="802" t="s">
        <v>10435</v>
      </c>
      <c r="O1809" s="802" t="s">
        <v>20087</v>
      </c>
      <c r="P1809" s="807" t="s">
        <v>20088</v>
      </c>
    </row>
    <row r="1810" spans="1:16" s="341" customFormat="1" ht="15" customHeight="1">
      <c r="A1810" s="806" t="s">
        <v>110</v>
      </c>
      <c r="B1810" s="800" t="s">
        <v>38</v>
      </c>
      <c r="C1810" s="800" t="s">
        <v>3773</v>
      </c>
      <c r="D1810" s="800" t="s">
        <v>20089</v>
      </c>
      <c r="E1810" s="801">
        <v>43068</v>
      </c>
      <c r="F1810" s="800" t="s">
        <v>20025</v>
      </c>
      <c r="G1810" s="800" t="s">
        <v>20090</v>
      </c>
      <c r="H1810" s="800" t="s">
        <v>10531</v>
      </c>
      <c r="I1810" s="800" t="s">
        <v>10531</v>
      </c>
      <c r="J1810" s="800" t="s">
        <v>4342</v>
      </c>
      <c r="K1810" s="800">
        <v>1</v>
      </c>
      <c r="L1810" s="802" t="s">
        <v>10398</v>
      </c>
      <c r="M1810" s="802" t="s">
        <v>20091</v>
      </c>
      <c r="N1810" s="802" t="s">
        <v>16577</v>
      </c>
      <c r="O1810" s="802" t="s">
        <v>20092</v>
      </c>
      <c r="P1810" s="807" t="s">
        <v>20093</v>
      </c>
    </row>
    <row r="1811" spans="1:16" s="341" customFormat="1" ht="15" customHeight="1">
      <c r="A1811" s="806" t="s">
        <v>110</v>
      </c>
      <c r="B1811" s="800" t="s">
        <v>38</v>
      </c>
      <c r="C1811" s="800" t="s">
        <v>3773</v>
      </c>
      <c r="D1811" s="800" t="s">
        <v>20094</v>
      </c>
      <c r="E1811" s="801">
        <v>43068</v>
      </c>
      <c r="F1811" s="800" t="s">
        <v>20025</v>
      </c>
      <c r="G1811" s="800" t="s">
        <v>20095</v>
      </c>
      <c r="H1811" s="800" t="s">
        <v>10531</v>
      </c>
      <c r="I1811" s="800" t="s">
        <v>10531</v>
      </c>
      <c r="J1811" s="800" t="s">
        <v>4342</v>
      </c>
      <c r="K1811" s="800">
        <v>1</v>
      </c>
      <c r="L1811" s="802" t="s">
        <v>10398</v>
      </c>
      <c r="M1811" s="802" t="s">
        <v>20096</v>
      </c>
      <c r="N1811" s="802" t="s">
        <v>16330</v>
      </c>
      <c r="O1811" s="802" t="s">
        <v>20097</v>
      </c>
      <c r="P1811" s="807" t="s">
        <v>20098</v>
      </c>
    </row>
    <row r="1812" spans="1:16" s="341" customFormat="1" ht="15" customHeight="1">
      <c r="A1812" s="806" t="s">
        <v>110</v>
      </c>
      <c r="B1812" s="800" t="s">
        <v>38</v>
      </c>
      <c r="C1812" s="800" t="s">
        <v>3773</v>
      </c>
      <c r="D1812" s="800" t="s">
        <v>20099</v>
      </c>
      <c r="E1812" s="801">
        <v>43068</v>
      </c>
      <c r="F1812" s="800" t="s">
        <v>20025</v>
      </c>
      <c r="G1812" s="800" t="s">
        <v>20095</v>
      </c>
      <c r="H1812" s="800" t="s">
        <v>10531</v>
      </c>
      <c r="I1812" s="800" t="s">
        <v>10531</v>
      </c>
      <c r="J1812" s="800" t="s">
        <v>4342</v>
      </c>
      <c r="K1812" s="800">
        <v>1</v>
      </c>
      <c r="L1812" s="802" t="s">
        <v>10398</v>
      </c>
      <c r="M1812" s="802" t="s">
        <v>20100</v>
      </c>
      <c r="N1812" s="802" t="s">
        <v>20101</v>
      </c>
      <c r="O1812" s="802" t="s">
        <v>20102</v>
      </c>
      <c r="P1812" s="807" t="s">
        <v>32</v>
      </c>
    </row>
    <row r="1813" spans="1:16" s="341" customFormat="1" ht="25.5" customHeight="1">
      <c r="A1813" s="806" t="s">
        <v>110</v>
      </c>
      <c r="B1813" s="800" t="s">
        <v>38</v>
      </c>
      <c r="C1813" s="800" t="s">
        <v>3773</v>
      </c>
      <c r="D1813" s="800" t="s">
        <v>20103</v>
      </c>
      <c r="E1813" s="801">
        <v>43068</v>
      </c>
      <c r="F1813" s="800" t="s">
        <v>20025</v>
      </c>
      <c r="G1813" s="800" t="s">
        <v>20104</v>
      </c>
      <c r="H1813" s="800" t="s">
        <v>10531</v>
      </c>
      <c r="I1813" s="800" t="s">
        <v>10531</v>
      </c>
      <c r="J1813" s="800" t="s">
        <v>4342</v>
      </c>
      <c r="K1813" s="800">
        <v>1</v>
      </c>
      <c r="L1813" s="802" t="s">
        <v>10398</v>
      </c>
      <c r="M1813" s="802" t="s">
        <v>32</v>
      </c>
      <c r="N1813" s="802" t="s">
        <v>19752</v>
      </c>
      <c r="O1813" s="802" t="s">
        <v>32</v>
      </c>
      <c r="P1813" s="807" t="s">
        <v>32</v>
      </c>
    </row>
    <row r="1814" spans="1:16" s="341" customFormat="1" ht="25.5" customHeight="1">
      <c r="A1814" s="806" t="s">
        <v>110</v>
      </c>
      <c r="B1814" s="800" t="s">
        <v>38</v>
      </c>
      <c r="C1814" s="800" t="s">
        <v>3773</v>
      </c>
      <c r="D1814" s="800" t="s">
        <v>20105</v>
      </c>
      <c r="E1814" s="801">
        <v>43068</v>
      </c>
      <c r="F1814" s="800" t="s">
        <v>20025</v>
      </c>
      <c r="G1814" s="800" t="s">
        <v>20095</v>
      </c>
      <c r="H1814" s="800" t="s">
        <v>10531</v>
      </c>
      <c r="I1814" s="800" t="s">
        <v>10531</v>
      </c>
      <c r="J1814" s="800" t="s">
        <v>4342</v>
      </c>
      <c r="K1814" s="800">
        <v>1</v>
      </c>
      <c r="L1814" s="802" t="s">
        <v>10398</v>
      </c>
      <c r="M1814" s="802" t="s">
        <v>20106</v>
      </c>
      <c r="N1814" s="802" t="s">
        <v>15889</v>
      </c>
      <c r="O1814" s="802" t="s">
        <v>20107</v>
      </c>
      <c r="P1814" s="807" t="s">
        <v>32</v>
      </c>
    </row>
    <row r="1815" spans="1:16" s="341" customFormat="1" ht="25.5" customHeight="1">
      <c r="A1815" s="806" t="s">
        <v>110</v>
      </c>
      <c r="B1815" s="800" t="s">
        <v>38</v>
      </c>
      <c r="C1815" s="800" t="s">
        <v>3773</v>
      </c>
      <c r="D1815" s="800" t="s">
        <v>20108</v>
      </c>
      <c r="E1815" s="801">
        <v>43068</v>
      </c>
      <c r="F1815" s="800" t="s">
        <v>20025</v>
      </c>
      <c r="G1815" s="800" t="s">
        <v>20109</v>
      </c>
      <c r="H1815" s="800" t="s">
        <v>10396</v>
      </c>
      <c r="I1815" s="800" t="s">
        <v>10396</v>
      </c>
      <c r="J1815" s="800" t="s">
        <v>4342</v>
      </c>
      <c r="K1815" s="800">
        <v>1</v>
      </c>
      <c r="L1815" s="802" t="s">
        <v>10398</v>
      </c>
      <c r="M1815" s="802" t="s">
        <v>20110</v>
      </c>
      <c r="N1815" s="802" t="s">
        <v>20111</v>
      </c>
      <c r="O1815" s="802" t="s">
        <v>20112</v>
      </c>
      <c r="P1815" s="807" t="s">
        <v>20113</v>
      </c>
    </row>
    <row r="1816" spans="1:16" s="341" customFormat="1" ht="25.5" customHeight="1">
      <c r="A1816" s="806" t="s">
        <v>110</v>
      </c>
      <c r="B1816" s="800" t="s">
        <v>38</v>
      </c>
      <c r="C1816" s="800" t="s">
        <v>3773</v>
      </c>
      <c r="D1816" s="800" t="s">
        <v>20114</v>
      </c>
      <c r="E1816" s="801">
        <v>43068</v>
      </c>
      <c r="F1816" s="800" t="s">
        <v>20025</v>
      </c>
      <c r="G1816" s="800" t="s">
        <v>20115</v>
      </c>
      <c r="H1816" s="800" t="s">
        <v>10531</v>
      </c>
      <c r="I1816" s="800" t="s">
        <v>10531</v>
      </c>
      <c r="J1816" s="800" t="s">
        <v>4342</v>
      </c>
      <c r="K1816" s="800">
        <v>1</v>
      </c>
      <c r="L1816" s="802" t="s">
        <v>10398</v>
      </c>
      <c r="M1816" s="802" t="s">
        <v>20116</v>
      </c>
      <c r="N1816" s="802" t="s">
        <v>20117</v>
      </c>
      <c r="O1816" s="802" t="s">
        <v>20097</v>
      </c>
      <c r="P1816" s="807" t="s">
        <v>20118</v>
      </c>
    </row>
    <row r="1817" spans="1:16" s="341" customFormat="1" ht="25.5" customHeight="1">
      <c r="A1817" s="806" t="s">
        <v>110</v>
      </c>
      <c r="B1817" s="800" t="s">
        <v>38</v>
      </c>
      <c r="C1817" s="800" t="s">
        <v>3773</v>
      </c>
      <c r="D1817" s="800" t="s">
        <v>20119</v>
      </c>
      <c r="E1817" s="801">
        <v>43068</v>
      </c>
      <c r="F1817" s="800" t="s">
        <v>20025</v>
      </c>
      <c r="G1817" s="800" t="s">
        <v>20120</v>
      </c>
      <c r="H1817" s="800" t="s">
        <v>10531</v>
      </c>
      <c r="I1817" s="800" t="s">
        <v>10531</v>
      </c>
      <c r="J1817" s="800" t="s">
        <v>4342</v>
      </c>
      <c r="K1817" s="800">
        <v>1</v>
      </c>
      <c r="L1817" s="802" t="s">
        <v>10398</v>
      </c>
      <c r="M1817" s="802" t="s">
        <v>20121</v>
      </c>
      <c r="N1817" s="802" t="s">
        <v>11220</v>
      </c>
      <c r="O1817" s="802" t="s">
        <v>20122</v>
      </c>
      <c r="P1817" s="807" t="s">
        <v>20123</v>
      </c>
    </row>
    <row r="1818" spans="1:16" s="341" customFormat="1" ht="25.5" customHeight="1">
      <c r="A1818" s="806" t="s">
        <v>110</v>
      </c>
      <c r="B1818" s="800" t="s">
        <v>38</v>
      </c>
      <c r="C1818" s="800" t="s">
        <v>3773</v>
      </c>
      <c r="D1818" s="800" t="s">
        <v>20124</v>
      </c>
      <c r="E1818" s="801">
        <v>43068</v>
      </c>
      <c r="F1818" s="800" t="s">
        <v>20025</v>
      </c>
      <c r="G1818" s="800" t="s">
        <v>20070</v>
      </c>
      <c r="H1818" s="800" t="s">
        <v>10396</v>
      </c>
      <c r="I1818" s="800" t="s">
        <v>10396</v>
      </c>
      <c r="J1818" s="800" t="s">
        <v>4342</v>
      </c>
      <c r="K1818" s="800">
        <v>1</v>
      </c>
      <c r="L1818" s="802" t="s">
        <v>10398</v>
      </c>
      <c r="M1818" s="802" t="s">
        <v>20125</v>
      </c>
      <c r="N1818" s="802" t="s">
        <v>10705</v>
      </c>
      <c r="O1818" s="802" t="s">
        <v>20126</v>
      </c>
      <c r="P1818" s="807" t="s">
        <v>32</v>
      </c>
    </row>
    <row r="1819" spans="1:16" s="341" customFormat="1" ht="15" customHeight="1">
      <c r="A1819" s="806" t="s">
        <v>110</v>
      </c>
      <c r="B1819" s="800" t="s">
        <v>38</v>
      </c>
      <c r="C1819" s="800" t="s">
        <v>3773</v>
      </c>
      <c r="D1819" s="800" t="s">
        <v>20127</v>
      </c>
      <c r="E1819" s="801">
        <v>43068</v>
      </c>
      <c r="F1819" s="800" t="s">
        <v>20025</v>
      </c>
      <c r="G1819" s="800" t="s">
        <v>20128</v>
      </c>
      <c r="H1819" s="800" t="s">
        <v>10531</v>
      </c>
      <c r="I1819" s="800" t="s">
        <v>10531</v>
      </c>
      <c r="J1819" s="800" t="s">
        <v>4342</v>
      </c>
      <c r="K1819" s="800">
        <v>1</v>
      </c>
      <c r="L1819" s="802" t="s">
        <v>10398</v>
      </c>
      <c r="M1819" s="802" t="s">
        <v>20129</v>
      </c>
      <c r="N1819" s="802" t="s">
        <v>20130</v>
      </c>
      <c r="O1819" s="802" t="s">
        <v>20131</v>
      </c>
      <c r="P1819" s="807" t="s">
        <v>20132</v>
      </c>
    </row>
    <row r="1820" spans="1:16" s="341" customFormat="1" ht="15" customHeight="1">
      <c r="A1820" s="806" t="s">
        <v>110</v>
      </c>
      <c r="B1820" s="800" t="s">
        <v>38</v>
      </c>
      <c r="C1820" s="800" t="s">
        <v>3773</v>
      </c>
      <c r="D1820" s="800" t="s">
        <v>20133</v>
      </c>
      <c r="E1820" s="801">
        <v>43068</v>
      </c>
      <c r="F1820" s="800" t="s">
        <v>20025</v>
      </c>
      <c r="G1820" s="800" t="s">
        <v>20134</v>
      </c>
      <c r="H1820" s="800" t="s">
        <v>10531</v>
      </c>
      <c r="I1820" s="800" t="s">
        <v>10531</v>
      </c>
      <c r="J1820" s="800" t="s">
        <v>4342</v>
      </c>
      <c r="K1820" s="800">
        <v>1</v>
      </c>
      <c r="L1820" s="802" t="s">
        <v>10398</v>
      </c>
      <c r="M1820" s="802" t="s">
        <v>20135</v>
      </c>
      <c r="N1820" s="802" t="s">
        <v>20136</v>
      </c>
      <c r="O1820" s="802" t="s">
        <v>20137</v>
      </c>
      <c r="P1820" s="807" t="s">
        <v>20138</v>
      </c>
    </row>
    <row r="1821" spans="1:16" s="341" customFormat="1" ht="25.5" customHeight="1">
      <c r="A1821" s="806" t="s">
        <v>110</v>
      </c>
      <c r="B1821" s="800" t="s">
        <v>38</v>
      </c>
      <c r="C1821" s="800" t="s">
        <v>3773</v>
      </c>
      <c r="D1821" s="800" t="s">
        <v>20139</v>
      </c>
      <c r="E1821" s="801">
        <v>43068</v>
      </c>
      <c r="F1821" s="800" t="s">
        <v>20025</v>
      </c>
      <c r="G1821" s="800" t="s">
        <v>20140</v>
      </c>
      <c r="H1821" s="800" t="s">
        <v>10531</v>
      </c>
      <c r="I1821" s="800" t="s">
        <v>10531</v>
      </c>
      <c r="J1821" s="800" t="s">
        <v>4342</v>
      </c>
      <c r="K1821" s="800">
        <v>1</v>
      </c>
      <c r="L1821" s="802" t="s">
        <v>10398</v>
      </c>
      <c r="M1821" s="802" t="s">
        <v>20141</v>
      </c>
      <c r="N1821" s="802" t="s">
        <v>20142</v>
      </c>
      <c r="O1821" s="802" t="s">
        <v>20143</v>
      </c>
      <c r="P1821" s="807" t="s">
        <v>20144</v>
      </c>
    </row>
    <row r="1822" spans="1:16" s="341" customFormat="1" ht="25.5" customHeight="1">
      <c r="A1822" s="806" t="s">
        <v>110</v>
      </c>
      <c r="B1822" s="800" t="s">
        <v>38</v>
      </c>
      <c r="C1822" s="800" t="s">
        <v>3773</v>
      </c>
      <c r="D1822" s="800" t="s">
        <v>20145</v>
      </c>
      <c r="E1822" s="801">
        <v>43068</v>
      </c>
      <c r="F1822" s="800" t="s">
        <v>20025</v>
      </c>
      <c r="G1822" s="800" t="s">
        <v>20146</v>
      </c>
      <c r="H1822" s="800" t="s">
        <v>10531</v>
      </c>
      <c r="I1822" s="800" t="s">
        <v>10531</v>
      </c>
      <c r="J1822" s="800" t="s">
        <v>10405</v>
      </c>
      <c r="K1822" s="800">
        <v>1</v>
      </c>
      <c r="L1822" s="802" t="s">
        <v>10398</v>
      </c>
      <c r="M1822" s="802" t="s">
        <v>20147</v>
      </c>
      <c r="N1822" s="802" t="s">
        <v>16437</v>
      </c>
      <c r="O1822" s="802" t="s">
        <v>20148</v>
      </c>
      <c r="P1822" s="807" t="s">
        <v>20149</v>
      </c>
    </row>
    <row r="1823" spans="1:16" s="341" customFormat="1" ht="25.5" customHeight="1">
      <c r="A1823" s="806" t="s">
        <v>110</v>
      </c>
      <c r="B1823" s="800" t="s">
        <v>38</v>
      </c>
      <c r="C1823" s="800" t="s">
        <v>3773</v>
      </c>
      <c r="D1823" s="800" t="s">
        <v>20150</v>
      </c>
      <c r="E1823" s="801">
        <v>43068</v>
      </c>
      <c r="F1823" s="800" t="s">
        <v>20025</v>
      </c>
      <c r="G1823" s="800" t="s">
        <v>20151</v>
      </c>
      <c r="H1823" s="800" t="s">
        <v>10531</v>
      </c>
      <c r="I1823" s="800" t="s">
        <v>10531</v>
      </c>
      <c r="J1823" s="800" t="s">
        <v>10405</v>
      </c>
      <c r="K1823" s="800">
        <v>1</v>
      </c>
      <c r="L1823" s="802" t="s">
        <v>10398</v>
      </c>
      <c r="M1823" s="802" t="s">
        <v>20152</v>
      </c>
      <c r="N1823" s="802" t="s">
        <v>20153</v>
      </c>
      <c r="O1823" s="802" t="s">
        <v>20154</v>
      </c>
      <c r="P1823" s="807" t="s">
        <v>20144</v>
      </c>
    </row>
    <row r="1824" spans="1:16" s="341" customFormat="1" ht="15" customHeight="1">
      <c r="A1824" s="806" t="s">
        <v>110</v>
      </c>
      <c r="B1824" s="800" t="s">
        <v>38</v>
      </c>
      <c r="C1824" s="800" t="s">
        <v>3773</v>
      </c>
      <c r="D1824" s="800" t="s">
        <v>20155</v>
      </c>
      <c r="E1824" s="801">
        <v>43068</v>
      </c>
      <c r="F1824" s="800" t="s">
        <v>20025</v>
      </c>
      <c r="G1824" s="800" t="s">
        <v>20156</v>
      </c>
      <c r="H1824" s="800" t="s">
        <v>10396</v>
      </c>
      <c r="I1824" s="800" t="s">
        <v>10396</v>
      </c>
      <c r="J1824" s="800" t="s">
        <v>4342</v>
      </c>
      <c r="K1824" s="800">
        <v>1</v>
      </c>
      <c r="L1824" s="802" t="s">
        <v>10398</v>
      </c>
      <c r="M1824" s="802" t="s">
        <v>20157</v>
      </c>
      <c r="N1824" s="802" t="s">
        <v>20158</v>
      </c>
      <c r="O1824" s="802" t="s">
        <v>20159</v>
      </c>
      <c r="P1824" s="807" t="s">
        <v>20160</v>
      </c>
    </row>
    <row r="1825" spans="1:16" s="341" customFormat="1" ht="25.5" customHeight="1">
      <c r="A1825" s="806" t="s">
        <v>110</v>
      </c>
      <c r="B1825" s="800" t="s">
        <v>38</v>
      </c>
      <c r="C1825" s="800" t="s">
        <v>3773</v>
      </c>
      <c r="D1825" s="800" t="s">
        <v>20161</v>
      </c>
      <c r="E1825" s="801">
        <v>43068</v>
      </c>
      <c r="F1825" s="800" t="s">
        <v>20025</v>
      </c>
      <c r="G1825" s="800" t="s">
        <v>20162</v>
      </c>
      <c r="H1825" s="800" t="s">
        <v>10404</v>
      </c>
      <c r="I1825" s="800" t="s">
        <v>10404</v>
      </c>
      <c r="J1825" s="800" t="s">
        <v>4342</v>
      </c>
      <c r="K1825" s="800">
        <v>1</v>
      </c>
      <c r="L1825" s="802" t="s">
        <v>10398</v>
      </c>
      <c r="M1825" s="802" t="s">
        <v>20163</v>
      </c>
      <c r="N1825" s="802" t="s">
        <v>20164</v>
      </c>
      <c r="O1825" s="802" t="s">
        <v>20165</v>
      </c>
      <c r="P1825" s="807" t="s">
        <v>20166</v>
      </c>
    </row>
    <row r="1826" spans="1:16" s="341" customFormat="1" ht="25.5" customHeight="1">
      <c r="A1826" s="806" t="s">
        <v>110</v>
      </c>
      <c r="B1826" s="800" t="s">
        <v>38</v>
      </c>
      <c r="C1826" s="800" t="s">
        <v>3773</v>
      </c>
      <c r="D1826" s="800" t="s">
        <v>20167</v>
      </c>
      <c r="E1826" s="801">
        <v>43068</v>
      </c>
      <c r="F1826" s="800" t="s">
        <v>20025</v>
      </c>
      <c r="G1826" s="800" t="s">
        <v>20070</v>
      </c>
      <c r="H1826" s="800" t="s">
        <v>10531</v>
      </c>
      <c r="I1826" s="800" t="s">
        <v>10531</v>
      </c>
      <c r="J1826" s="800" t="s">
        <v>4342</v>
      </c>
      <c r="K1826" s="800">
        <v>1</v>
      </c>
      <c r="L1826" s="802" t="s">
        <v>10398</v>
      </c>
      <c r="M1826" s="802" t="s">
        <v>20168</v>
      </c>
      <c r="N1826" s="802" t="s">
        <v>20169</v>
      </c>
      <c r="O1826" s="802" t="s">
        <v>20170</v>
      </c>
      <c r="P1826" s="807" t="s">
        <v>20171</v>
      </c>
    </row>
    <row r="1827" spans="1:16" s="341" customFormat="1" ht="25.5" customHeight="1">
      <c r="A1827" s="806" t="s">
        <v>110</v>
      </c>
      <c r="B1827" s="800" t="s">
        <v>38</v>
      </c>
      <c r="C1827" s="800" t="s">
        <v>3773</v>
      </c>
      <c r="D1827" s="800" t="s">
        <v>20172</v>
      </c>
      <c r="E1827" s="801">
        <v>43068</v>
      </c>
      <c r="F1827" s="800" t="s">
        <v>20025</v>
      </c>
      <c r="G1827" s="800" t="s">
        <v>20070</v>
      </c>
      <c r="H1827" s="800" t="s">
        <v>10531</v>
      </c>
      <c r="I1827" s="800" t="s">
        <v>10531</v>
      </c>
      <c r="J1827" s="800" t="s">
        <v>4342</v>
      </c>
      <c r="K1827" s="800">
        <v>1</v>
      </c>
      <c r="L1827" s="802" t="s">
        <v>10398</v>
      </c>
      <c r="M1827" s="802" t="s">
        <v>20173</v>
      </c>
      <c r="N1827" s="802" t="s">
        <v>20174</v>
      </c>
      <c r="O1827" s="802" t="s">
        <v>20175</v>
      </c>
      <c r="P1827" s="807" t="s">
        <v>20176</v>
      </c>
    </row>
    <row r="1828" spans="1:16" s="341" customFormat="1" ht="25.5" customHeight="1">
      <c r="A1828" s="806" t="s">
        <v>110</v>
      </c>
      <c r="B1828" s="800" t="s">
        <v>38</v>
      </c>
      <c r="C1828" s="800" t="s">
        <v>3773</v>
      </c>
      <c r="D1828" s="800" t="s">
        <v>20177</v>
      </c>
      <c r="E1828" s="801">
        <v>43068</v>
      </c>
      <c r="F1828" s="800" t="s">
        <v>20025</v>
      </c>
      <c r="G1828" s="800" t="s">
        <v>20070</v>
      </c>
      <c r="H1828" s="800" t="s">
        <v>10531</v>
      </c>
      <c r="I1828" s="800" t="s">
        <v>10531</v>
      </c>
      <c r="J1828" s="800" t="s">
        <v>10447</v>
      </c>
      <c r="K1828" s="800">
        <v>1</v>
      </c>
      <c r="L1828" s="802" t="s">
        <v>10398</v>
      </c>
      <c r="M1828" s="802" t="s">
        <v>20178</v>
      </c>
      <c r="N1828" s="802" t="s">
        <v>20179</v>
      </c>
      <c r="O1828" s="802" t="s">
        <v>20180</v>
      </c>
      <c r="P1828" s="807" t="s">
        <v>20181</v>
      </c>
    </row>
    <row r="1829" spans="1:16" s="341" customFormat="1" ht="25.5" customHeight="1">
      <c r="A1829" s="806" t="s">
        <v>110</v>
      </c>
      <c r="B1829" s="800" t="s">
        <v>38</v>
      </c>
      <c r="C1829" s="800" t="s">
        <v>3773</v>
      </c>
      <c r="D1829" s="800" t="s">
        <v>20182</v>
      </c>
      <c r="E1829" s="801">
        <v>43068</v>
      </c>
      <c r="F1829" s="800" t="s">
        <v>20025</v>
      </c>
      <c r="G1829" s="800" t="s">
        <v>20070</v>
      </c>
      <c r="H1829" s="800" t="s">
        <v>10531</v>
      </c>
      <c r="I1829" s="800" t="s">
        <v>10531</v>
      </c>
      <c r="J1829" s="800" t="s">
        <v>4342</v>
      </c>
      <c r="K1829" s="800">
        <v>1</v>
      </c>
      <c r="L1829" s="802" t="s">
        <v>10398</v>
      </c>
      <c r="M1829" s="802" t="s">
        <v>20183</v>
      </c>
      <c r="N1829" s="802" t="s">
        <v>13663</v>
      </c>
      <c r="O1829" s="802" t="s">
        <v>20184</v>
      </c>
      <c r="P1829" s="807" t="s">
        <v>20185</v>
      </c>
    </row>
    <row r="1830" spans="1:16" s="341" customFormat="1" ht="25.5" customHeight="1">
      <c r="A1830" s="806" t="s">
        <v>110</v>
      </c>
      <c r="B1830" s="800" t="s">
        <v>38</v>
      </c>
      <c r="C1830" s="800" t="s">
        <v>3773</v>
      </c>
      <c r="D1830" s="800" t="s">
        <v>20186</v>
      </c>
      <c r="E1830" s="801">
        <v>43068</v>
      </c>
      <c r="F1830" s="800" t="s">
        <v>20025</v>
      </c>
      <c r="G1830" s="800" t="s">
        <v>20070</v>
      </c>
      <c r="H1830" s="800" t="s">
        <v>10531</v>
      </c>
      <c r="I1830" s="800" t="s">
        <v>10531</v>
      </c>
      <c r="J1830" s="800" t="s">
        <v>4342</v>
      </c>
      <c r="K1830" s="800">
        <v>1</v>
      </c>
      <c r="L1830" s="802" t="s">
        <v>10398</v>
      </c>
      <c r="M1830" s="802" t="s">
        <v>20187</v>
      </c>
      <c r="N1830" s="802" t="s">
        <v>20188</v>
      </c>
      <c r="O1830" s="802" t="s">
        <v>18763</v>
      </c>
      <c r="P1830" s="807" t="s">
        <v>20189</v>
      </c>
    </row>
    <row r="1831" spans="1:16" s="341" customFormat="1" ht="25.5" customHeight="1">
      <c r="A1831" s="806" t="s">
        <v>110</v>
      </c>
      <c r="B1831" s="800" t="s">
        <v>38</v>
      </c>
      <c r="C1831" s="800" t="s">
        <v>3773</v>
      </c>
      <c r="D1831" s="800" t="s">
        <v>20190</v>
      </c>
      <c r="E1831" s="801">
        <v>43068</v>
      </c>
      <c r="F1831" s="800" t="s">
        <v>20025</v>
      </c>
      <c r="G1831" s="800" t="s">
        <v>20070</v>
      </c>
      <c r="H1831" s="800" t="s">
        <v>10531</v>
      </c>
      <c r="I1831" s="800" t="s">
        <v>10531</v>
      </c>
      <c r="J1831" s="800" t="s">
        <v>4342</v>
      </c>
      <c r="K1831" s="800">
        <v>1</v>
      </c>
      <c r="L1831" s="802" t="s">
        <v>10398</v>
      </c>
      <c r="M1831" s="802" t="s">
        <v>20191</v>
      </c>
      <c r="N1831" s="802" t="s">
        <v>12032</v>
      </c>
      <c r="O1831" s="802" t="s">
        <v>20192</v>
      </c>
      <c r="P1831" s="807" t="s">
        <v>20193</v>
      </c>
    </row>
    <row r="1832" spans="1:16" s="341" customFormat="1" ht="25.5" customHeight="1">
      <c r="A1832" s="806" t="s">
        <v>110</v>
      </c>
      <c r="B1832" s="800" t="s">
        <v>38</v>
      </c>
      <c r="C1832" s="800" t="s">
        <v>3773</v>
      </c>
      <c r="D1832" s="800" t="s">
        <v>20194</v>
      </c>
      <c r="E1832" s="801">
        <v>43068</v>
      </c>
      <c r="F1832" s="800" t="s">
        <v>20025</v>
      </c>
      <c r="G1832" s="800" t="s">
        <v>20195</v>
      </c>
      <c r="H1832" s="800" t="s">
        <v>10531</v>
      </c>
      <c r="I1832" s="800" t="s">
        <v>10531</v>
      </c>
      <c r="J1832" s="800" t="s">
        <v>4342</v>
      </c>
      <c r="K1832" s="800">
        <v>1</v>
      </c>
      <c r="L1832" s="802" t="s">
        <v>10398</v>
      </c>
      <c r="M1832" s="802" t="s">
        <v>20196</v>
      </c>
      <c r="N1832" s="802" t="s">
        <v>20197</v>
      </c>
      <c r="O1832" s="802" t="s">
        <v>20060</v>
      </c>
      <c r="P1832" s="807" t="s">
        <v>32</v>
      </c>
    </row>
    <row r="1833" spans="1:16" s="341" customFormat="1" ht="25.5" customHeight="1">
      <c r="A1833" s="806" t="s">
        <v>110</v>
      </c>
      <c r="B1833" s="800" t="s">
        <v>38</v>
      </c>
      <c r="C1833" s="800" t="s">
        <v>3773</v>
      </c>
      <c r="D1833" s="800" t="s">
        <v>20198</v>
      </c>
      <c r="E1833" s="801">
        <v>43068</v>
      </c>
      <c r="F1833" s="800" t="s">
        <v>20025</v>
      </c>
      <c r="G1833" s="800" t="s">
        <v>20070</v>
      </c>
      <c r="H1833" s="800" t="s">
        <v>10531</v>
      </c>
      <c r="I1833" s="800" t="s">
        <v>10531</v>
      </c>
      <c r="J1833" s="800" t="s">
        <v>4342</v>
      </c>
      <c r="K1833" s="800">
        <v>1</v>
      </c>
      <c r="L1833" s="802" t="s">
        <v>10398</v>
      </c>
      <c r="M1833" s="802" t="s">
        <v>20199</v>
      </c>
      <c r="N1833" s="802" t="s">
        <v>20200</v>
      </c>
      <c r="O1833" s="802" t="s">
        <v>20201</v>
      </c>
      <c r="P1833" s="807" t="s">
        <v>20202</v>
      </c>
    </row>
    <row r="1834" spans="1:16" s="341" customFormat="1" ht="15" customHeight="1">
      <c r="A1834" s="806" t="s">
        <v>110</v>
      </c>
      <c r="B1834" s="800" t="s">
        <v>38</v>
      </c>
      <c r="C1834" s="800" t="s">
        <v>3773</v>
      </c>
      <c r="D1834" s="800" t="s">
        <v>20203</v>
      </c>
      <c r="E1834" s="801">
        <v>43068</v>
      </c>
      <c r="F1834" s="800" t="s">
        <v>20025</v>
      </c>
      <c r="G1834" s="800" t="s">
        <v>20070</v>
      </c>
      <c r="H1834" s="800" t="s">
        <v>10531</v>
      </c>
      <c r="I1834" s="800" t="s">
        <v>10531</v>
      </c>
      <c r="J1834" s="800" t="s">
        <v>4342</v>
      </c>
      <c r="K1834" s="800">
        <v>1</v>
      </c>
      <c r="L1834" s="802" t="s">
        <v>10398</v>
      </c>
      <c r="M1834" s="802" t="s">
        <v>20204</v>
      </c>
      <c r="N1834" s="802" t="s">
        <v>16966</v>
      </c>
      <c r="O1834" s="802" t="s">
        <v>20205</v>
      </c>
      <c r="P1834" s="807" t="s">
        <v>20206</v>
      </c>
    </row>
    <row r="1835" spans="1:16" s="341" customFormat="1" ht="25.5" customHeight="1">
      <c r="A1835" s="806" t="s">
        <v>110</v>
      </c>
      <c r="B1835" s="800" t="s">
        <v>38</v>
      </c>
      <c r="C1835" s="800" t="s">
        <v>3773</v>
      </c>
      <c r="D1835" s="800" t="s">
        <v>20207</v>
      </c>
      <c r="E1835" s="801">
        <v>43068</v>
      </c>
      <c r="F1835" s="800" t="s">
        <v>20025</v>
      </c>
      <c r="G1835" s="800" t="s">
        <v>20208</v>
      </c>
      <c r="H1835" s="800" t="s">
        <v>10531</v>
      </c>
      <c r="I1835" s="800" t="s">
        <v>10531</v>
      </c>
      <c r="J1835" s="800" t="s">
        <v>4342</v>
      </c>
      <c r="K1835" s="800">
        <v>1</v>
      </c>
      <c r="L1835" s="802" t="s">
        <v>10398</v>
      </c>
      <c r="M1835" s="802" t="s">
        <v>20209</v>
      </c>
      <c r="N1835" s="802" t="s">
        <v>12032</v>
      </c>
      <c r="O1835" s="802" t="s">
        <v>20210</v>
      </c>
      <c r="P1835" s="807" t="s">
        <v>20211</v>
      </c>
    </row>
    <row r="1836" spans="1:16" s="341" customFormat="1" ht="25.5" customHeight="1">
      <c r="A1836" s="806" t="s">
        <v>110</v>
      </c>
      <c r="B1836" s="800" t="s">
        <v>38</v>
      </c>
      <c r="C1836" s="800" t="s">
        <v>3773</v>
      </c>
      <c r="D1836" s="800" t="s">
        <v>20212</v>
      </c>
      <c r="E1836" s="801">
        <v>43068</v>
      </c>
      <c r="F1836" s="800" t="s">
        <v>20025</v>
      </c>
      <c r="G1836" s="800" t="s">
        <v>20213</v>
      </c>
      <c r="H1836" s="800" t="s">
        <v>10531</v>
      </c>
      <c r="I1836" s="800" t="s">
        <v>10531</v>
      </c>
      <c r="J1836" s="800" t="s">
        <v>4342</v>
      </c>
      <c r="K1836" s="800">
        <v>1</v>
      </c>
      <c r="L1836" s="802" t="s">
        <v>10398</v>
      </c>
      <c r="M1836" s="802" t="s">
        <v>20214</v>
      </c>
      <c r="N1836" s="802" t="s">
        <v>15411</v>
      </c>
      <c r="O1836" s="802" t="s">
        <v>20045</v>
      </c>
      <c r="P1836" s="807" t="s">
        <v>20215</v>
      </c>
    </row>
    <row r="1837" spans="1:16" s="341" customFormat="1" ht="15" customHeight="1">
      <c r="A1837" s="806" t="s">
        <v>110</v>
      </c>
      <c r="B1837" s="800" t="s">
        <v>38</v>
      </c>
      <c r="C1837" s="800" t="s">
        <v>3773</v>
      </c>
      <c r="D1837" s="800" t="s">
        <v>20216</v>
      </c>
      <c r="E1837" s="801">
        <v>43066</v>
      </c>
      <c r="F1837" s="800" t="s">
        <v>20025</v>
      </c>
      <c r="G1837" s="800" t="s">
        <v>20217</v>
      </c>
      <c r="H1837" s="800" t="s">
        <v>10531</v>
      </c>
      <c r="I1837" s="800" t="s">
        <v>10531</v>
      </c>
      <c r="J1837" s="800" t="s">
        <v>4342</v>
      </c>
      <c r="K1837" s="800">
        <v>1</v>
      </c>
      <c r="L1837" s="802" t="s">
        <v>10398</v>
      </c>
      <c r="M1837" s="802" t="s">
        <v>20218</v>
      </c>
      <c r="N1837" s="802" t="s">
        <v>20219</v>
      </c>
      <c r="O1837" s="802" t="s">
        <v>20220</v>
      </c>
      <c r="P1837" s="807" t="s">
        <v>20221</v>
      </c>
    </row>
    <row r="1838" spans="1:16" s="341" customFormat="1" ht="15" customHeight="1">
      <c r="A1838" s="806" t="s">
        <v>110</v>
      </c>
      <c r="B1838" s="800" t="s">
        <v>38</v>
      </c>
      <c r="C1838" s="800" t="s">
        <v>3773</v>
      </c>
      <c r="D1838" s="800" t="s">
        <v>20222</v>
      </c>
      <c r="E1838" s="801">
        <v>43066</v>
      </c>
      <c r="F1838" s="800" t="s">
        <v>20025</v>
      </c>
      <c r="G1838" s="800" t="s">
        <v>20223</v>
      </c>
      <c r="H1838" s="800" t="s">
        <v>10531</v>
      </c>
      <c r="I1838" s="800" t="s">
        <v>10531</v>
      </c>
      <c r="J1838" s="800" t="s">
        <v>4342</v>
      </c>
      <c r="K1838" s="800">
        <v>1</v>
      </c>
      <c r="L1838" s="802" t="s">
        <v>10398</v>
      </c>
      <c r="M1838" s="802" t="s">
        <v>20224</v>
      </c>
      <c r="N1838" s="802" t="s">
        <v>19635</v>
      </c>
      <c r="O1838" s="802" t="s">
        <v>20122</v>
      </c>
      <c r="P1838" s="807" t="s">
        <v>20225</v>
      </c>
    </row>
    <row r="1839" spans="1:16" s="341" customFormat="1" ht="15" customHeight="1">
      <c r="A1839" s="806" t="s">
        <v>110</v>
      </c>
      <c r="B1839" s="800" t="s">
        <v>38</v>
      </c>
      <c r="C1839" s="800" t="s">
        <v>3773</v>
      </c>
      <c r="D1839" s="800" t="s">
        <v>20226</v>
      </c>
      <c r="E1839" s="801">
        <v>43066</v>
      </c>
      <c r="F1839" s="800" t="s">
        <v>20025</v>
      </c>
      <c r="G1839" s="800" t="s">
        <v>20227</v>
      </c>
      <c r="H1839" s="800" t="s">
        <v>10531</v>
      </c>
      <c r="I1839" s="800" t="s">
        <v>10531</v>
      </c>
      <c r="J1839" s="800" t="s">
        <v>4342</v>
      </c>
      <c r="K1839" s="800">
        <v>1</v>
      </c>
      <c r="L1839" s="802" t="s">
        <v>10398</v>
      </c>
      <c r="M1839" s="802" t="s">
        <v>20228</v>
      </c>
      <c r="N1839" s="802" t="s">
        <v>20229</v>
      </c>
      <c r="O1839" s="802" t="s">
        <v>20122</v>
      </c>
      <c r="P1839" s="807" t="s">
        <v>20230</v>
      </c>
    </row>
    <row r="1840" spans="1:16" s="341" customFormat="1" ht="15" customHeight="1">
      <c r="A1840" s="806" t="s">
        <v>110</v>
      </c>
      <c r="B1840" s="800" t="s">
        <v>38</v>
      </c>
      <c r="C1840" s="800" t="s">
        <v>3773</v>
      </c>
      <c r="D1840" s="800" t="s">
        <v>20231</v>
      </c>
      <c r="E1840" s="801">
        <v>43066</v>
      </c>
      <c r="F1840" s="800" t="s">
        <v>20025</v>
      </c>
      <c r="G1840" s="800" t="s">
        <v>20104</v>
      </c>
      <c r="H1840" s="800" t="s">
        <v>10531</v>
      </c>
      <c r="I1840" s="800" t="s">
        <v>10531</v>
      </c>
      <c r="J1840" s="800" t="s">
        <v>4342</v>
      </c>
      <c r="K1840" s="800">
        <v>1</v>
      </c>
      <c r="L1840" s="802" t="s">
        <v>10398</v>
      </c>
      <c r="M1840" s="802" t="s">
        <v>20232</v>
      </c>
      <c r="N1840" s="802" t="s">
        <v>10848</v>
      </c>
      <c r="O1840" s="802" t="s">
        <v>17548</v>
      </c>
      <c r="P1840" s="807" t="s">
        <v>20233</v>
      </c>
    </row>
    <row r="1841" spans="1:16" s="341" customFormat="1" ht="15" customHeight="1">
      <c r="A1841" s="806" t="s">
        <v>110</v>
      </c>
      <c r="B1841" s="800" t="s">
        <v>38</v>
      </c>
      <c r="C1841" s="800" t="s">
        <v>3773</v>
      </c>
      <c r="D1841" s="800" t="s">
        <v>20234</v>
      </c>
      <c r="E1841" s="801">
        <v>43068</v>
      </c>
      <c r="F1841" s="800" t="s">
        <v>20025</v>
      </c>
      <c r="G1841" s="800" t="s">
        <v>20235</v>
      </c>
      <c r="H1841" s="800" t="s">
        <v>10531</v>
      </c>
      <c r="I1841" s="800" t="s">
        <v>10531</v>
      </c>
      <c r="J1841" s="800" t="s">
        <v>4342</v>
      </c>
      <c r="K1841" s="800">
        <v>1</v>
      </c>
      <c r="L1841" s="802" t="s">
        <v>10398</v>
      </c>
      <c r="M1841" s="802" t="s">
        <v>20236</v>
      </c>
      <c r="N1841" s="802" t="s">
        <v>20237</v>
      </c>
      <c r="O1841" s="802" t="s">
        <v>20238</v>
      </c>
      <c r="P1841" s="807" t="s">
        <v>20239</v>
      </c>
    </row>
    <row r="1842" spans="1:16" s="341" customFormat="1" ht="15" customHeight="1">
      <c r="A1842" s="806" t="s">
        <v>110</v>
      </c>
      <c r="B1842" s="800" t="s">
        <v>38</v>
      </c>
      <c r="C1842" s="800" t="s">
        <v>3773</v>
      </c>
      <c r="D1842" s="800" t="s">
        <v>20240</v>
      </c>
      <c r="E1842" s="801">
        <v>43068</v>
      </c>
      <c r="F1842" s="800" t="s">
        <v>20025</v>
      </c>
      <c r="G1842" s="800" t="s">
        <v>20241</v>
      </c>
      <c r="H1842" s="800" t="s">
        <v>10531</v>
      </c>
      <c r="I1842" s="800" t="s">
        <v>10531</v>
      </c>
      <c r="J1842" s="800" t="s">
        <v>4342</v>
      </c>
      <c r="K1842" s="800">
        <v>1</v>
      </c>
      <c r="L1842" s="802" t="s">
        <v>10398</v>
      </c>
      <c r="M1842" s="802" t="s">
        <v>20242</v>
      </c>
      <c r="N1842" s="802" t="s">
        <v>17220</v>
      </c>
      <c r="O1842" s="802" t="s">
        <v>20243</v>
      </c>
      <c r="P1842" s="807" t="s">
        <v>20244</v>
      </c>
    </row>
    <row r="1843" spans="1:16" s="341" customFormat="1" ht="15" customHeight="1">
      <c r="A1843" s="806" t="s">
        <v>110</v>
      </c>
      <c r="B1843" s="800" t="s">
        <v>38</v>
      </c>
      <c r="C1843" s="800" t="s">
        <v>3773</v>
      </c>
      <c r="D1843" s="800" t="s">
        <v>20245</v>
      </c>
      <c r="E1843" s="801">
        <v>43068</v>
      </c>
      <c r="F1843" s="800" t="s">
        <v>20025</v>
      </c>
      <c r="G1843" s="800" t="s">
        <v>20246</v>
      </c>
      <c r="H1843" s="800" t="s">
        <v>10531</v>
      </c>
      <c r="I1843" s="800" t="s">
        <v>10531</v>
      </c>
      <c r="J1843" s="800" t="s">
        <v>4342</v>
      </c>
      <c r="K1843" s="800">
        <v>1</v>
      </c>
      <c r="L1843" s="802" t="s">
        <v>10398</v>
      </c>
      <c r="M1843" s="802" t="s">
        <v>20247</v>
      </c>
      <c r="N1843" s="802" t="s">
        <v>20248</v>
      </c>
      <c r="O1843" s="802" t="s">
        <v>20249</v>
      </c>
      <c r="P1843" s="807" t="s">
        <v>20250</v>
      </c>
    </row>
    <row r="1844" spans="1:16" s="341" customFormat="1" ht="25.5" customHeight="1">
      <c r="A1844" s="806" t="s">
        <v>110</v>
      </c>
      <c r="B1844" s="800" t="s">
        <v>38</v>
      </c>
      <c r="C1844" s="800" t="s">
        <v>3773</v>
      </c>
      <c r="D1844" s="800" t="s">
        <v>20251</v>
      </c>
      <c r="E1844" s="801">
        <v>43068</v>
      </c>
      <c r="F1844" s="800" t="s">
        <v>20025</v>
      </c>
      <c r="G1844" s="800" t="s">
        <v>20252</v>
      </c>
      <c r="H1844" s="800" t="s">
        <v>10531</v>
      </c>
      <c r="I1844" s="800" t="s">
        <v>10531</v>
      </c>
      <c r="J1844" s="800" t="s">
        <v>4342</v>
      </c>
      <c r="K1844" s="800">
        <v>1</v>
      </c>
      <c r="L1844" s="802" t="s">
        <v>10398</v>
      </c>
      <c r="M1844" s="802" t="s">
        <v>20253</v>
      </c>
      <c r="N1844" s="802" t="s">
        <v>20254</v>
      </c>
      <c r="O1844" s="802" t="s">
        <v>20184</v>
      </c>
      <c r="P1844" s="807" t="s">
        <v>20255</v>
      </c>
    </row>
    <row r="1845" spans="1:16" s="341" customFormat="1" ht="15" customHeight="1">
      <c r="A1845" s="806" t="s">
        <v>110</v>
      </c>
      <c r="B1845" s="800" t="s">
        <v>38</v>
      </c>
      <c r="C1845" s="800" t="s">
        <v>3773</v>
      </c>
      <c r="D1845" s="800" t="s">
        <v>20256</v>
      </c>
      <c r="E1845" s="801">
        <v>43068</v>
      </c>
      <c r="F1845" s="800" t="s">
        <v>20025</v>
      </c>
      <c r="G1845" s="800" t="s">
        <v>20257</v>
      </c>
      <c r="H1845" s="800" t="s">
        <v>10433</v>
      </c>
      <c r="I1845" s="800" t="s">
        <v>10433</v>
      </c>
      <c r="J1845" s="800" t="s">
        <v>4342</v>
      </c>
      <c r="K1845" s="800">
        <v>1</v>
      </c>
      <c r="L1845" s="802" t="s">
        <v>10398</v>
      </c>
      <c r="M1845" s="802" t="s">
        <v>20258</v>
      </c>
      <c r="N1845" s="802" t="s">
        <v>14140</v>
      </c>
      <c r="O1845" s="802" t="s">
        <v>20259</v>
      </c>
      <c r="P1845" s="807" t="s">
        <v>20260</v>
      </c>
    </row>
    <row r="1846" spans="1:16" s="341" customFormat="1" ht="15" customHeight="1">
      <c r="A1846" s="806" t="s">
        <v>110</v>
      </c>
      <c r="B1846" s="800" t="s">
        <v>38</v>
      </c>
      <c r="C1846" s="800" t="s">
        <v>3773</v>
      </c>
      <c r="D1846" s="800" t="s">
        <v>20261</v>
      </c>
      <c r="E1846" s="801">
        <v>43066</v>
      </c>
      <c r="F1846" s="800" t="s">
        <v>20025</v>
      </c>
      <c r="G1846" s="800" t="s">
        <v>20262</v>
      </c>
      <c r="H1846" s="800" t="s">
        <v>10531</v>
      </c>
      <c r="I1846" s="800" t="s">
        <v>10531</v>
      </c>
      <c r="J1846" s="800" t="s">
        <v>4342</v>
      </c>
      <c r="K1846" s="800">
        <v>1</v>
      </c>
      <c r="L1846" s="802" t="s">
        <v>10398</v>
      </c>
      <c r="M1846" s="802" t="s">
        <v>20263</v>
      </c>
      <c r="N1846" s="802" t="s">
        <v>10848</v>
      </c>
      <c r="O1846" s="802" t="s">
        <v>20264</v>
      </c>
      <c r="P1846" s="807" t="s">
        <v>20265</v>
      </c>
    </row>
    <row r="1847" spans="1:16" s="341" customFormat="1" ht="15" customHeight="1">
      <c r="A1847" s="806" t="s">
        <v>110</v>
      </c>
      <c r="B1847" s="800" t="s">
        <v>38</v>
      </c>
      <c r="C1847" s="800" t="s">
        <v>3773</v>
      </c>
      <c r="D1847" s="800" t="s">
        <v>20266</v>
      </c>
      <c r="E1847" s="801">
        <v>43066</v>
      </c>
      <c r="F1847" s="800" t="s">
        <v>20025</v>
      </c>
      <c r="G1847" s="800" t="s">
        <v>20267</v>
      </c>
      <c r="H1847" s="800" t="s">
        <v>10531</v>
      </c>
      <c r="I1847" s="800" t="s">
        <v>10531</v>
      </c>
      <c r="J1847" s="800" t="s">
        <v>4342</v>
      </c>
      <c r="K1847" s="800">
        <v>1</v>
      </c>
      <c r="L1847" s="802" t="s">
        <v>10398</v>
      </c>
      <c r="M1847" s="802" t="s">
        <v>20268</v>
      </c>
      <c r="N1847" s="802" t="s">
        <v>11933</v>
      </c>
      <c r="O1847" s="802" t="s">
        <v>20249</v>
      </c>
      <c r="P1847" s="807" t="s">
        <v>20269</v>
      </c>
    </row>
    <row r="1848" spans="1:16" s="341" customFormat="1" ht="15" customHeight="1">
      <c r="A1848" s="806" t="s">
        <v>110</v>
      </c>
      <c r="B1848" s="800" t="s">
        <v>38</v>
      </c>
      <c r="C1848" s="800" t="s">
        <v>3773</v>
      </c>
      <c r="D1848" s="800" t="s">
        <v>20270</v>
      </c>
      <c r="E1848" s="801">
        <v>43066</v>
      </c>
      <c r="F1848" s="800" t="s">
        <v>20025</v>
      </c>
      <c r="G1848" s="800" t="s">
        <v>20271</v>
      </c>
      <c r="H1848" s="800" t="s">
        <v>10531</v>
      </c>
      <c r="I1848" s="800" t="s">
        <v>10531</v>
      </c>
      <c r="J1848" s="800" t="s">
        <v>4342</v>
      </c>
      <c r="K1848" s="800">
        <v>1</v>
      </c>
      <c r="L1848" s="802" t="s">
        <v>10398</v>
      </c>
      <c r="M1848" s="802" t="s">
        <v>20272</v>
      </c>
      <c r="N1848" s="802" t="s">
        <v>19722</v>
      </c>
      <c r="O1848" s="802" t="s">
        <v>20273</v>
      </c>
      <c r="P1848" s="807" t="s">
        <v>20274</v>
      </c>
    </row>
    <row r="1849" spans="1:16" s="341" customFormat="1" ht="25.5" customHeight="1">
      <c r="A1849" s="806" t="s">
        <v>110</v>
      </c>
      <c r="B1849" s="800" t="s">
        <v>38</v>
      </c>
      <c r="C1849" s="800" t="s">
        <v>3773</v>
      </c>
      <c r="D1849" s="800" t="s">
        <v>20275</v>
      </c>
      <c r="E1849" s="801">
        <v>43066</v>
      </c>
      <c r="F1849" s="800" t="s">
        <v>20025</v>
      </c>
      <c r="G1849" s="800" t="s">
        <v>20271</v>
      </c>
      <c r="H1849" s="800" t="s">
        <v>10531</v>
      </c>
      <c r="I1849" s="800" t="s">
        <v>10531</v>
      </c>
      <c r="J1849" s="800" t="s">
        <v>4342</v>
      </c>
      <c r="K1849" s="800">
        <v>1</v>
      </c>
      <c r="L1849" s="802" t="s">
        <v>10398</v>
      </c>
      <c r="M1849" s="802" t="s">
        <v>20276</v>
      </c>
      <c r="N1849" s="802" t="s">
        <v>20277</v>
      </c>
      <c r="O1849" s="802" t="s">
        <v>20278</v>
      </c>
      <c r="P1849" s="807" t="s">
        <v>20279</v>
      </c>
    </row>
    <row r="1850" spans="1:16" s="341" customFormat="1" ht="25.5" customHeight="1">
      <c r="A1850" s="806" t="s">
        <v>110</v>
      </c>
      <c r="B1850" s="800" t="s">
        <v>38</v>
      </c>
      <c r="C1850" s="800" t="s">
        <v>3773</v>
      </c>
      <c r="D1850" s="800" t="s">
        <v>20280</v>
      </c>
      <c r="E1850" s="801">
        <v>43066</v>
      </c>
      <c r="F1850" s="800" t="s">
        <v>20025</v>
      </c>
      <c r="G1850" s="800" t="s">
        <v>20281</v>
      </c>
      <c r="H1850" s="800" t="s">
        <v>10531</v>
      </c>
      <c r="I1850" s="800" t="s">
        <v>10531</v>
      </c>
      <c r="J1850" s="800" t="s">
        <v>4342</v>
      </c>
      <c r="K1850" s="800">
        <v>1</v>
      </c>
      <c r="L1850" s="802" t="s">
        <v>10398</v>
      </c>
      <c r="M1850" s="802" t="s">
        <v>20282</v>
      </c>
      <c r="N1850" s="802" t="s">
        <v>20283</v>
      </c>
      <c r="O1850" s="802" t="s">
        <v>20072</v>
      </c>
      <c r="P1850" s="807" t="s">
        <v>32</v>
      </c>
    </row>
    <row r="1851" spans="1:16" s="341" customFormat="1" ht="25.5" customHeight="1">
      <c r="A1851" s="806" t="s">
        <v>110</v>
      </c>
      <c r="B1851" s="800" t="s">
        <v>38</v>
      </c>
      <c r="C1851" s="800" t="s">
        <v>3773</v>
      </c>
      <c r="D1851" s="800" t="s">
        <v>20284</v>
      </c>
      <c r="E1851" s="801">
        <v>43066</v>
      </c>
      <c r="F1851" s="800" t="s">
        <v>20025</v>
      </c>
      <c r="G1851" s="800" t="s">
        <v>20285</v>
      </c>
      <c r="H1851" s="800" t="s">
        <v>10531</v>
      </c>
      <c r="I1851" s="800" t="s">
        <v>10531</v>
      </c>
      <c r="J1851" s="800" t="s">
        <v>4342</v>
      </c>
      <c r="K1851" s="800">
        <v>1</v>
      </c>
      <c r="L1851" s="802" t="s">
        <v>10398</v>
      </c>
      <c r="M1851" s="802" t="s">
        <v>20286</v>
      </c>
      <c r="N1851" s="802" t="s">
        <v>16330</v>
      </c>
      <c r="O1851" s="802" t="s">
        <v>20287</v>
      </c>
      <c r="P1851" s="807" t="s">
        <v>32</v>
      </c>
    </row>
    <row r="1852" spans="1:16" s="341" customFormat="1" ht="25.5" customHeight="1">
      <c r="A1852" s="806" t="s">
        <v>110</v>
      </c>
      <c r="B1852" s="800" t="s">
        <v>38</v>
      </c>
      <c r="C1852" s="800" t="s">
        <v>3773</v>
      </c>
      <c r="D1852" s="800" t="s">
        <v>20288</v>
      </c>
      <c r="E1852" s="801">
        <v>43066</v>
      </c>
      <c r="F1852" s="800" t="s">
        <v>20025</v>
      </c>
      <c r="G1852" s="800" t="s">
        <v>20289</v>
      </c>
      <c r="H1852" s="800" t="s">
        <v>10531</v>
      </c>
      <c r="I1852" s="800" t="s">
        <v>10531</v>
      </c>
      <c r="J1852" s="800" t="s">
        <v>10397</v>
      </c>
      <c r="K1852" s="800">
        <v>1</v>
      </c>
      <c r="L1852" s="802" t="s">
        <v>10398</v>
      </c>
      <c r="M1852" s="802" t="s">
        <v>32</v>
      </c>
      <c r="N1852" s="802" t="s">
        <v>32</v>
      </c>
      <c r="O1852" s="802" t="s">
        <v>32</v>
      </c>
      <c r="P1852" s="807" t="s">
        <v>20290</v>
      </c>
    </row>
    <row r="1853" spans="1:16" s="341" customFormat="1" ht="25.5" customHeight="1">
      <c r="A1853" s="806" t="s">
        <v>110</v>
      </c>
      <c r="B1853" s="800" t="s">
        <v>38</v>
      </c>
      <c r="C1853" s="800" t="s">
        <v>3773</v>
      </c>
      <c r="D1853" s="800" t="s">
        <v>20291</v>
      </c>
      <c r="E1853" s="801">
        <v>43066</v>
      </c>
      <c r="F1853" s="800" t="s">
        <v>20025</v>
      </c>
      <c r="G1853" s="800" t="s">
        <v>20292</v>
      </c>
      <c r="H1853" s="800" t="s">
        <v>10531</v>
      </c>
      <c r="I1853" s="800" t="s">
        <v>10531</v>
      </c>
      <c r="J1853" s="800" t="s">
        <v>10397</v>
      </c>
      <c r="K1853" s="800">
        <v>1</v>
      </c>
      <c r="L1853" s="802" t="s">
        <v>10398</v>
      </c>
      <c r="M1853" s="802" t="s">
        <v>32</v>
      </c>
      <c r="N1853" s="802" t="s">
        <v>32</v>
      </c>
      <c r="O1853" s="802" t="s">
        <v>32</v>
      </c>
      <c r="P1853" s="807" t="s">
        <v>20293</v>
      </c>
    </row>
    <row r="1854" spans="1:16" s="341" customFormat="1" ht="15" customHeight="1">
      <c r="A1854" s="806" t="s">
        <v>110</v>
      </c>
      <c r="B1854" s="800" t="s">
        <v>38</v>
      </c>
      <c r="C1854" s="800" t="s">
        <v>3773</v>
      </c>
      <c r="D1854" s="800" t="s">
        <v>20294</v>
      </c>
      <c r="E1854" s="801">
        <v>43066</v>
      </c>
      <c r="F1854" s="800" t="s">
        <v>20295</v>
      </c>
      <c r="G1854" s="800" t="s">
        <v>20296</v>
      </c>
      <c r="H1854" s="800" t="s">
        <v>10531</v>
      </c>
      <c r="I1854" s="800" t="s">
        <v>10531</v>
      </c>
      <c r="J1854" s="800" t="s">
        <v>10397</v>
      </c>
      <c r="K1854" s="800">
        <v>1</v>
      </c>
      <c r="L1854" s="802" t="s">
        <v>10398</v>
      </c>
      <c r="M1854" s="802" t="s">
        <v>32</v>
      </c>
      <c r="N1854" s="802" t="s">
        <v>32</v>
      </c>
      <c r="O1854" s="802" t="s">
        <v>32</v>
      </c>
      <c r="P1854" s="807" t="s">
        <v>20297</v>
      </c>
    </row>
    <row r="1855" spans="1:16" s="341" customFormat="1" ht="15" customHeight="1">
      <c r="A1855" s="806" t="s">
        <v>110</v>
      </c>
      <c r="B1855" s="800" t="s">
        <v>38</v>
      </c>
      <c r="C1855" s="800" t="s">
        <v>3773</v>
      </c>
      <c r="D1855" s="800" t="s">
        <v>20298</v>
      </c>
      <c r="E1855" s="801">
        <v>43066</v>
      </c>
      <c r="F1855" s="800" t="s">
        <v>20025</v>
      </c>
      <c r="G1855" s="800" t="s">
        <v>20299</v>
      </c>
      <c r="H1855" s="800" t="s">
        <v>10531</v>
      </c>
      <c r="I1855" s="800" t="s">
        <v>10531</v>
      </c>
      <c r="J1855" s="800" t="s">
        <v>4342</v>
      </c>
      <c r="K1855" s="800">
        <v>2</v>
      </c>
      <c r="L1855" s="802" t="s">
        <v>10398</v>
      </c>
      <c r="M1855" s="802" t="s">
        <v>20300</v>
      </c>
      <c r="N1855" s="802" t="s">
        <v>20301</v>
      </c>
      <c r="O1855" s="802" t="s">
        <v>20302</v>
      </c>
      <c r="P1855" s="807" t="s">
        <v>20303</v>
      </c>
    </row>
    <row r="1856" spans="1:16" s="341" customFormat="1" ht="15" customHeight="1">
      <c r="A1856" s="806" t="s">
        <v>110</v>
      </c>
      <c r="B1856" s="800" t="s">
        <v>38</v>
      </c>
      <c r="C1856" s="800" t="s">
        <v>3773</v>
      </c>
      <c r="D1856" s="800" t="s">
        <v>20298</v>
      </c>
      <c r="E1856" s="801">
        <v>43066</v>
      </c>
      <c r="F1856" s="800" t="s">
        <v>20025</v>
      </c>
      <c r="G1856" s="800" t="s">
        <v>20299</v>
      </c>
      <c r="H1856" s="800" t="s">
        <v>10531</v>
      </c>
      <c r="I1856" s="800" t="s">
        <v>10531</v>
      </c>
      <c r="J1856" s="800" t="s">
        <v>4342</v>
      </c>
      <c r="K1856" s="800">
        <v>2</v>
      </c>
      <c r="L1856" s="802" t="s">
        <v>10398</v>
      </c>
      <c r="M1856" s="802" t="s">
        <v>20304</v>
      </c>
      <c r="N1856" s="802" t="s">
        <v>20301</v>
      </c>
      <c r="O1856" s="802" t="s">
        <v>20302</v>
      </c>
      <c r="P1856" s="807" t="s">
        <v>20303</v>
      </c>
    </row>
    <row r="1857" spans="1:16" s="341" customFormat="1" ht="15" customHeight="1">
      <c r="A1857" s="806" t="s">
        <v>110</v>
      </c>
      <c r="B1857" s="800" t="s">
        <v>38</v>
      </c>
      <c r="C1857" s="800" t="s">
        <v>3773</v>
      </c>
      <c r="D1857" s="800" t="s">
        <v>20305</v>
      </c>
      <c r="E1857" s="801">
        <v>43068</v>
      </c>
      <c r="F1857" s="800" t="s">
        <v>20025</v>
      </c>
      <c r="G1857" s="800" t="s">
        <v>20306</v>
      </c>
      <c r="H1857" s="800" t="s">
        <v>10531</v>
      </c>
      <c r="I1857" s="800" t="s">
        <v>10531</v>
      </c>
      <c r="J1857" s="800" t="s">
        <v>4342</v>
      </c>
      <c r="K1857" s="800">
        <v>2</v>
      </c>
      <c r="L1857" s="802" t="s">
        <v>10398</v>
      </c>
      <c r="M1857" s="802" t="s">
        <v>20307</v>
      </c>
      <c r="N1857" s="802" t="s">
        <v>20308</v>
      </c>
      <c r="O1857" s="802" t="s">
        <v>20309</v>
      </c>
      <c r="P1857" s="807" t="s">
        <v>20310</v>
      </c>
    </row>
    <row r="1858" spans="1:16" s="341" customFormat="1" ht="25.5" customHeight="1">
      <c r="A1858" s="806" t="s">
        <v>110</v>
      </c>
      <c r="B1858" s="800" t="s">
        <v>38</v>
      </c>
      <c r="C1858" s="800" t="s">
        <v>3773</v>
      </c>
      <c r="D1858" s="800" t="s">
        <v>20305</v>
      </c>
      <c r="E1858" s="801">
        <v>43068</v>
      </c>
      <c r="F1858" s="800" t="s">
        <v>20025</v>
      </c>
      <c r="G1858" s="800" t="s">
        <v>20306</v>
      </c>
      <c r="H1858" s="800" t="s">
        <v>10531</v>
      </c>
      <c r="I1858" s="800" t="s">
        <v>10531</v>
      </c>
      <c r="J1858" s="800" t="s">
        <v>4342</v>
      </c>
      <c r="K1858" s="800">
        <v>2</v>
      </c>
      <c r="L1858" s="802" t="s">
        <v>10398</v>
      </c>
      <c r="M1858" s="802" t="s">
        <v>20307</v>
      </c>
      <c r="N1858" s="802" t="s">
        <v>20311</v>
      </c>
      <c r="O1858" s="802" t="s">
        <v>20309</v>
      </c>
      <c r="P1858" s="807" t="s">
        <v>20310</v>
      </c>
    </row>
    <row r="1859" spans="1:16" s="341" customFormat="1" ht="15" customHeight="1">
      <c r="A1859" s="806" t="s">
        <v>110</v>
      </c>
      <c r="B1859" s="800" t="s">
        <v>38</v>
      </c>
      <c r="C1859" s="800" t="s">
        <v>3773</v>
      </c>
      <c r="D1859" s="800" t="s">
        <v>20312</v>
      </c>
      <c r="E1859" s="801">
        <v>43066</v>
      </c>
      <c r="F1859" s="800" t="s">
        <v>20025</v>
      </c>
      <c r="G1859" s="800" t="s">
        <v>20313</v>
      </c>
      <c r="H1859" s="800" t="s">
        <v>10531</v>
      </c>
      <c r="I1859" s="800" t="s">
        <v>10531</v>
      </c>
      <c r="J1859" s="800" t="s">
        <v>10397</v>
      </c>
      <c r="K1859" s="800">
        <v>1</v>
      </c>
      <c r="L1859" s="802" t="s">
        <v>10398</v>
      </c>
      <c r="M1859" s="802" t="s">
        <v>32</v>
      </c>
      <c r="N1859" s="802" t="s">
        <v>32</v>
      </c>
      <c r="O1859" s="802" t="s">
        <v>32</v>
      </c>
      <c r="P1859" s="807" t="s">
        <v>20314</v>
      </c>
    </row>
    <row r="1860" spans="1:16" s="341" customFormat="1" ht="15" customHeight="1">
      <c r="A1860" s="806" t="s">
        <v>110</v>
      </c>
      <c r="B1860" s="800" t="s">
        <v>38</v>
      </c>
      <c r="C1860" s="800" t="s">
        <v>3773</v>
      </c>
      <c r="D1860" s="800" t="s">
        <v>20315</v>
      </c>
      <c r="E1860" s="801">
        <v>43067</v>
      </c>
      <c r="F1860" s="800" t="s">
        <v>3807</v>
      </c>
      <c r="G1860" s="800" t="s">
        <v>20316</v>
      </c>
      <c r="H1860" s="800" t="s">
        <v>10531</v>
      </c>
      <c r="I1860" s="800" t="s">
        <v>10531</v>
      </c>
      <c r="J1860" s="800" t="s">
        <v>4342</v>
      </c>
      <c r="K1860" s="800">
        <v>1</v>
      </c>
      <c r="L1860" s="802" t="s">
        <v>10398</v>
      </c>
      <c r="M1860" s="802" t="s">
        <v>20317</v>
      </c>
      <c r="N1860" s="802" t="s">
        <v>20318</v>
      </c>
      <c r="O1860" s="802" t="s">
        <v>20319</v>
      </c>
      <c r="P1860" s="807" t="s">
        <v>20320</v>
      </c>
    </row>
    <row r="1861" spans="1:16" s="341" customFormat="1" ht="15" customHeight="1">
      <c r="A1861" s="806" t="s">
        <v>110</v>
      </c>
      <c r="B1861" s="800" t="s">
        <v>38</v>
      </c>
      <c r="C1861" s="800" t="s">
        <v>3773</v>
      </c>
      <c r="D1861" s="800" t="s">
        <v>20321</v>
      </c>
      <c r="E1861" s="801">
        <v>43067</v>
      </c>
      <c r="F1861" s="800" t="s">
        <v>3807</v>
      </c>
      <c r="G1861" s="800" t="s">
        <v>20316</v>
      </c>
      <c r="H1861" s="800" t="s">
        <v>10404</v>
      </c>
      <c r="I1861" s="800" t="s">
        <v>10404</v>
      </c>
      <c r="J1861" s="800" t="s">
        <v>4342</v>
      </c>
      <c r="K1861" s="800">
        <v>1</v>
      </c>
      <c r="L1861" s="802" t="s">
        <v>10398</v>
      </c>
      <c r="M1861" s="802" t="s">
        <v>20322</v>
      </c>
      <c r="N1861" s="802" t="s">
        <v>20323</v>
      </c>
      <c r="O1861" s="802" t="s">
        <v>20324</v>
      </c>
      <c r="P1861" s="807" t="s">
        <v>20325</v>
      </c>
    </row>
    <row r="1862" spans="1:16" s="341" customFormat="1" ht="25.5" customHeight="1">
      <c r="A1862" s="806" t="s">
        <v>110</v>
      </c>
      <c r="B1862" s="800" t="s">
        <v>38</v>
      </c>
      <c r="C1862" s="800" t="s">
        <v>3773</v>
      </c>
      <c r="D1862" s="800" t="s">
        <v>20326</v>
      </c>
      <c r="E1862" s="801">
        <v>43067</v>
      </c>
      <c r="F1862" s="800" t="s">
        <v>3807</v>
      </c>
      <c r="G1862" s="800" t="s">
        <v>20316</v>
      </c>
      <c r="H1862" s="800" t="s">
        <v>10531</v>
      </c>
      <c r="I1862" s="800" t="s">
        <v>10531</v>
      </c>
      <c r="J1862" s="800" t="s">
        <v>4342</v>
      </c>
      <c r="K1862" s="800">
        <v>1</v>
      </c>
      <c r="L1862" s="802" t="s">
        <v>10398</v>
      </c>
      <c r="M1862" s="802" t="s">
        <v>20327</v>
      </c>
      <c r="N1862" s="802" t="s">
        <v>16859</v>
      </c>
      <c r="O1862" s="802" t="s">
        <v>20328</v>
      </c>
      <c r="P1862" s="807" t="s">
        <v>20329</v>
      </c>
    </row>
    <row r="1863" spans="1:16" s="341" customFormat="1" ht="15" customHeight="1">
      <c r="A1863" s="806" t="s">
        <v>110</v>
      </c>
      <c r="B1863" s="800" t="s">
        <v>38</v>
      </c>
      <c r="C1863" s="800" t="s">
        <v>3773</v>
      </c>
      <c r="D1863" s="800" t="s">
        <v>20330</v>
      </c>
      <c r="E1863" s="801">
        <v>43067</v>
      </c>
      <c r="F1863" s="800" t="s">
        <v>3807</v>
      </c>
      <c r="G1863" s="800" t="s">
        <v>20316</v>
      </c>
      <c r="H1863" s="800" t="s">
        <v>10531</v>
      </c>
      <c r="I1863" s="800" t="s">
        <v>10531</v>
      </c>
      <c r="J1863" s="800" t="s">
        <v>4342</v>
      </c>
      <c r="K1863" s="800">
        <v>1</v>
      </c>
      <c r="L1863" s="802" t="s">
        <v>11026</v>
      </c>
      <c r="M1863" s="802" t="s">
        <v>19721</v>
      </c>
      <c r="N1863" s="802" t="s">
        <v>16124</v>
      </c>
      <c r="O1863" s="802" t="s">
        <v>20331</v>
      </c>
      <c r="P1863" s="807" t="s">
        <v>19724</v>
      </c>
    </row>
    <row r="1864" spans="1:16" s="341" customFormat="1" ht="38.25" customHeight="1">
      <c r="A1864" s="806" t="s">
        <v>110</v>
      </c>
      <c r="B1864" s="800" t="s">
        <v>38</v>
      </c>
      <c r="C1864" s="800" t="s">
        <v>3773</v>
      </c>
      <c r="D1864" s="800" t="s">
        <v>20332</v>
      </c>
      <c r="E1864" s="801">
        <v>43067</v>
      </c>
      <c r="F1864" s="800" t="s">
        <v>3807</v>
      </c>
      <c r="G1864" s="800" t="s">
        <v>20316</v>
      </c>
      <c r="H1864" s="800" t="s">
        <v>10531</v>
      </c>
      <c r="I1864" s="800" t="s">
        <v>10531</v>
      </c>
      <c r="J1864" s="800" t="s">
        <v>4342</v>
      </c>
      <c r="K1864" s="800">
        <v>1</v>
      </c>
      <c r="L1864" s="802" t="s">
        <v>10398</v>
      </c>
      <c r="M1864" s="802" t="s">
        <v>20333</v>
      </c>
      <c r="N1864" s="802" t="s">
        <v>20334</v>
      </c>
      <c r="O1864" s="802" t="s">
        <v>20335</v>
      </c>
      <c r="P1864" s="807" t="s">
        <v>32</v>
      </c>
    </row>
    <row r="1865" spans="1:16" s="341" customFormat="1" ht="25.5" customHeight="1">
      <c r="A1865" s="806" t="s">
        <v>110</v>
      </c>
      <c r="B1865" s="800" t="s">
        <v>38</v>
      </c>
      <c r="C1865" s="800" t="s">
        <v>3773</v>
      </c>
      <c r="D1865" s="800" t="s">
        <v>20336</v>
      </c>
      <c r="E1865" s="801">
        <v>43067</v>
      </c>
      <c r="F1865" s="800" t="s">
        <v>3807</v>
      </c>
      <c r="G1865" s="800" t="s">
        <v>20316</v>
      </c>
      <c r="H1865" s="800" t="s">
        <v>10531</v>
      </c>
      <c r="I1865" s="800" t="s">
        <v>10531</v>
      </c>
      <c r="J1865" s="800" t="s">
        <v>4342</v>
      </c>
      <c r="K1865" s="800">
        <v>1</v>
      </c>
      <c r="L1865" s="802" t="s">
        <v>10398</v>
      </c>
      <c r="M1865" s="802" t="s">
        <v>20337</v>
      </c>
      <c r="N1865" s="802" t="s">
        <v>20338</v>
      </c>
      <c r="O1865" s="802" t="s">
        <v>20339</v>
      </c>
      <c r="P1865" s="807" t="s">
        <v>32</v>
      </c>
    </row>
    <row r="1866" spans="1:16" s="341" customFormat="1" ht="25.5" customHeight="1">
      <c r="A1866" s="806" t="s">
        <v>110</v>
      </c>
      <c r="B1866" s="800" t="s">
        <v>38</v>
      </c>
      <c r="C1866" s="800" t="s">
        <v>3773</v>
      </c>
      <c r="D1866" s="800" t="s">
        <v>20340</v>
      </c>
      <c r="E1866" s="801">
        <v>43067</v>
      </c>
      <c r="F1866" s="800" t="s">
        <v>3807</v>
      </c>
      <c r="G1866" s="800" t="s">
        <v>20316</v>
      </c>
      <c r="H1866" s="800" t="s">
        <v>10531</v>
      </c>
      <c r="I1866" s="800" t="s">
        <v>10531</v>
      </c>
      <c r="J1866" s="800" t="s">
        <v>4342</v>
      </c>
      <c r="K1866" s="800">
        <v>1</v>
      </c>
      <c r="L1866" s="802" t="s">
        <v>10398</v>
      </c>
      <c r="M1866" s="802" t="s">
        <v>20341</v>
      </c>
      <c r="N1866" s="802" t="s">
        <v>14219</v>
      </c>
      <c r="O1866" s="802" t="s">
        <v>20342</v>
      </c>
      <c r="P1866" s="807" t="s">
        <v>20343</v>
      </c>
    </row>
    <row r="1867" spans="1:16" s="341" customFormat="1" ht="25.5" customHeight="1">
      <c r="A1867" s="806" t="s">
        <v>110</v>
      </c>
      <c r="B1867" s="800" t="s">
        <v>38</v>
      </c>
      <c r="C1867" s="800" t="s">
        <v>3773</v>
      </c>
      <c r="D1867" s="800" t="s">
        <v>20344</v>
      </c>
      <c r="E1867" s="801">
        <v>43067</v>
      </c>
      <c r="F1867" s="800" t="s">
        <v>3807</v>
      </c>
      <c r="G1867" s="800" t="s">
        <v>20316</v>
      </c>
      <c r="H1867" s="800" t="s">
        <v>10531</v>
      </c>
      <c r="I1867" s="800" t="s">
        <v>10531</v>
      </c>
      <c r="J1867" s="800" t="s">
        <v>4342</v>
      </c>
      <c r="K1867" s="800">
        <v>1</v>
      </c>
      <c r="L1867" s="802" t="s">
        <v>10605</v>
      </c>
      <c r="M1867" s="802" t="s">
        <v>32</v>
      </c>
      <c r="N1867" s="802" t="s">
        <v>13009</v>
      </c>
      <c r="O1867" s="802" t="s">
        <v>20345</v>
      </c>
      <c r="P1867" s="807" t="s">
        <v>32</v>
      </c>
    </row>
    <row r="1868" spans="1:16" s="341" customFormat="1" ht="25.5" customHeight="1">
      <c r="A1868" s="806" t="s">
        <v>110</v>
      </c>
      <c r="B1868" s="800" t="s">
        <v>38</v>
      </c>
      <c r="C1868" s="800" t="s">
        <v>3773</v>
      </c>
      <c r="D1868" s="800" t="s">
        <v>20346</v>
      </c>
      <c r="E1868" s="801">
        <v>43067</v>
      </c>
      <c r="F1868" s="800" t="s">
        <v>3807</v>
      </c>
      <c r="G1868" s="800" t="s">
        <v>19569</v>
      </c>
      <c r="H1868" s="800" t="s">
        <v>10531</v>
      </c>
      <c r="I1868" s="800" t="s">
        <v>10531</v>
      </c>
      <c r="J1868" s="800" t="s">
        <v>4342</v>
      </c>
      <c r="K1868" s="800">
        <v>1</v>
      </c>
      <c r="L1868" s="802" t="s">
        <v>10398</v>
      </c>
      <c r="M1868" s="802" t="s">
        <v>20347</v>
      </c>
      <c r="N1868" s="802" t="s">
        <v>20348</v>
      </c>
      <c r="O1868" s="802" t="s">
        <v>20349</v>
      </c>
      <c r="P1868" s="807" t="s">
        <v>20350</v>
      </c>
    </row>
    <row r="1869" spans="1:16" s="341" customFormat="1" ht="25.5" customHeight="1">
      <c r="A1869" s="806" t="s">
        <v>110</v>
      </c>
      <c r="B1869" s="800" t="s">
        <v>38</v>
      </c>
      <c r="C1869" s="800" t="s">
        <v>3773</v>
      </c>
      <c r="D1869" s="800" t="s">
        <v>20351</v>
      </c>
      <c r="E1869" s="801">
        <v>43067</v>
      </c>
      <c r="F1869" s="800" t="s">
        <v>3807</v>
      </c>
      <c r="G1869" s="800" t="s">
        <v>19569</v>
      </c>
      <c r="H1869" s="800" t="s">
        <v>10531</v>
      </c>
      <c r="I1869" s="800" t="s">
        <v>10531</v>
      </c>
      <c r="J1869" s="800" t="s">
        <v>4342</v>
      </c>
      <c r="K1869" s="800">
        <v>1</v>
      </c>
      <c r="L1869" s="802" t="s">
        <v>10398</v>
      </c>
      <c r="M1869" s="802" t="s">
        <v>20352</v>
      </c>
      <c r="N1869" s="802" t="s">
        <v>20353</v>
      </c>
      <c r="O1869" s="802" t="s">
        <v>20354</v>
      </c>
      <c r="P1869" s="807" t="s">
        <v>20355</v>
      </c>
    </row>
    <row r="1870" spans="1:16" s="341" customFormat="1" ht="25.5" customHeight="1">
      <c r="A1870" s="806" t="s">
        <v>110</v>
      </c>
      <c r="B1870" s="800" t="s">
        <v>38</v>
      </c>
      <c r="C1870" s="800" t="s">
        <v>3773</v>
      </c>
      <c r="D1870" s="800" t="s">
        <v>20356</v>
      </c>
      <c r="E1870" s="801">
        <v>43067</v>
      </c>
      <c r="F1870" s="800" t="s">
        <v>3807</v>
      </c>
      <c r="G1870" s="800" t="s">
        <v>19569</v>
      </c>
      <c r="H1870" s="800" t="s">
        <v>10531</v>
      </c>
      <c r="I1870" s="800" t="s">
        <v>10531</v>
      </c>
      <c r="J1870" s="800" t="s">
        <v>4342</v>
      </c>
      <c r="K1870" s="800">
        <v>1</v>
      </c>
      <c r="L1870" s="802" t="s">
        <v>10398</v>
      </c>
      <c r="M1870" s="802" t="s">
        <v>20357</v>
      </c>
      <c r="N1870" s="802" t="s">
        <v>20358</v>
      </c>
      <c r="O1870" s="802" t="s">
        <v>20359</v>
      </c>
      <c r="P1870" s="807" t="s">
        <v>20360</v>
      </c>
    </row>
    <row r="1871" spans="1:16" s="341" customFormat="1" ht="25.5" customHeight="1">
      <c r="A1871" s="806" t="s">
        <v>110</v>
      </c>
      <c r="B1871" s="800" t="s">
        <v>38</v>
      </c>
      <c r="C1871" s="800" t="s">
        <v>3773</v>
      </c>
      <c r="D1871" s="800" t="s">
        <v>20361</v>
      </c>
      <c r="E1871" s="801">
        <v>43067</v>
      </c>
      <c r="F1871" s="800" t="s">
        <v>3807</v>
      </c>
      <c r="G1871" s="800" t="s">
        <v>19569</v>
      </c>
      <c r="H1871" s="800" t="s">
        <v>10531</v>
      </c>
      <c r="I1871" s="800" t="s">
        <v>10531</v>
      </c>
      <c r="J1871" s="800" t="s">
        <v>4342</v>
      </c>
      <c r="K1871" s="800">
        <v>1</v>
      </c>
      <c r="L1871" s="802" t="s">
        <v>10398</v>
      </c>
      <c r="M1871" s="802" t="s">
        <v>20362</v>
      </c>
      <c r="N1871" s="802" t="s">
        <v>20363</v>
      </c>
      <c r="O1871" s="802" t="s">
        <v>20364</v>
      </c>
      <c r="P1871" s="807" t="s">
        <v>20365</v>
      </c>
    </row>
    <row r="1872" spans="1:16" s="341" customFormat="1" ht="25.5" customHeight="1">
      <c r="A1872" s="806" t="s">
        <v>110</v>
      </c>
      <c r="B1872" s="800" t="s">
        <v>38</v>
      </c>
      <c r="C1872" s="800" t="s">
        <v>3773</v>
      </c>
      <c r="D1872" s="800" t="s">
        <v>20366</v>
      </c>
      <c r="E1872" s="801">
        <v>43067</v>
      </c>
      <c r="F1872" s="800" t="s">
        <v>3807</v>
      </c>
      <c r="G1872" s="800" t="s">
        <v>19569</v>
      </c>
      <c r="H1872" s="800" t="s">
        <v>10531</v>
      </c>
      <c r="I1872" s="800" t="s">
        <v>10531</v>
      </c>
      <c r="J1872" s="800" t="s">
        <v>4342</v>
      </c>
      <c r="K1872" s="800">
        <v>1</v>
      </c>
      <c r="L1872" s="802" t="s">
        <v>10398</v>
      </c>
      <c r="M1872" s="802" t="s">
        <v>20367</v>
      </c>
      <c r="N1872" s="802" t="s">
        <v>20368</v>
      </c>
      <c r="O1872" s="802" t="s">
        <v>14341</v>
      </c>
      <c r="P1872" s="807" t="s">
        <v>20369</v>
      </c>
    </row>
    <row r="1873" spans="1:16" s="341" customFormat="1" ht="25.5" customHeight="1">
      <c r="A1873" s="806" t="s">
        <v>110</v>
      </c>
      <c r="B1873" s="800" t="s">
        <v>38</v>
      </c>
      <c r="C1873" s="800" t="s">
        <v>3773</v>
      </c>
      <c r="D1873" s="800" t="s">
        <v>20370</v>
      </c>
      <c r="E1873" s="801">
        <v>43067</v>
      </c>
      <c r="F1873" s="800" t="s">
        <v>3807</v>
      </c>
      <c r="G1873" s="800" t="s">
        <v>20316</v>
      </c>
      <c r="H1873" s="800" t="s">
        <v>10531</v>
      </c>
      <c r="I1873" s="800" t="s">
        <v>10531</v>
      </c>
      <c r="J1873" s="800" t="s">
        <v>4342</v>
      </c>
      <c r="K1873" s="800">
        <v>1</v>
      </c>
      <c r="L1873" s="802" t="s">
        <v>10398</v>
      </c>
      <c r="M1873" s="802" t="s">
        <v>20371</v>
      </c>
      <c r="N1873" s="802" t="s">
        <v>20372</v>
      </c>
      <c r="O1873" s="802" t="s">
        <v>20373</v>
      </c>
      <c r="P1873" s="807" t="s">
        <v>32</v>
      </c>
    </row>
    <row r="1874" spans="1:16" s="341" customFormat="1" ht="25.5" customHeight="1">
      <c r="A1874" s="806" t="s">
        <v>110</v>
      </c>
      <c r="B1874" s="800" t="s">
        <v>38</v>
      </c>
      <c r="C1874" s="800" t="s">
        <v>3773</v>
      </c>
      <c r="D1874" s="800" t="s">
        <v>20374</v>
      </c>
      <c r="E1874" s="801">
        <v>43067</v>
      </c>
      <c r="F1874" s="800" t="s">
        <v>3807</v>
      </c>
      <c r="G1874" s="800" t="s">
        <v>20316</v>
      </c>
      <c r="H1874" s="800" t="s">
        <v>10531</v>
      </c>
      <c r="I1874" s="800" t="s">
        <v>10531</v>
      </c>
      <c r="J1874" s="800" t="s">
        <v>4342</v>
      </c>
      <c r="K1874" s="800">
        <v>1</v>
      </c>
      <c r="L1874" s="802" t="s">
        <v>10398</v>
      </c>
      <c r="M1874" s="802" t="s">
        <v>20375</v>
      </c>
      <c r="N1874" s="802" t="s">
        <v>20376</v>
      </c>
      <c r="O1874" s="802" t="s">
        <v>20377</v>
      </c>
      <c r="P1874" s="807" t="s">
        <v>20378</v>
      </c>
    </row>
    <row r="1875" spans="1:16" s="341" customFormat="1" ht="25.5" customHeight="1">
      <c r="A1875" s="806" t="s">
        <v>110</v>
      </c>
      <c r="B1875" s="800" t="s">
        <v>38</v>
      </c>
      <c r="C1875" s="800" t="s">
        <v>3773</v>
      </c>
      <c r="D1875" s="800" t="s">
        <v>20379</v>
      </c>
      <c r="E1875" s="801">
        <v>43067</v>
      </c>
      <c r="F1875" s="800" t="s">
        <v>3807</v>
      </c>
      <c r="G1875" s="800" t="s">
        <v>20316</v>
      </c>
      <c r="H1875" s="800" t="s">
        <v>10531</v>
      </c>
      <c r="I1875" s="800" t="s">
        <v>10531</v>
      </c>
      <c r="J1875" s="800" t="s">
        <v>4342</v>
      </c>
      <c r="K1875" s="800">
        <v>1</v>
      </c>
      <c r="L1875" s="802" t="s">
        <v>10398</v>
      </c>
      <c r="M1875" s="802" t="s">
        <v>20380</v>
      </c>
      <c r="N1875" s="802" t="s">
        <v>12155</v>
      </c>
      <c r="O1875" s="802" t="s">
        <v>20381</v>
      </c>
      <c r="P1875" s="807" t="s">
        <v>20378</v>
      </c>
    </row>
    <row r="1876" spans="1:16" s="341" customFormat="1" ht="25.5" customHeight="1">
      <c r="A1876" s="806" t="s">
        <v>110</v>
      </c>
      <c r="B1876" s="800" t="s">
        <v>38</v>
      </c>
      <c r="C1876" s="800" t="s">
        <v>3773</v>
      </c>
      <c r="D1876" s="800" t="s">
        <v>20382</v>
      </c>
      <c r="E1876" s="801">
        <v>43070</v>
      </c>
      <c r="F1876" s="800" t="s">
        <v>3807</v>
      </c>
      <c r="G1876" s="800" t="s">
        <v>20316</v>
      </c>
      <c r="H1876" s="800" t="s">
        <v>10531</v>
      </c>
      <c r="I1876" s="800" t="s">
        <v>10531</v>
      </c>
      <c r="J1876" s="800" t="s">
        <v>4342</v>
      </c>
      <c r="K1876" s="800">
        <v>1</v>
      </c>
      <c r="L1876" s="802" t="s">
        <v>11026</v>
      </c>
      <c r="M1876" s="802" t="s">
        <v>20383</v>
      </c>
      <c r="N1876" s="802" t="s">
        <v>20384</v>
      </c>
      <c r="O1876" s="802" t="s">
        <v>20385</v>
      </c>
      <c r="P1876" s="807" t="s">
        <v>20369</v>
      </c>
    </row>
    <row r="1877" spans="1:16" s="341" customFormat="1" ht="25.5" customHeight="1">
      <c r="A1877" s="806" t="s">
        <v>110</v>
      </c>
      <c r="B1877" s="800" t="s">
        <v>38</v>
      </c>
      <c r="C1877" s="800" t="s">
        <v>3773</v>
      </c>
      <c r="D1877" s="800" t="s">
        <v>20386</v>
      </c>
      <c r="E1877" s="801">
        <v>43068</v>
      </c>
      <c r="F1877" s="800" t="s">
        <v>3807</v>
      </c>
      <c r="G1877" s="800" t="s">
        <v>20387</v>
      </c>
      <c r="H1877" s="800" t="s">
        <v>10396</v>
      </c>
      <c r="I1877" s="800" t="s">
        <v>10396</v>
      </c>
      <c r="J1877" s="800" t="s">
        <v>10405</v>
      </c>
      <c r="K1877" s="800">
        <v>1</v>
      </c>
      <c r="L1877" s="802" t="s">
        <v>10398</v>
      </c>
      <c r="M1877" s="802" t="s">
        <v>20388</v>
      </c>
      <c r="N1877" s="802" t="s">
        <v>20389</v>
      </c>
      <c r="O1877" s="802" t="s">
        <v>20390</v>
      </c>
      <c r="P1877" s="807" t="s">
        <v>20391</v>
      </c>
    </row>
    <row r="1878" spans="1:16" s="341" customFormat="1" ht="25.5" customHeight="1">
      <c r="A1878" s="806" t="s">
        <v>110</v>
      </c>
      <c r="B1878" s="800" t="s">
        <v>38</v>
      </c>
      <c r="C1878" s="800" t="s">
        <v>3773</v>
      </c>
      <c r="D1878" s="800" t="s">
        <v>20392</v>
      </c>
      <c r="E1878" s="801">
        <v>43068</v>
      </c>
      <c r="F1878" s="800" t="s">
        <v>3807</v>
      </c>
      <c r="G1878" s="800" t="s">
        <v>20393</v>
      </c>
      <c r="H1878" s="800" t="s">
        <v>10531</v>
      </c>
      <c r="I1878" s="800" t="s">
        <v>10531</v>
      </c>
      <c r="J1878" s="800" t="s">
        <v>4342</v>
      </c>
      <c r="K1878" s="800">
        <v>1</v>
      </c>
      <c r="L1878" s="802" t="s">
        <v>10398</v>
      </c>
      <c r="M1878" s="802" t="s">
        <v>20394</v>
      </c>
      <c r="N1878" s="802" t="s">
        <v>13154</v>
      </c>
      <c r="O1878" s="802" t="s">
        <v>20395</v>
      </c>
      <c r="P1878" s="807" t="s">
        <v>20260</v>
      </c>
    </row>
    <row r="1879" spans="1:16" s="341" customFormat="1" ht="25.5" customHeight="1">
      <c r="A1879" s="806" t="s">
        <v>110</v>
      </c>
      <c r="B1879" s="800" t="s">
        <v>38</v>
      </c>
      <c r="C1879" s="800" t="s">
        <v>3773</v>
      </c>
      <c r="D1879" s="800" t="s">
        <v>20396</v>
      </c>
      <c r="E1879" s="801">
        <v>43068</v>
      </c>
      <c r="F1879" s="800" t="s">
        <v>3807</v>
      </c>
      <c r="G1879" s="800" t="s">
        <v>20397</v>
      </c>
      <c r="H1879" s="800" t="s">
        <v>10531</v>
      </c>
      <c r="I1879" s="800" t="s">
        <v>10531</v>
      </c>
      <c r="J1879" s="800" t="s">
        <v>4342</v>
      </c>
      <c r="K1879" s="800">
        <v>1</v>
      </c>
      <c r="L1879" s="802" t="s">
        <v>10398</v>
      </c>
      <c r="M1879" s="802" t="s">
        <v>20398</v>
      </c>
      <c r="N1879" s="802" t="s">
        <v>14202</v>
      </c>
      <c r="O1879" s="802" t="s">
        <v>20399</v>
      </c>
      <c r="P1879" s="807" t="s">
        <v>20400</v>
      </c>
    </row>
    <row r="1880" spans="1:16" s="341" customFormat="1" ht="25.5" customHeight="1">
      <c r="A1880" s="806" t="s">
        <v>110</v>
      </c>
      <c r="B1880" s="800" t="s">
        <v>38</v>
      </c>
      <c r="C1880" s="800" t="s">
        <v>3773</v>
      </c>
      <c r="D1880" s="800" t="s">
        <v>20401</v>
      </c>
      <c r="E1880" s="801">
        <v>43067</v>
      </c>
      <c r="F1880" s="800" t="s">
        <v>20402</v>
      </c>
      <c r="G1880" s="800" t="s">
        <v>20403</v>
      </c>
      <c r="H1880" s="800" t="s">
        <v>10433</v>
      </c>
      <c r="I1880" s="800" t="s">
        <v>10433</v>
      </c>
      <c r="J1880" s="800" t="s">
        <v>4342</v>
      </c>
      <c r="K1880" s="800">
        <v>1</v>
      </c>
      <c r="L1880" s="802" t="s">
        <v>10398</v>
      </c>
      <c r="M1880" s="802" t="s">
        <v>20404</v>
      </c>
      <c r="N1880" s="802" t="s">
        <v>11461</v>
      </c>
      <c r="O1880" s="802" t="s">
        <v>20405</v>
      </c>
      <c r="P1880" s="807" t="s">
        <v>20406</v>
      </c>
    </row>
    <row r="1881" spans="1:16" s="341" customFormat="1" ht="25.5" customHeight="1">
      <c r="A1881" s="806" t="s">
        <v>110</v>
      </c>
      <c r="B1881" s="800" t="s">
        <v>38</v>
      </c>
      <c r="C1881" s="800" t="s">
        <v>3773</v>
      </c>
      <c r="D1881" s="800" t="s">
        <v>20407</v>
      </c>
      <c r="E1881" s="801">
        <v>43069</v>
      </c>
      <c r="F1881" s="800" t="s">
        <v>20408</v>
      </c>
      <c r="G1881" s="800" t="s">
        <v>20409</v>
      </c>
      <c r="H1881" s="800" t="s">
        <v>10531</v>
      </c>
      <c r="I1881" s="800" t="s">
        <v>10531</v>
      </c>
      <c r="J1881" s="800" t="s">
        <v>10397</v>
      </c>
      <c r="K1881" s="800">
        <v>1</v>
      </c>
      <c r="L1881" s="802" t="s">
        <v>10398</v>
      </c>
      <c r="M1881" s="802" t="s">
        <v>20410</v>
      </c>
      <c r="N1881" s="802" t="s">
        <v>20411</v>
      </c>
      <c r="O1881" s="802" t="s">
        <v>20412</v>
      </c>
      <c r="P1881" s="807" t="s">
        <v>20413</v>
      </c>
    </row>
    <row r="1882" spans="1:16" s="341" customFormat="1" ht="25.5" customHeight="1">
      <c r="A1882" s="806" t="s">
        <v>110</v>
      </c>
      <c r="B1882" s="800" t="s">
        <v>38</v>
      </c>
      <c r="C1882" s="800" t="s">
        <v>3773</v>
      </c>
      <c r="D1882" s="800" t="s">
        <v>20414</v>
      </c>
      <c r="E1882" s="801">
        <v>43069</v>
      </c>
      <c r="F1882" s="800" t="s">
        <v>20408</v>
      </c>
      <c r="G1882" s="800" t="s">
        <v>20415</v>
      </c>
      <c r="H1882" s="800" t="s">
        <v>10531</v>
      </c>
      <c r="I1882" s="800" t="s">
        <v>10531</v>
      </c>
      <c r="J1882" s="800" t="s">
        <v>10397</v>
      </c>
      <c r="K1882" s="800">
        <v>1</v>
      </c>
      <c r="L1882" s="802" t="s">
        <v>10398</v>
      </c>
      <c r="M1882" s="802" t="s">
        <v>20416</v>
      </c>
      <c r="N1882" s="802" t="s">
        <v>14977</v>
      </c>
      <c r="O1882" s="802" t="s">
        <v>20417</v>
      </c>
      <c r="P1882" s="807" t="s">
        <v>20418</v>
      </c>
    </row>
    <row r="1883" spans="1:16" s="341" customFormat="1" ht="25.5" customHeight="1">
      <c r="A1883" s="806" t="s">
        <v>110</v>
      </c>
      <c r="B1883" s="800" t="s">
        <v>38</v>
      </c>
      <c r="C1883" s="800" t="s">
        <v>3773</v>
      </c>
      <c r="D1883" s="800" t="s">
        <v>20419</v>
      </c>
      <c r="E1883" s="801">
        <v>43069</v>
      </c>
      <c r="F1883" s="800" t="s">
        <v>20408</v>
      </c>
      <c r="G1883" s="800" t="s">
        <v>20420</v>
      </c>
      <c r="H1883" s="800" t="s">
        <v>10531</v>
      </c>
      <c r="I1883" s="800" t="s">
        <v>10531</v>
      </c>
      <c r="J1883" s="800" t="s">
        <v>10397</v>
      </c>
      <c r="K1883" s="800">
        <v>1</v>
      </c>
      <c r="L1883" s="802" t="s">
        <v>10398</v>
      </c>
      <c r="M1883" s="802" t="s">
        <v>20421</v>
      </c>
      <c r="N1883" s="802" t="s">
        <v>20422</v>
      </c>
      <c r="O1883" s="802" t="s">
        <v>20423</v>
      </c>
      <c r="P1883" s="807" t="s">
        <v>20424</v>
      </c>
    </row>
    <row r="1884" spans="1:16" s="341" customFormat="1" ht="25.5" customHeight="1">
      <c r="A1884" s="806" t="s">
        <v>110</v>
      </c>
      <c r="B1884" s="800" t="s">
        <v>38</v>
      </c>
      <c r="C1884" s="800" t="s">
        <v>3773</v>
      </c>
      <c r="D1884" s="800" t="s">
        <v>20425</v>
      </c>
      <c r="E1884" s="801">
        <v>43069</v>
      </c>
      <c r="F1884" s="800" t="s">
        <v>20408</v>
      </c>
      <c r="G1884" s="800" t="s">
        <v>20426</v>
      </c>
      <c r="H1884" s="800" t="s">
        <v>10531</v>
      </c>
      <c r="I1884" s="800" t="s">
        <v>10531</v>
      </c>
      <c r="J1884" s="800" t="s">
        <v>10397</v>
      </c>
      <c r="K1884" s="800">
        <v>1</v>
      </c>
      <c r="L1884" s="802" t="s">
        <v>10398</v>
      </c>
      <c r="M1884" s="802" t="s">
        <v>20427</v>
      </c>
      <c r="N1884" s="802" t="s">
        <v>16905</v>
      </c>
      <c r="O1884" s="802" t="s">
        <v>20428</v>
      </c>
      <c r="P1884" s="807" t="s">
        <v>20429</v>
      </c>
    </row>
    <row r="1885" spans="1:16" s="341" customFormat="1" ht="25.5" customHeight="1">
      <c r="A1885" s="806" t="s">
        <v>110</v>
      </c>
      <c r="B1885" s="800" t="s">
        <v>38</v>
      </c>
      <c r="C1885" s="800" t="s">
        <v>3773</v>
      </c>
      <c r="D1885" s="800" t="s">
        <v>20430</v>
      </c>
      <c r="E1885" s="801">
        <v>43069</v>
      </c>
      <c r="F1885" s="800" t="s">
        <v>20408</v>
      </c>
      <c r="G1885" s="800" t="s">
        <v>20431</v>
      </c>
      <c r="H1885" s="800" t="s">
        <v>10531</v>
      </c>
      <c r="I1885" s="800" t="s">
        <v>10531</v>
      </c>
      <c r="J1885" s="800" t="s">
        <v>10397</v>
      </c>
      <c r="K1885" s="800">
        <v>1</v>
      </c>
      <c r="L1885" s="802" t="s">
        <v>10398</v>
      </c>
      <c r="M1885" s="802" t="s">
        <v>20432</v>
      </c>
      <c r="N1885" s="802" t="s">
        <v>18889</v>
      </c>
      <c r="O1885" s="802" t="s">
        <v>20385</v>
      </c>
      <c r="P1885" s="807" t="s">
        <v>20433</v>
      </c>
    </row>
    <row r="1886" spans="1:16" s="341" customFormat="1" ht="25.5" customHeight="1">
      <c r="A1886" s="806" t="s">
        <v>110</v>
      </c>
      <c r="B1886" s="800" t="s">
        <v>38</v>
      </c>
      <c r="C1886" s="800" t="s">
        <v>3773</v>
      </c>
      <c r="D1886" s="800" t="s">
        <v>20434</v>
      </c>
      <c r="E1886" s="801">
        <v>43069</v>
      </c>
      <c r="F1886" s="800" t="s">
        <v>20408</v>
      </c>
      <c r="G1886" s="800" t="s">
        <v>20435</v>
      </c>
      <c r="H1886" s="800" t="s">
        <v>10531</v>
      </c>
      <c r="I1886" s="800" t="s">
        <v>10531</v>
      </c>
      <c r="J1886" s="800" t="s">
        <v>10397</v>
      </c>
      <c r="K1886" s="800">
        <v>1</v>
      </c>
      <c r="L1886" s="802" t="s">
        <v>10398</v>
      </c>
      <c r="M1886" s="802" t="s">
        <v>20436</v>
      </c>
      <c r="N1886" s="802" t="s">
        <v>20437</v>
      </c>
      <c r="O1886" s="802" t="s">
        <v>20438</v>
      </c>
      <c r="P1886" s="807" t="s">
        <v>20439</v>
      </c>
    </row>
    <row r="1887" spans="1:16" s="341" customFormat="1" ht="25.5" customHeight="1">
      <c r="A1887" s="806" t="s">
        <v>110</v>
      </c>
      <c r="B1887" s="800" t="s">
        <v>38</v>
      </c>
      <c r="C1887" s="800" t="s">
        <v>3773</v>
      </c>
      <c r="D1887" s="800" t="s">
        <v>20440</v>
      </c>
      <c r="E1887" s="801">
        <v>43069</v>
      </c>
      <c r="F1887" s="800" t="s">
        <v>20408</v>
      </c>
      <c r="G1887" s="800" t="s">
        <v>20441</v>
      </c>
      <c r="H1887" s="800" t="s">
        <v>10531</v>
      </c>
      <c r="I1887" s="800" t="s">
        <v>10531</v>
      </c>
      <c r="J1887" s="800" t="s">
        <v>10397</v>
      </c>
      <c r="K1887" s="800">
        <v>1</v>
      </c>
      <c r="L1887" s="802" t="s">
        <v>10398</v>
      </c>
      <c r="M1887" s="802" t="s">
        <v>20442</v>
      </c>
      <c r="N1887" s="802" t="s">
        <v>19151</v>
      </c>
      <c r="O1887" s="802" t="s">
        <v>20443</v>
      </c>
      <c r="P1887" s="807" t="s">
        <v>20444</v>
      </c>
    </row>
    <row r="1888" spans="1:16" s="341" customFormat="1" ht="25.5" customHeight="1">
      <c r="A1888" s="806" t="s">
        <v>110</v>
      </c>
      <c r="B1888" s="800" t="s">
        <v>38</v>
      </c>
      <c r="C1888" s="800" t="s">
        <v>3773</v>
      </c>
      <c r="D1888" s="800" t="s">
        <v>20445</v>
      </c>
      <c r="E1888" s="801">
        <v>43069</v>
      </c>
      <c r="F1888" s="800" t="s">
        <v>20408</v>
      </c>
      <c r="G1888" s="800" t="s">
        <v>20446</v>
      </c>
      <c r="H1888" s="800" t="s">
        <v>10531</v>
      </c>
      <c r="I1888" s="800" t="s">
        <v>10531</v>
      </c>
      <c r="J1888" s="800" t="s">
        <v>10397</v>
      </c>
      <c r="K1888" s="800">
        <v>1</v>
      </c>
      <c r="L1888" s="802" t="s">
        <v>10398</v>
      </c>
      <c r="M1888" s="802" t="s">
        <v>20447</v>
      </c>
      <c r="N1888" s="802" t="s">
        <v>15032</v>
      </c>
      <c r="O1888" s="802" t="s">
        <v>20448</v>
      </c>
      <c r="P1888" s="807" t="s">
        <v>20449</v>
      </c>
    </row>
    <row r="1889" spans="1:16" s="341" customFormat="1" ht="25.5" customHeight="1">
      <c r="A1889" s="806" t="s">
        <v>110</v>
      </c>
      <c r="B1889" s="800" t="s">
        <v>38</v>
      </c>
      <c r="C1889" s="800" t="s">
        <v>3773</v>
      </c>
      <c r="D1889" s="800" t="s">
        <v>20450</v>
      </c>
      <c r="E1889" s="801">
        <v>43069</v>
      </c>
      <c r="F1889" s="800" t="s">
        <v>20408</v>
      </c>
      <c r="G1889" s="800" t="s">
        <v>20451</v>
      </c>
      <c r="H1889" s="800" t="s">
        <v>10531</v>
      </c>
      <c r="I1889" s="800" t="s">
        <v>10531</v>
      </c>
      <c r="J1889" s="800" t="s">
        <v>10397</v>
      </c>
      <c r="K1889" s="800">
        <v>1</v>
      </c>
      <c r="L1889" s="802" t="s">
        <v>10398</v>
      </c>
      <c r="M1889" s="802" t="s">
        <v>20452</v>
      </c>
      <c r="N1889" s="802" t="s">
        <v>10648</v>
      </c>
      <c r="O1889" s="802" t="s">
        <v>20453</v>
      </c>
      <c r="P1889" s="807" t="s">
        <v>20454</v>
      </c>
    </row>
    <row r="1890" spans="1:16" s="341" customFormat="1" ht="25.5" customHeight="1">
      <c r="A1890" s="806" t="s">
        <v>110</v>
      </c>
      <c r="B1890" s="800" t="s">
        <v>38</v>
      </c>
      <c r="C1890" s="800" t="s">
        <v>3773</v>
      </c>
      <c r="D1890" s="800" t="s">
        <v>20455</v>
      </c>
      <c r="E1890" s="801">
        <v>43069</v>
      </c>
      <c r="F1890" s="800" t="s">
        <v>20408</v>
      </c>
      <c r="G1890" s="800" t="s">
        <v>20456</v>
      </c>
      <c r="H1890" s="800" t="s">
        <v>10531</v>
      </c>
      <c r="I1890" s="800" t="s">
        <v>10531</v>
      </c>
      <c r="J1890" s="800" t="s">
        <v>10397</v>
      </c>
      <c r="K1890" s="800">
        <v>1</v>
      </c>
      <c r="L1890" s="802" t="s">
        <v>10398</v>
      </c>
      <c r="M1890" s="802" t="s">
        <v>20457</v>
      </c>
      <c r="N1890" s="802" t="s">
        <v>12260</v>
      </c>
      <c r="O1890" s="802" t="s">
        <v>20458</v>
      </c>
      <c r="P1890" s="807" t="s">
        <v>20459</v>
      </c>
    </row>
    <row r="1891" spans="1:16" s="341" customFormat="1" ht="25.5" customHeight="1">
      <c r="A1891" s="806" t="s">
        <v>110</v>
      </c>
      <c r="B1891" s="800" t="s">
        <v>38</v>
      </c>
      <c r="C1891" s="800" t="s">
        <v>3773</v>
      </c>
      <c r="D1891" s="800" t="s">
        <v>20460</v>
      </c>
      <c r="E1891" s="801">
        <v>43062</v>
      </c>
      <c r="F1891" s="800" t="s">
        <v>20408</v>
      </c>
      <c r="G1891" s="800" t="s">
        <v>20461</v>
      </c>
      <c r="H1891" s="800" t="s">
        <v>10531</v>
      </c>
      <c r="I1891" s="800" t="s">
        <v>10531</v>
      </c>
      <c r="J1891" s="800" t="s">
        <v>4342</v>
      </c>
      <c r="K1891" s="800">
        <v>1</v>
      </c>
      <c r="L1891" s="802" t="s">
        <v>10398</v>
      </c>
      <c r="M1891" s="802" t="s">
        <v>20462</v>
      </c>
      <c r="N1891" s="802" t="s">
        <v>11964</v>
      </c>
      <c r="O1891" s="802" t="s">
        <v>20463</v>
      </c>
      <c r="P1891" s="807" t="s">
        <v>20464</v>
      </c>
    </row>
    <row r="1892" spans="1:16" s="341" customFormat="1" ht="25.5" customHeight="1">
      <c r="A1892" s="806" t="s">
        <v>110</v>
      </c>
      <c r="B1892" s="800" t="s">
        <v>38</v>
      </c>
      <c r="C1892" s="800" t="s">
        <v>3773</v>
      </c>
      <c r="D1892" s="800" t="s">
        <v>20465</v>
      </c>
      <c r="E1892" s="801">
        <v>43069</v>
      </c>
      <c r="F1892" s="800" t="s">
        <v>20408</v>
      </c>
      <c r="G1892" s="800" t="s">
        <v>20466</v>
      </c>
      <c r="H1892" s="800" t="s">
        <v>10531</v>
      </c>
      <c r="I1892" s="800" t="s">
        <v>10531</v>
      </c>
      <c r="J1892" s="800" t="s">
        <v>10397</v>
      </c>
      <c r="K1892" s="800">
        <v>1</v>
      </c>
      <c r="L1892" s="802" t="s">
        <v>10398</v>
      </c>
      <c r="M1892" s="802" t="s">
        <v>20467</v>
      </c>
      <c r="N1892" s="802" t="s">
        <v>20468</v>
      </c>
      <c r="O1892" s="802" t="s">
        <v>20469</v>
      </c>
      <c r="P1892" s="807" t="s">
        <v>20470</v>
      </c>
    </row>
    <row r="1893" spans="1:16" s="341" customFormat="1" ht="25.5" customHeight="1">
      <c r="A1893" s="806" t="s">
        <v>110</v>
      </c>
      <c r="B1893" s="800" t="s">
        <v>38</v>
      </c>
      <c r="C1893" s="800" t="s">
        <v>3773</v>
      </c>
      <c r="D1893" s="800" t="s">
        <v>20471</v>
      </c>
      <c r="E1893" s="801">
        <v>43069</v>
      </c>
      <c r="F1893" s="800" t="s">
        <v>20408</v>
      </c>
      <c r="G1893" s="800" t="s">
        <v>20472</v>
      </c>
      <c r="H1893" s="800" t="s">
        <v>10531</v>
      </c>
      <c r="I1893" s="800" t="s">
        <v>10531</v>
      </c>
      <c r="J1893" s="800" t="s">
        <v>10397</v>
      </c>
      <c r="K1893" s="800">
        <v>1</v>
      </c>
      <c r="L1893" s="802" t="s">
        <v>10398</v>
      </c>
      <c r="M1893" s="802" t="s">
        <v>20473</v>
      </c>
      <c r="N1893" s="802" t="s">
        <v>20474</v>
      </c>
      <c r="O1893" s="802" t="s">
        <v>20475</v>
      </c>
      <c r="P1893" s="807" t="s">
        <v>20476</v>
      </c>
    </row>
    <row r="1894" spans="1:16" s="341" customFormat="1" ht="25.5" customHeight="1">
      <c r="A1894" s="806" t="s">
        <v>110</v>
      </c>
      <c r="B1894" s="800" t="s">
        <v>38</v>
      </c>
      <c r="C1894" s="800" t="s">
        <v>3773</v>
      </c>
      <c r="D1894" s="800" t="s">
        <v>20477</v>
      </c>
      <c r="E1894" s="801">
        <v>43069</v>
      </c>
      <c r="F1894" s="800" t="s">
        <v>20408</v>
      </c>
      <c r="G1894" s="800" t="s">
        <v>20478</v>
      </c>
      <c r="H1894" s="800" t="s">
        <v>10531</v>
      </c>
      <c r="I1894" s="800" t="s">
        <v>10531</v>
      </c>
      <c r="J1894" s="800" t="s">
        <v>10397</v>
      </c>
      <c r="K1894" s="800">
        <v>1</v>
      </c>
      <c r="L1894" s="802" t="s">
        <v>10398</v>
      </c>
      <c r="M1894" s="802" t="s">
        <v>20479</v>
      </c>
      <c r="N1894" s="802" t="s">
        <v>20480</v>
      </c>
      <c r="O1894" s="802" t="s">
        <v>15205</v>
      </c>
      <c r="P1894" s="807" t="s">
        <v>20481</v>
      </c>
    </row>
    <row r="1895" spans="1:16" s="341" customFormat="1" ht="25.5" customHeight="1">
      <c r="A1895" s="806" t="s">
        <v>110</v>
      </c>
      <c r="B1895" s="800" t="s">
        <v>38</v>
      </c>
      <c r="C1895" s="800" t="s">
        <v>3773</v>
      </c>
      <c r="D1895" s="800" t="s">
        <v>20482</v>
      </c>
      <c r="E1895" s="801">
        <v>43069</v>
      </c>
      <c r="F1895" s="800" t="s">
        <v>20408</v>
      </c>
      <c r="G1895" s="800" t="s">
        <v>20483</v>
      </c>
      <c r="H1895" s="800" t="s">
        <v>10531</v>
      </c>
      <c r="I1895" s="800" t="s">
        <v>10531</v>
      </c>
      <c r="J1895" s="800" t="s">
        <v>10397</v>
      </c>
      <c r="K1895" s="800">
        <v>1</v>
      </c>
      <c r="L1895" s="802" t="s">
        <v>10398</v>
      </c>
      <c r="M1895" s="802" t="s">
        <v>20484</v>
      </c>
      <c r="N1895" s="802" t="s">
        <v>20485</v>
      </c>
      <c r="O1895" s="802" t="s">
        <v>20486</v>
      </c>
      <c r="P1895" s="807" t="s">
        <v>20487</v>
      </c>
    </row>
    <row r="1896" spans="1:16" s="341" customFormat="1" ht="25.5" customHeight="1">
      <c r="A1896" s="806" t="s">
        <v>110</v>
      </c>
      <c r="B1896" s="800" t="s">
        <v>38</v>
      </c>
      <c r="C1896" s="800" t="s">
        <v>3773</v>
      </c>
      <c r="D1896" s="800" t="s">
        <v>20488</v>
      </c>
      <c r="E1896" s="801">
        <v>43069</v>
      </c>
      <c r="F1896" s="800" t="s">
        <v>20408</v>
      </c>
      <c r="G1896" s="800" t="s">
        <v>20489</v>
      </c>
      <c r="H1896" s="800" t="s">
        <v>10531</v>
      </c>
      <c r="I1896" s="800" t="s">
        <v>10531</v>
      </c>
      <c r="J1896" s="800" t="s">
        <v>4342</v>
      </c>
      <c r="K1896" s="800">
        <v>1</v>
      </c>
      <c r="L1896" s="802" t="s">
        <v>10398</v>
      </c>
      <c r="M1896" s="802" t="s">
        <v>20490</v>
      </c>
      <c r="N1896" s="802" t="s">
        <v>20491</v>
      </c>
      <c r="O1896" s="802" t="s">
        <v>20492</v>
      </c>
      <c r="P1896" s="807" t="s">
        <v>20493</v>
      </c>
    </row>
    <row r="1897" spans="1:16" s="341" customFormat="1" ht="25.5" customHeight="1">
      <c r="A1897" s="806" t="s">
        <v>110</v>
      </c>
      <c r="B1897" s="800" t="s">
        <v>38</v>
      </c>
      <c r="C1897" s="800" t="s">
        <v>3773</v>
      </c>
      <c r="D1897" s="800" t="s">
        <v>20494</v>
      </c>
      <c r="E1897" s="801">
        <v>43069</v>
      </c>
      <c r="F1897" s="800" t="s">
        <v>20408</v>
      </c>
      <c r="G1897" s="800" t="s">
        <v>20495</v>
      </c>
      <c r="H1897" s="800" t="s">
        <v>10531</v>
      </c>
      <c r="I1897" s="800" t="s">
        <v>10531</v>
      </c>
      <c r="J1897" s="800" t="s">
        <v>4342</v>
      </c>
      <c r="K1897" s="800">
        <v>1</v>
      </c>
      <c r="L1897" s="802" t="s">
        <v>10398</v>
      </c>
      <c r="M1897" s="802" t="s">
        <v>20496</v>
      </c>
      <c r="N1897" s="802" t="s">
        <v>20497</v>
      </c>
      <c r="O1897" s="802" t="s">
        <v>20498</v>
      </c>
      <c r="P1897" s="807" t="s">
        <v>20499</v>
      </c>
    </row>
    <row r="1898" spans="1:16" s="341" customFormat="1" ht="25.5" customHeight="1">
      <c r="A1898" s="806" t="s">
        <v>110</v>
      </c>
      <c r="B1898" s="800" t="s">
        <v>38</v>
      </c>
      <c r="C1898" s="800" t="s">
        <v>3773</v>
      </c>
      <c r="D1898" s="800" t="s">
        <v>20500</v>
      </c>
      <c r="E1898" s="801">
        <v>43069</v>
      </c>
      <c r="F1898" s="800" t="s">
        <v>20408</v>
      </c>
      <c r="G1898" s="800" t="s">
        <v>20495</v>
      </c>
      <c r="H1898" s="800" t="s">
        <v>10531</v>
      </c>
      <c r="I1898" s="800" t="s">
        <v>10531</v>
      </c>
      <c r="J1898" s="800" t="s">
        <v>4342</v>
      </c>
      <c r="K1898" s="800">
        <v>1</v>
      </c>
      <c r="L1898" s="802" t="s">
        <v>10398</v>
      </c>
      <c r="M1898" s="802" t="s">
        <v>20501</v>
      </c>
      <c r="N1898" s="802" t="s">
        <v>16085</v>
      </c>
      <c r="O1898" s="802" t="s">
        <v>20502</v>
      </c>
      <c r="P1898" s="807" t="s">
        <v>20503</v>
      </c>
    </row>
    <row r="1899" spans="1:16" s="341" customFormat="1" ht="25.5" customHeight="1">
      <c r="A1899" s="806" t="s">
        <v>110</v>
      </c>
      <c r="B1899" s="800" t="s">
        <v>38</v>
      </c>
      <c r="C1899" s="800" t="s">
        <v>3773</v>
      </c>
      <c r="D1899" s="800" t="s">
        <v>20504</v>
      </c>
      <c r="E1899" s="801">
        <v>43069</v>
      </c>
      <c r="F1899" s="800" t="s">
        <v>20408</v>
      </c>
      <c r="G1899" s="800" t="s">
        <v>20495</v>
      </c>
      <c r="H1899" s="800" t="s">
        <v>10531</v>
      </c>
      <c r="I1899" s="800" t="s">
        <v>10531</v>
      </c>
      <c r="J1899" s="800" t="s">
        <v>4342</v>
      </c>
      <c r="K1899" s="800">
        <v>1</v>
      </c>
      <c r="L1899" s="802" t="s">
        <v>10398</v>
      </c>
      <c r="M1899" s="802" t="s">
        <v>20505</v>
      </c>
      <c r="N1899" s="802" t="s">
        <v>20506</v>
      </c>
      <c r="O1899" s="802" t="s">
        <v>20507</v>
      </c>
      <c r="P1899" s="807" t="s">
        <v>20508</v>
      </c>
    </row>
    <row r="1900" spans="1:16" s="341" customFormat="1" ht="25.5" customHeight="1">
      <c r="A1900" s="806" t="s">
        <v>110</v>
      </c>
      <c r="B1900" s="800" t="s">
        <v>38</v>
      </c>
      <c r="C1900" s="800" t="s">
        <v>3773</v>
      </c>
      <c r="D1900" s="800" t="s">
        <v>20509</v>
      </c>
      <c r="E1900" s="801">
        <v>43069</v>
      </c>
      <c r="F1900" s="800" t="s">
        <v>20408</v>
      </c>
      <c r="G1900" s="800" t="s">
        <v>20510</v>
      </c>
      <c r="H1900" s="800" t="s">
        <v>10531</v>
      </c>
      <c r="I1900" s="800" t="s">
        <v>10531</v>
      </c>
      <c r="J1900" s="800" t="s">
        <v>4342</v>
      </c>
      <c r="K1900" s="800">
        <v>1</v>
      </c>
      <c r="L1900" s="802" t="s">
        <v>10398</v>
      </c>
      <c r="M1900" s="802" t="s">
        <v>20511</v>
      </c>
      <c r="N1900" s="802" t="s">
        <v>13121</v>
      </c>
      <c r="O1900" s="802" t="s">
        <v>20512</v>
      </c>
      <c r="P1900" s="807" t="s">
        <v>20513</v>
      </c>
    </row>
    <row r="1901" spans="1:16" s="341" customFormat="1" ht="25.5" customHeight="1">
      <c r="A1901" s="806" t="s">
        <v>110</v>
      </c>
      <c r="B1901" s="800" t="s">
        <v>38</v>
      </c>
      <c r="C1901" s="800" t="s">
        <v>3773</v>
      </c>
      <c r="D1901" s="800" t="s">
        <v>20514</v>
      </c>
      <c r="E1901" s="801">
        <v>43069</v>
      </c>
      <c r="F1901" s="800" t="s">
        <v>20408</v>
      </c>
      <c r="G1901" s="800" t="s">
        <v>20408</v>
      </c>
      <c r="H1901" s="800" t="s">
        <v>10531</v>
      </c>
      <c r="I1901" s="800" t="s">
        <v>10531</v>
      </c>
      <c r="J1901" s="800" t="s">
        <v>4342</v>
      </c>
      <c r="K1901" s="800">
        <v>1</v>
      </c>
      <c r="L1901" s="802" t="s">
        <v>10398</v>
      </c>
      <c r="M1901" s="802" t="s">
        <v>20515</v>
      </c>
      <c r="N1901" s="802" t="s">
        <v>20516</v>
      </c>
      <c r="O1901" s="802" t="s">
        <v>20517</v>
      </c>
      <c r="P1901" s="807" t="s">
        <v>20518</v>
      </c>
    </row>
    <row r="1902" spans="1:16" s="341" customFormat="1" ht="25.5" customHeight="1">
      <c r="A1902" s="806" t="s">
        <v>110</v>
      </c>
      <c r="B1902" s="800" t="s">
        <v>38</v>
      </c>
      <c r="C1902" s="800" t="s">
        <v>3773</v>
      </c>
      <c r="D1902" s="800" t="s">
        <v>20519</v>
      </c>
      <c r="E1902" s="801">
        <v>43069</v>
      </c>
      <c r="F1902" s="800" t="s">
        <v>20408</v>
      </c>
      <c r="G1902" s="800" t="s">
        <v>20495</v>
      </c>
      <c r="H1902" s="800" t="s">
        <v>10531</v>
      </c>
      <c r="I1902" s="800" t="s">
        <v>10531</v>
      </c>
      <c r="J1902" s="800" t="s">
        <v>4342</v>
      </c>
      <c r="K1902" s="800">
        <v>1</v>
      </c>
      <c r="L1902" s="802" t="s">
        <v>10398</v>
      </c>
      <c r="M1902" s="802" t="s">
        <v>20520</v>
      </c>
      <c r="N1902" s="802" t="s">
        <v>20521</v>
      </c>
      <c r="O1902" s="802" t="s">
        <v>20522</v>
      </c>
      <c r="P1902" s="807" t="s">
        <v>32</v>
      </c>
    </row>
    <row r="1903" spans="1:16" s="341" customFormat="1" ht="25.5" customHeight="1">
      <c r="A1903" s="806" t="s">
        <v>110</v>
      </c>
      <c r="B1903" s="800" t="s">
        <v>38</v>
      </c>
      <c r="C1903" s="800" t="s">
        <v>3773</v>
      </c>
      <c r="D1903" s="800" t="s">
        <v>20523</v>
      </c>
      <c r="E1903" s="801">
        <v>43069</v>
      </c>
      <c r="F1903" s="800" t="s">
        <v>20408</v>
      </c>
      <c r="G1903" s="800" t="s">
        <v>20495</v>
      </c>
      <c r="H1903" s="800" t="s">
        <v>10433</v>
      </c>
      <c r="I1903" s="800" t="s">
        <v>10433</v>
      </c>
      <c r="J1903" s="800" t="s">
        <v>4342</v>
      </c>
      <c r="K1903" s="800">
        <v>1</v>
      </c>
      <c r="L1903" s="802" t="s">
        <v>10398</v>
      </c>
      <c r="M1903" s="802" t="s">
        <v>20524</v>
      </c>
      <c r="N1903" s="802" t="s">
        <v>20525</v>
      </c>
      <c r="O1903" s="802" t="s">
        <v>20526</v>
      </c>
      <c r="P1903" s="807" t="s">
        <v>20527</v>
      </c>
    </row>
    <row r="1904" spans="1:16" s="341" customFormat="1" ht="25.5" customHeight="1">
      <c r="A1904" s="806" t="s">
        <v>110</v>
      </c>
      <c r="B1904" s="800" t="s">
        <v>38</v>
      </c>
      <c r="C1904" s="800" t="s">
        <v>3773</v>
      </c>
      <c r="D1904" s="800" t="s">
        <v>20528</v>
      </c>
      <c r="E1904" s="801">
        <v>43069</v>
      </c>
      <c r="F1904" s="800" t="s">
        <v>20408</v>
      </c>
      <c r="G1904" s="800" t="s">
        <v>20495</v>
      </c>
      <c r="H1904" s="800" t="s">
        <v>10433</v>
      </c>
      <c r="I1904" s="800" t="s">
        <v>10433</v>
      </c>
      <c r="J1904" s="800" t="s">
        <v>4342</v>
      </c>
      <c r="K1904" s="800">
        <v>1</v>
      </c>
      <c r="L1904" s="802" t="s">
        <v>10398</v>
      </c>
      <c r="M1904" s="802" t="s">
        <v>20529</v>
      </c>
      <c r="N1904" s="802" t="s">
        <v>11085</v>
      </c>
      <c r="O1904" s="802" t="s">
        <v>20530</v>
      </c>
      <c r="P1904" s="807" t="s">
        <v>20531</v>
      </c>
    </row>
    <row r="1905" spans="1:16" s="341" customFormat="1" ht="25.5" customHeight="1">
      <c r="A1905" s="806" t="s">
        <v>110</v>
      </c>
      <c r="B1905" s="800" t="s">
        <v>38</v>
      </c>
      <c r="C1905" s="800" t="s">
        <v>3773</v>
      </c>
      <c r="D1905" s="800" t="s">
        <v>20532</v>
      </c>
      <c r="E1905" s="801">
        <v>43069</v>
      </c>
      <c r="F1905" s="800" t="s">
        <v>20408</v>
      </c>
      <c r="G1905" s="800" t="s">
        <v>20495</v>
      </c>
      <c r="H1905" s="800" t="s">
        <v>10531</v>
      </c>
      <c r="I1905" s="800" t="s">
        <v>10531</v>
      </c>
      <c r="J1905" s="800" t="s">
        <v>4342</v>
      </c>
      <c r="K1905" s="800">
        <v>1</v>
      </c>
      <c r="L1905" s="802" t="s">
        <v>10398</v>
      </c>
      <c r="M1905" s="802" t="s">
        <v>20533</v>
      </c>
      <c r="N1905" s="802" t="s">
        <v>20534</v>
      </c>
      <c r="O1905" s="802" t="s">
        <v>20443</v>
      </c>
      <c r="P1905" s="807" t="s">
        <v>20535</v>
      </c>
    </row>
    <row r="1906" spans="1:16" s="341" customFormat="1" ht="25.5" customHeight="1">
      <c r="A1906" s="806" t="s">
        <v>110</v>
      </c>
      <c r="B1906" s="800" t="s">
        <v>38</v>
      </c>
      <c r="C1906" s="800" t="s">
        <v>3773</v>
      </c>
      <c r="D1906" s="800" t="s">
        <v>20536</v>
      </c>
      <c r="E1906" s="801">
        <v>43069</v>
      </c>
      <c r="F1906" s="800" t="s">
        <v>20408</v>
      </c>
      <c r="G1906" s="800" t="s">
        <v>20495</v>
      </c>
      <c r="H1906" s="800" t="s">
        <v>10531</v>
      </c>
      <c r="I1906" s="800" t="s">
        <v>10531</v>
      </c>
      <c r="J1906" s="800" t="s">
        <v>4342</v>
      </c>
      <c r="K1906" s="800">
        <v>1</v>
      </c>
      <c r="L1906" s="802" t="s">
        <v>10398</v>
      </c>
      <c r="M1906" s="802" t="s">
        <v>20537</v>
      </c>
      <c r="N1906" s="802" t="s">
        <v>20538</v>
      </c>
      <c r="O1906" s="802" t="s">
        <v>20539</v>
      </c>
      <c r="P1906" s="807" t="s">
        <v>20540</v>
      </c>
    </row>
    <row r="1907" spans="1:16" s="341" customFormat="1" ht="25.5" customHeight="1">
      <c r="A1907" s="806" t="s">
        <v>110</v>
      </c>
      <c r="B1907" s="800" t="s">
        <v>38</v>
      </c>
      <c r="C1907" s="800" t="s">
        <v>3773</v>
      </c>
      <c r="D1907" s="800" t="s">
        <v>20541</v>
      </c>
      <c r="E1907" s="801">
        <v>43069</v>
      </c>
      <c r="F1907" s="800" t="s">
        <v>20408</v>
      </c>
      <c r="G1907" s="800" t="s">
        <v>20542</v>
      </c>
      <c r="H1907" s="800" t="s">
        <v>10531</v>
      </c>
      <c r="I1907" s="800" t="s">
        <v>10531</v>
      </c>
      <c r="J1907" s="800" t="s">
        <v>10397</v>
      </c>
      <c r="K1907" s="800">
        <v>1</v>
      </c>
      <c r="L1907" s="802" t="s">
        <v>10398</v>
      </c>
      <c r="M1907" s="802" t="s">
        <v>20543</v>
      </c>
      <c r="N1907" s="802" t="s">
        <v>20544</v>
      </c>
      <c r="O1907" s="802" t="s">
        <v>20545</v>
      </c>
      <c r="P1907" s="807" t="s">
        <v>20540</v>
      </c>
    </row>
    <row r="1908" spans="1:16" s="341" customFormat="1" ht="25.5" customHeight="1">
      <c r="A1908" s="806" t="s">
        <v>110</v>
      </c>
      <c r="B1908" s="800" t="s">
        <v>38</v>
      </c>
      <c r="C1908" s="800" t="s">
        <v>3773</v>
      </c>
      <c r="D1908" s="800" t="s">
        <v>20546</v>
      </c>
      <c r="E1908" s="801">
        <v>43070</v>
      </c>
      <c r="F1908" s="800" t="s">
        <v>20408</v>
      </c>
      <c r="G1908" s="800" t="s">
        <v>20547</v>
      </c>
      <c r="H1908" s="800" t="s">
        <v>10531</v>
      </c>
      <c r="I1908" s="800" t="s">
        <v>10531</v>
      </c>
      <c r="J1908" s="800" t="s">
        <v>4342</v>
      </c>
      <c r="K1908" s="800">
        <v>1</v>
      </c>
      <c r="L1908" s="802" t="s">
        <v>10398</v>
      </c>
      <c r="M1908" s="802" t="s">
        <v>20548</v>
      </c>
      <c r="N1908" s="802" t="s">
        <v>20549</v>
      </c>
      <c r="O1908" s="802" t="s">
        <v>20550</v>
      </c>
      <c r="P1908" s="807" t="s">
        <v>32</v>
      </c>
    </row>
    <row r="1909" spans="1:16" s="341" customFormat="1" ht="25.5" customHeight="1">
      <c r="A1909" s="806" t="s">
        <v>110</v>
      </c>
      <c r="B1909" s="800" t="s">
        <v>38</v>
      </c>
      <c r="C1909" s="800" t="s">
        <v>3773</v>
      </c>
      <c r="D1909" s="800" t="s">
        <v>20551</v>
      </c>
      <c r="E1909" s="801">
        <v>43070</v>
      </c>
      <c r="F1909" s="800" t="s">
        <v>20408</v>
      </c>
      <c r="G1909" s="800" t="s">
        <v>20552</v>
      </c>
      <c r="H1909" s="800" t="s">
        <v>10531</v>
      </c>
      <c r="I1909" s="800" t="s">
        <v>10531</v>
      </c>
      <c r="J1909" s="800" t="s">
        <v>4342</v>
      </c>
      <c r="K1909" s="800">
        <v>1</v>
      </c>
      <c r="L1909" s="802" t="s">
        <v>10398</v>
      </c>
      <c r="M1909" s="802" t="s">
        <v>20553</v>
      </c>
      <c r="N1909" s="802" t="s">
        <v>12532</v>
      </c>
      <c r="O1909" s="802" t="s">
        <v>20554</v>
      </c>
      <c r="P1909" s="807" t="s">
        <v>20555</v>
      </c>
    </row>
    <row r="1910" spans="1:16" s="341" customFormat="1" ht="25.5" customHeight="1">
      <c r="A1910" s="806" t="s">
        <v>110</v>
      </c>
      <c r="B1910" s="800" t="s">
        <v>38</v>
      </c>
      <c r="C1910" s="800" t="s">
        <v>3773</v>
      </c>
      <c r="D1910" s="800" t="s">
        <v>20556</v>
      </c>
      <c r="E1910" s="801">
        <v>43070</v>
      </c>
      <c r="F1910" s="800" t="s">
        <v>20408</v>
      </c>
      <c r="G1910" s="800" t="s">
        <v>20557</v>
      </c>
      <c r="H1910" s="800" t="s">
        <v>10531</v>
      </c>
      <c r="I1910" s="800" t="s">
        <v>10531</v>
      </c>
      <c r="J1910" s="800" t="s">
        <v>4342</v>
      </c>
      <c r="K1910" s="800">
        <v>1</v>
      </c>
      <c r="L1910" s="802" t="s">
        <v>10398</v>
      </c>
      <c r="M1910" s="802" t="s">
        <v>20558</v>
      </c>
      <c r="N1910" s="802" t="s">
        <v>20559</v>
      </c>
      <c r="O1910" s="802" t="s">
        <v>20560</v>
      </c>
      <c r="P1910" s="807" t="s">
        <v>20561</v>
      </c>
    </row>
    <row r="1911" spans="1:16" s="341" customFormat="1" ht="25.5" customHeight="1">
      <c r="A1911" s="806" t="s">
        <v>110</v>
      </c>
      <c r="B1911" s="800" t="s">
        <v>38</v>
      </c>
      <c r="C1911" s="800" t="s">
        <v>3773</v>
      </c>
      <c r="D1911" s="800" t="s">
        <v>20562</v>
      </c>
      <c r="E1911" s="801">
        <v>43070</v>
      </c>
      <c r="F1911" s="800" t="s">
        <v>20408</v>
      </c>
      <c r="G1911" s="800" t="s">
        <v>20563</v>
      </c>
      <c r="H1911" s="800" t="s">
        <v>10531</v>
      </c>
      <c r="I1911" s="800" t="s">
        <v>10531</v>
      </c>
      <c r="J1911" s="800" t="s">
        <v>4342</v>
      </c>
      <c r="K1911" s="800">
        <v>1</v>
      </c>
      <c r="L1911" s="802" t="s">
        <v>10398</v>
      </c>
      <c r="M1911" s="802" t="s">
        <v>20564</v>
      </c>
      <c r="N1911" s="802" t="s">
        <v>20565</v>
      </c>
      <c r="O1911" s="802" t="s">
        <v>20566</v>
      </c>
      <c r="P1911" s="807" t="s">
        <v>20561</v>
      </c>
    </row>
    <row r="1912" spans="1:16" s="341" customFormat="1" ht="25.5" customHeight="1">
      <c r="A1912" s="806" t="s">
        <v>110</v>
      </c>
      <c r="B1912" s="800" t="s">
        <v>38</v>
      </c>
      <c r="C1912" s="800" t="s">
        <v>3773</v>
      </c>
      <c r="D1912" s="800" t="s">
        <v>20567</v>
      </c>
      <c r="E1912" s="801">
        <v>43070</v>
      </c>
      <c r="F1912" s="800" t="s">
        <v>20408</v>
      </c>
      <c r="G1912" s="800" t="s">
        <v>20568</v>
      </c>
      <c r="H1912" s="800" t="s">
        <v>10531</v>
      </c>
      <c r="I1912" s="800" t="s">
        <v>10531</v>
      </c>
      <c r="J1912" s="800" t="s">
        <v>4342</v>
      </c>
      <c r="K1912" s="800">
        <v>1</v>
      </c>
      <c r="L1912" s="802" t="s">
        <v>10398</v>
      </c>
      <c r="M1912" s="802" t="s">
        <v>20569</v>
      </c>
      <c r="N1912" s="802" t="s">
        <v>20570</v>
      </c>
      <c r="O1912" s="802" t="s">
        <v>20571</v>
      </c>
      <c r="P1912" s="807" t="s">
        <v>20572</v>
      </c>
    </row>
    <row r="1913" spans="1:16" s="341" customFormat="1" ht="25.5" customHeight="1">
      <c r="A1913" s="806" t="s">
        <v>110</v>
      </c>
      <c r="B1913" s="800" t="s">
        <v>38</v>
      </c>
      <c r="C1913" s="800" t="s">
        <v>3773</v>
      </c>
      <c r="D1913" s="800" t="s">
        <v>20573</v>
      </c>
      <c r="E1913" s="801">
        <v>43070</v>
      </c>
      <c r="F1913" s="800" t="s">
        <v>20408</v>
      </c>
      <c r="G1913" s="800" t="s">
        <v>20574</v>
      </c>
      <c r="H1913" s="800" t="s">
        <v>10531</v>
      </c>
      <c r="I1913" s="800" t="s">
        <v>10531</v>
      </c>
      <c r="J1913" s="800" t="s">
        <v>4342</v>
      </c>
      <c r="K1913" s="800">
        <v>1</v>
      </c>
      <c r="L1913" s="802" t="s">
        <v>10398</v>
      </c>
      <c r="M1913" s="802" t="s">
        <v>20575</v>
      </c>
      <c r="N1913" s="802" t="s">
        <v>17994</v>
      </c>
      <c r="O1913" s="802" t="s">
        <v>20576</v>
      </c>
      <c r="P1913" s="807" t="s">
        <v>20577</v>
      </c>
    </row>
    <row r="1914" spans="1:16" s="341" customFormat="1" ht="25.5" customHeight="1">
      <c r="A1914" s="806" t="s">
        <v>110</v>
      </c>
      <c r="B1914" s="800" t="s">
        <v>38</v>
      </c>
      <c r="C1914" s="800" t="s">
        <v>3773</v>
      </c>
      <c r="D1914" s="800" t="s">
        <v>20578</v>
      </c>
      <c r="E1914" s="801">
        <v>43070</v>
      </c>
      <c r="F1914" s="800" t="s">
        <v>20408</v>
      </c>
      <c r="G1914" s="800" t="s">
        <v>20579</v>
      </c>
      <c r="H1914" s="800" t="s">
        <v>10531</v>
      </c>
      <c r="I1914" s="800" t="s">
        <v>10531</v>
      </c>
      <c r="J1914" s="800" t="s">
        <v>10397</v>
      </c>
      <c r="K1914" s="800">
        <v>1</v>
      </c>
      <c r="L1914" s="802" t="s">
        <v>10398</v>
      </c>
      <c r="M1914" s="802" t="s">
        <v>20580</v>
      </c>
      <c r="N1914" s="802" t="s">
        <v>10698</v>
      </c>
      <c r="O1914" s="802" t="s">
        <v>20581</v>
      </c>
      <c r="P1914" s="807" t="s">
        <v>20582</v>
      </c>
    </row>
    <row r="1915" spans="1:16" s="341" customFormat="1" ht="25.5" customHeight="1">
      <c r="A1915" s="806" t="s">
        <v>110</v>
      </c>
      <c r="B1915" s="800" t="s">
        <v>38</v>
      </c>
      <c r="C1915" s="800" t="s">
        <v>3773</v>
      </c>
      <c r="D1915" s="800" t="s">
        <v>20583</v>
      </c>
      <c r="E1915" s="801">
        <v>43070</v>
      </c>
      <c r="F1915" s="800" t="s">
        <v>20408</v>
      </c>
      <c r="G1915" s="800" t="s">
        <v>20584</v>
      </c>
      <c r="H1915" s="800" t="s">
        <v>10433</v>
      </c>
      <c r="I1915" s="800" t="s">
        <v>10433</v>
      </c>
      <c r="J1915" s="800" t="s">
        <v>4342</v>
      </c>
      <c r="K1915" s="800">
        <v>1</v>
      </c>
      <c r="L1915" s="802" t="s">
        <v>10398</v>
      </c>
      <c r="M1915" s="802" t="s">
        <v>20585</v>
      </c>
      <c r="N1915" s="802" t="s">
        <v>20586</v>
      </c>
      <c r="O1915" s="802" t="s">
        <v>20587</v>
      </c>
      <c r="P1915" s="807" t="s">
        <v>20588</v>
      </c>
    </row>
    <row r="1916" spans="1:16" s="341" customFormat="1" ht="25.5" customHeight="1">
      <c r="A1916" s="806" t="s">
        <v>110</v>
      </c>
      <c r="B1916" s="800" t="s">
        <v>38</v>
      </c>
      <c r="C1916" s="800" t="s">
        <v>3773</v>
      </c>
      <c r="D1916" s="800" t="s">
        <v>20589</v>
      </c>
      <c r="E1916" s="801">
        <v>43070</v>
      </c>
      <c r="F1916" s="800" t="s">
        <v>20408</v>
      </c>
      <c r="G1916" s="800" t="s">
        <v>20590</v>
      </c>
      <c r="H1916" s="800" t="s">
        <v>10531</v>
      </c>
      <c r="I1916" s="800" t="s">
        <v>10531</v>
      </c>
      <c r="J1916" s="800" t="s">
        <v>4342</v>
      </c>
      <c r="K1916" s="800">
        <v>1</v>
      </c>
      <c r="L1916" s="802" t="s">
        <v>10398</v>
      </c>
      <c r="M1916" s="802" t="s">
        <v>20591</v>
      </c>
      <c r="N1916" s="802" t="s">
        <v>20592</v>
      </c>
      <c r="O1916" s="802" t="s">
        <v>20593</v>
      </c>
      <c r="P1916" s="807" t="s">
        <v>20594</v>
      </c>
    </row>
    <row r="1917" spans="1:16" s="341" customFormat="1" ht="25.5" customHeight="1">
      <c r="A1917" s="806" t="s">
        <v>110</v>
      </c>
      <c r="B1917" s="800" t="s">
        <v>38</v>
      </c>
      <c r="C1917" s="800" t="s">
        <v>3773</v>
      </c>
      <c r="D1917" s="800" t="s">
        <v>20595</v>
      </c>
      <c r="E1917" s="801">
        <v>43070</v>
      </c>
      <c r="F1917" s="800" t="s">
        <v>20408</v>
      </c>
      <c r="G1917" s="800" t="s">
        <v>20596</v>
      </c>
      <c r="H1917" s="800" t="s">
        <v>10531</v>
      </c>
      <c r="I1917" s="800" t="s">
        <v>10531</v>
      </c>
      <c r="J1917" s="800" t="s">
        <v>4342</v>
      </c>
      <c r="K1917" s="800">
        <v>1</v>
      </c>
      <c r="L1917" s="802" t="s">
        <v>10398</v>
      </c>
      <c r="M1917" s="802" t="s">
        <v>20597</v>
      </c>
      <c r="N1917" s="802" t="s">
        <v>20598</v>
      </c>
      <c r="O1917" s="802" t="s">
        <v>16804</v>
      </c>
      <c r="P1917" s="807" t="s">
        <v>20599</v>
      </c>
    </row>
    <row r="1918" spans="1:16" s="341" customFormat="1" ht="25.5" customHeight="1">
      <c r="A1918" s="806" t="s">
        <v>110</v>
      </c>
      <c r="B1918" s="800" t="s">
        <v>38</v>
      </c>
      <c r="C1918" s="800" t="s">
        <v>3773</v>
      </c>
      <c r="D1918" s="800" t="s">
        <v>20600</v>
      </c>
      <c r="E1918" s="801">
        <v>43070</v>
      </c>
      <c r="F1918" s="800" t="s">
        <v>20601</v>
      </c>
      <c r="G1918" s="800" t="s">
        <v>20602</v>
      </c>
      <c r="H1918" s="800" t="s">
        <v>10531</v>
      </c>
      <c r="I1918" s="800" t="s">
        <v>10531</v>
      </c>
      <c r="J1918" s="800" t="s">
        <v>4342</v>
      </c>
      <c r="K1918" s="800">
        <v>1</v>
      </c>
      <c r="L1918" s="802" t="s">
        <v>10398</v>
      </c>
      <c r="M1918" s="802" t="s">
        <v>20603</v>
      </c>
      <c r="N1918" s="802" t="s">
        <v>20604</v>
      </c>
      <c r="O1918" s="802" t="s">
        <v>20605</v>
      </c>
      <c r="P1918" s="807" t="s">
        <v>20606</v>
      </c>
    </row>
    <row r="1919" spans="1:16" s="341" customFormat="1" ht="25.5" customHeight="1">
      <c r="A1919" s="806" t="s">
        <v>110</v>
      </c>
      <c r="B1919" s="800" t="s">
        <v>38</v>
      </c>
      <c r="C1919" s="800" t="s">
        <v>3773</v>
      </c>
      <c r="D1919" s="800" t="s">
        <v>20607</v>
      </c>
      <c r="E1919" s="801">
        <v>43070</v>
      </c>
      <c r="F1919" s="800" t="s">
        <v>20608</v>
      </c>
      <c r="G1919" s="800" t="s">
        <v>20609</v>
      </c>
      <c r="H1919" s="800" t="s">
        <v>10531</v>
      </c>
      <c r="I1919" s="800" t="s">
        <v>10531</v>
      </c>
      <c r="J1919" s="800" t="s">
        <v>4342</v>
      </c>
      <c r="K1919" s="800">
        <v>1</v>
      </c>
      <c r="L1919" s="802" t="s">
        <v>10398</v>
      </c>
      <c r="M1919" s="802" t="s">
        <v>20610</v>
      </c>
      <c r="N1919" s="802" t="s">
        <v>14996</v>
      </c>
      <c r="O1919" s="802" t="s">
        <v>20611</v>
      </c>
      <c r="P1919" s="807" t="s">
        <v>20612</v>
      </c>
    </row>
    <row r="1920" spans="1:16" s="341" customFormat="1" ht="25.5" customHeight="1">
      <c r="A1920" s="806" t="s">
        <v>110</v>
      </c>
      <c r="B1920" s="800" t="s">
        <v>38</v>
      </c>
      <c r="C1920" s="800" t="s">
        <v>3773</v>
      </c>
      <c r="D1920" s="800" t="s">
        <v>20613</v>
      </c>
      <c r="E1920" s="801">
        <v>43070</v>
      </c>
      <c r="F1920" s="800" t="s">
        <v>20408</v>
      </c>
      <c r="G1920" s="800" t="s">
        <v>20614</v>
      </c>
      <c r="H1920" s="800" t="s">
        <v>10531</v>
      </c>
      <c r="I1920" s="800" t="s">
        <v>10531</v>
      </c>
      <c r="J1920" s="800" t="s">
        <v>4342</v>
      </c>
      <c r="K1920" s="800">
        <v>1</v>
      </c>
      <c r="L1920" s="802" t="s">
        <v>10398</v>
      </c>
      <c r="M1920" s="802" t="s">
        <v>20615</v>
      </c>
      <c r="N1920" s="802" t="s">
        <v>20616</v>
      </c>
      <c r="O1920" s="802" t="s">
        <v>20617</v>
      </c>
      <c r="P1920" s="807" t="s">
        <v>20618</v>
      </c>
    </row>
    <row r="1921" spans="1:16" s="341" customFormat="1" ht="25.5" customHeight="1">
      <c r="A1921" s="806" t="s">
        <v>110</v>
      </c>
      <c r="B1921" s="800" t="s">
        <v>38</v>
      </c>
      <c r="C1921" s="800" t="s">
        <v>3773</v>
      </c>
      <c r="D1921" s="800" t="s">
        <v>20619</v>
      </c>
      <c r="E1921" s="801">
        <v>43070</v>
      </c>
      <c r="F1921" s="800" t="s">
        <v>20608</v>
      </c>
      <c r="G1921" s="800" t="s">
        <v>20620</v>
      </c>
      <c r="H1921" s="800" t="s">
        <v>10531</v>
      </c>
      <c r="I1921" s="800" t="s">
        <v>10531</v>
      </c>
      <c r="J1921" s="800" t="s">
        <v>4342</v>
      </c>
      <c r="K1921" s="800">
        <v>1</v>
      </c>
      <c r="L1921" s="802" t="s">
        <v>10398</v>
      </c>
      <c r="M1921" s="802" t="s">
        <v>20621</v>
      </c>
      <c r="N1921" s="802" t="s">
        <v>20358</v>
      </c>
      <c r="O1921" s="802" t="s">
        <v>20622</v>
      </c>
      <c r="P1921" s="807" t="s">
        <v>20623</v>
      </c>
    </row>
    <row r="1922" spans="1:16" s="341" customFormat="1" ht="25.5" customHeight="1">
      <c r="A1922" s="806" t="s">
        <v>110</v>
      </c>
      <c r="B1922" s="800" t="s">
        <v>38</v>
      </c>
      <c r="C1922" s="800" t="s">
        <v>3773</v>
      </c>
      <c r="D1922" s="800" t="s">
        <v>20624</v>
      </c>
      <c r="E1922" s="801">
        <v>43070</v>
      </c>
      <c r="F1922" s="800" t="s">
        <v>20408</v>
      </c>
      <c r="G1922" s="800" t="s">
        <v>20625</v>
      </c>
      <c r="H1922" s="800" t="s">
        <v>10404</v>
      </c>
      <c r="I1922" s="800" t="s">
        <v>10404</v>
      </c>
      <c r="J1922" s="800" t="s">
        <v>4342</v>
      </c>
      <c r="K1922" s="800">
        <v>1</v>
      </c>
      <c r="L1922" s="802" t="s">
        <v>10398</v>
      </c>
      <c r="M1922" s="802" t="s">
        <v>20626</v>
      </c>
      <c r="N1922" s="802" t="s">
        <v>20627</v>
      </c>
      <c r="O1922" s="802" t="s">
        <v>20628</v>
      </c>
      <c r="P1922" s="807" t="s">
        <v>20629</v>
      </c>
    </row>
    <row r="1923" spans="1:16" s="341" customFormat="1" ht="25.5" customHeight="1">
      <c r="A1923" s="806" t="s">
        <v>110</v>
      </c>
      <c r="B1923" s="800" t="s">
        <v>38</v>
      </c>
      <c r="C1923" s="800" t="s">
        <v>3773</v>
      </c>
      <c r="D1923" s="800" t="s">
        <v>20630</v>
      </c>
      <c r="E1923" s="801">
        <v>43070</v>
      </c>
      <c r="F1923" s="800" t="s">
        <v>20631</v>
      </c>
      <c r="G1923" s="800" t="s">
        <v>20632</v>
      </c>
      <c r="H1923" s="800" t="s">
        <v>10396</v>
      </c>
      <c r="I1923" s="800" t="s">
        <v>10396</v>
      </c>
      <c r="J1923" s="800" t="s">
        <v>4342</v>
      </c>
      <c r="K1923" s="800">
        <v>1</v>
      </c>
      <c r="L1923" s="802" t="s">
        <v>10398</v>
      </c>
      <c r="M1923" s="802" t="s">
        <v>20633</v>
      </c>
      <c r="N1923" s="802" t="s">
        <v>20634</v>
      </c>
      <c r="O1923" s="802" t="s">
        <v>20560</v>
      </c>
      <c r="P1923" s="807" t="s">
        <v>20635</v>
      </c>
    </row>
    <row r="1924" spans="1:16" s="341" customFormat="1" ht="25.5" customHeight="1">
      <c r="A1924" s="806" t="s">
        <v>110</v>
      </c>
      <c r="B1924" s="800" t="s">
        <v>38</v>
      </c>
      <c r="C1924" s="800" t="s">
        <v>3773</v>
      </c>
      <c r="D1924" s="800" t="s">
        <v>20636</v>
      </c>
      <c r="E1924" s="801">
        <v>43070</v>
      </c>
      <c r="F1924" s="800" t="s">
        <v>20408</v>
      </c>
      <c r="G1924" s="800" t="s">
        <v>20495</v>
      </c>
      <c r="H1924" s="800" t="s">
        <v>10404</v>
      </c>
      <c r="I1924" s="800" t="s">
        <v>10404</v>
      </c>
      <c r="J1924" s="800" t="s">
        <v>4342</v>
      </c>
      <c r="K1924" s="800">
        <v>1</v>
      </c>
      <c r="L1924" s="802" t="s">
        <v>10398</v>
      </c>
      <c r="M1924" s="802" t="s">
        <v>20637</v>
      </c>
      <c r="N1924" s="802" t="s">
        <v>11964</v>
      </c>
      <c r="O1924" s="802" t="s">
        <v>20638</v>
      </c>
      <c r="P1924" s="807" t="s">
        <v>32</v>
      </c>
    </row>
    <row r="1925" spans="1:16" s="341" customFormat="1" ht="25.5" customHeight="1">
      <c r="A1925" s="806" t="s">
        <v>110</v>
      </c>
      <c r="B1925" s="800" t="s">
        <v>38</v>
      </c>
      <c r="C1925" s="800" t="s">
        <v>3773</v>
      </c>
      <c r="D1925" s="800" t="s">
        <v>20639</v>
      </c>
      <c r="E1925" s="801">
        <v>43070</v>
      </c>
      <c r="F1925" s="800" t="s">
        <v>20408</v>
      </c>
      <c r="G1925" s="800" t="s">
        <v>19862</v>
      </c>
      <c r="H1925" s="800" t="s">
        <v>10531</v>
      </c>
      <c r="I1925" s="800" t="s">
        <v>10531</v>
      </c>
      <c r="J1925" s="800" t="s">
        <v>4342</v>
      </c>
      <c r="K1925" s="800">
        <v>1</v>
      </c>
      <c r="L1925" s="802" t="s">
        <v>10398</v>
      </c>
      <c r="M1925" s="802" t="s">
        <v>20640</v>
      </c>
      <c r="N1925" s="802" t="s">
        <v>20323</v>
      </c>
      <c r="O1925" s="802" t="s">
        <v>20641</v>
      </c>
      <c r="P1925" s="807" t="s">
        <v>20642</v>
      </c>
    </row>
    <row r="1926" spans="1:16" s="341" customFormat="1" ht="25.5" customHeight="1">
      <c r="A1926" s="806" t="s">
        <v>110</v>
      </c>
      <c r="B1926" s="800" t="s">
        <v>38</v>
      </c>
      <c r="C1926" s="800" t="s">
        <v>3773</v>
      </c>
      <c r="D1926" s="800" t="s">
        <v>20643</v>
      </c>
      <c r="E1926" s="801">
        <v>43075</v>
      </c>
      <c r="F1926" s="800" t="s">
        <v>20644</v>
      </c>
      <c r="G1926" s="800" t="s">
        <v>20645</v>
      </c>
      <c r="H1926" s="800" t="s">
        <v>10404</v>
      </c>
      <c r="I1926" s="800" t="s">
        <v>10404</v>
      </c>
      <c r="J1926" s="800" t="s">
        <v>10405</v>
      </c>
      <c r="K1926" s="800">
        <v>1</v>
      </c>
      <c r="L1926" s="802" t="s">
        <v>10398</v>
      </c>
      <c r="M1926" s="802" t="s">
        <v>20646</v>
      </c>
      <c r="N1926" s="802" t="s">
        <v>20647</v>
      </c>
      <c r="O1926" s="802" t="s">
        <v>20648</v>
      </c>
      <c r="P1926" s="807" t="s">
        <v>20649</v>
      </c>
    </row>
    <row r="1927" spans="1:16" s="341" customFormat="1" ht="25.5" customHeight="1">
      <c r="A1927" s="806" t="s">
        <v>110</v>
      </c>
      <c r="B1927" s="800" t="s">
        <v>38</v>
      </c>
      <c r="C1927" s="800" t="s">
        <v>3773</v>
      </c>
      <c r="D1927" s="800" t="s">
        <v>20650</v>
      </c>
      <c r="E1927" s="801">
        <v>43075</v>
      </c>
      <c r="F1927" s="800" t="s">
        <v>19939</v>
      </c>
      <c r="G1927" s="800" t="s">
        <v>20651</v>
      </c>
      <c r="H1927" s="800" t="s">
        <v>10404</v>
      </c>
      <c r="I1927" s="800" t="s">
        <v>10404</v>
      </c>
      <c r="J1927" s="800" t="s">
        <v>10405</v>
      </c>
      <c r="K1927" s="800">
        <v>1</v>
      </c>
      <c r="L1927" s="802" t="s">
        <v>10398</v>
      </c>
      <c r="M1927" s="802" t="s">
        <v>20652</v>
      </c>
      <c r="N1927" s="802" t="s">
        <v>20653</v>
      </c>
      <c r="O1927" s="802" t="s">
        <v>20654</v>
      </c>
      <c r="P1927" s="807" t="s">
        <v>32</v>
      </c>
    </row>
    <row r="1928" spans="1:16" s="341" customFormat="1" ht="25.5" customHeight="1">
      <c r="A1928" s="806" t="s">
        <v>110</v>
      </c>
      <c r="B1928" s="800" t="s">
        <v>38</v>
      </c>
      <c r="C1928" s="800" t="s">
        <v>3773</v>
      </c>
      <c r="D1928" s="800" t="s">
        <v>20655</v>
      </c>
      <c r="E1928" s="801">
        <v>43075</v>
      </c>
      <c r="F1928" s="800" t="s">
        <v>20656</v>
      </c>
      <c r="G1928" s="800" t="s">
        <v>20657</v>
      </c>
      <c r="H1928" s="800" t="s">
        <v>10404</v>
      </c>
      <c r="I1928" s="800" t="s">
        <v>10404</v>
      </c>
      <c r="J1928" s="800" t="s">
        <v>10405</v>
      </c>
      <c r="K1928" s="800">
        <v>1</v>
      </c>
      <c r="L1928" s="802" t="s">
        <v>10398</v>
      </c>
      <c r="M1928" s="802" t="s">
        <v>20658</v>
      </c>
      <c r="N1928" s="802" t="s">
        <v>20659</v>
      </c>
      <c r="O1928" s="802" t="s">
        <v>20660</v>
      </c>
      <c r="P1928" s="807" t="s">
        <v>20661</v>
      </c>
    </row>
    <row r="1929" spans="1:16" s="341" customFormat="1" ht="25.5" customHeight="1">
      <c r="A1929" s="806" t="s">
        <v>110</v>
      </c>
      <c r="B1929" s="800" t="s">
        <v>38</v>
      </c>
      <c r="C1929" s="800" t="s">
        <v>3773</v>
      </c>
      <c r="D1929" s="800" t="s">
        <v>20662</v>
      </c>
      <c r="E1929" s="801">
        <v>43075</v>
      </c>
      <c r="F1929" s="800" t="s">
        <v>19939</v>
      </c>
      <c r="G1929" s="800" t="s">
        <v>20663</v>
      </c>
      <c r="H1929" s="800" t="s">
        <v>10404</v>
      </c>
      <c r="I1929" s="800" t="s">
        <v>10404</v>
      </c>
      <c r="J1929" s="800" t="s">
        <v>10405</v>
      </c>
      <c r="K1929" s="800">
        <v>1</v>
      </c>
      <c r="L1929" s="802" t="s">
        <v>10398</v>
      </c>
      <c r="M1929" s="802" t="s">
        <v>20664</v>
      </c>
      <c r="N1929" s="802" t="s">
        <v>20665</v>
      </c>
      <c r="O1929" s="802" t="s">
        <v>20666</v>
      </c>
      <c r="P1929" s="807" t="s">
        <v>20667</v>
      </c>
    </row>
    <row r="1930" spans="1:16" s="341" customFormat="1" ht="25.5" customHeight="1">
      <c r="A1930" s="806" t="s">
        <v>110</v>
      </c>
      <c r="B1930" s="800" t="s">
        <v>38</v>
      </c>
      <c r="C1930" s="800" t="s">
        <v>3773</v>
      </c>
      <c r="D1930" s="800" t="s">
        <v>20668</v>
      </c>
      <c r="E1930" s="801">
        <v>43075</v>
      </c>
      <c r="F1930" s="800" t="s">
        <v>20669</v>
      </c>
      <c r="G1930" s="800" t="s">
        <v>20670</v>
      </c>
      <c r="H1930" s="800" t="s">
        <v>10404</v>
      </c>
      <c r="I1930" s="800" t="s">
        <v>10404</v>
      </c>
      <c r="J1930" s="800" t="s">
        <v>10405</v>
      </c>
      <c r="K1930" s="800">
        <v>1</v>
      </c>
      <c r="L1930" s="802" t="s">
        <v>10398</v>
      </c>
      <c r="M1930" s="802" t="s">
        <v>32</v>
      </c>
      <c r="N1930" s="802" t="s">
        <v>20671</v>
      </c>
      <c r="O1930" s="802" t="s">
        <v>20672</v>
      </c>
      <c r="P1930" s="807" t="s">
        <v>19955</v>
      </c>
    </row>
    <row r="1931" spans="1:16" s="341" customFormat="1" ht="25.5" customHeight="1">
      <c r="A1931" s="806" t="s">
        <v>110</v>
      </c>
      <c r="B1931" s="800" t="s">
        <v>38</v>
      </c>
      <c r="C1931" s="800" t="s">
        <v>3773</v>
      </c>
      <c r="D1931" s="800" t="s">
        <v>20673</v>
      </c>
      <c r="E1931" s="801">
        <v>43075</v>
      </c>
      <c r="F1931" s="800" t="s">
        <v>19939</v>
      </c>
      <c r="G1931" s="800" t="s">
        <v>20674</v>
      </c>
      <c r="H1931" s="800" t="s">
        <v>10404</v>
      </c>
      <c r="I1931" s="800" t="s">
        <v>10404</v>
      </c>
      <c r="J1931" s="800" t="s">
        <v>10405</v>
      </c>
      <c r="K1931" s="800">
        <v>1</v>
      </c>
      <c r="L1931" s="802" t="s">
        <v>10398</v>
      </c>
      <c r="M1931" s="802" t="s">
        <v>20675</v>
      </c>
      <c r="N1931" s="802" t="s">
        <v>11894</v>
      </c>
      <c r="O1931" s="802" t="s">
        <v>20654</v>
      </c>
      <c r="P1931" s="807" t="s">
        <v>20676</v>
      </c>
    </row>
    <row r="1932" spans="1:16" s="341" customFormat="1" ht="25.5" customHeight="1">
      <c r="A1932" s="806" t="s">
        <v>110</v>
      </c>
      <c r="B1932" s="800" t="s">
        <v>38</v>
      </c>
      <c r="C1932" s="800" t="s">
        <v>3773</v>
      </c>
      <c r="D1932" s="800" t="s">
        <v>20677</v>
      </c>
      <c r="E1932" s="801">
        <v>43075</v>
      </c>
      <c r="F1932" s="800" t="s">
        <v>19939</v>
      </c>
      <c r="G1932" s="800" t="s">
        <v>20678</v>
      </c>
      <c r="H1932" s="800" t="s">
        <v>10404</v>
      </c>
      <c r="I1932" s="800" t="s">
        <v>10404</v>
      </c>
      <c r="J1932" s="800" t="s">
        <v>10405</v>
      </c>
      <c r="K1932" s="800">
        <v>1</v>
      </c>
      <c r="L1932" s="802" t="s">
        <v>10398</v>
      </c>
      <c r="M1932" s="802" t="s">
        <v>20679</v>
      </c>
      <c r="N1932" s="802" t="s">
        <v>20680</v>
      </c>
      <c r="O1932" s="802" t="s">
        <v>20681</v>
      </c>
      <c r="P1932" s="807" t="s">
        <v>20682</v>
      </c>
    </row>
    <row r="1933" spans="1:16" s="341" customFormat="1" ht="25.5" customHeight="1">
      <c r="A1933" s="806" t="s">
        <v>110</v>
      </c>
      <c r="B1933" s="800" t="s">
        <v>38</v>
      </c>
      <c r="C1933" s="800" t="s">
        <v>3773</v>
      </c>
      <c r="D1933" s="800" t="s">
        <v>20683</v>
      </c>
      <c r="E1933" s="801">
        <v>43075</v>
      </c>
      <c r="F1933" s="800" t="s">
        <v>19939</v>
      </c>
      <c r="G1933" s="800" t="s">
        <v>20684</v>
      </c>
      <c r="H1933" s="800" t="s">
        <v>10404</v>
      </c>
      <c r="I1933" s="800" t="s">
        <v>10404</v>
      </c>
      <c r="J1933" s="800" t="s">
        <v>10405</v>
      </c>
      <c r="K1933" s="800">
        <v>1</v>
      </c>
      <c r="L1933" s="802" t="s">
        <v>10398</v>
      </c>
      <c r="M1933" s="802" t="s">
        <v>20685</v>
      </c>
      <c r="N1933" s="802" t="s">
        <v>20686</v>
      </c>
      <c r="O1933" s="802" t="s">
        <v>20687</v>
      </c>
      <c r="P1933" s="807" t="s">
        <v>20682</v>
      </c>
    </row>
    <row r="1934" spans="1:16" s="341" customFormat="1" ht="25.5" customHeight="1">
      <c r="A1934" s="806" t="s">
        <v>110</v>
      </c>
      <c r="B1934" s="800" t="s">
        <v>38</v>
      </c>
      <c r="C1934" s="800" t="s">
        <v>3773</v>
      </c>
      <c r="D1934" s="800" t="s">
        <v>20688</v>
      </c>
      <c r="E1934" s="801">
        <v>43075</v>
      </c>
      <c r="F1934" s="800" t="s">
        <v>19939</v>
      </c>
      <c r="G1934" s="800" t="s">
        <v>20689</v>
      </c>
      <c r="H1934" s="800" t="s">
        <v>10404</v>
      </c>
      <c r="I1934" s="800" t="s">
        <v>10404</v>
      </c>
      <c r="J1934" s="800" t="s">
        <v>10405</v>
      </c>
      <c r="K1934" s="800">
        <v>1</v>
      </c>
      <c r="L1934" s="802" t="s">
        <v>10398</v>
      </c>
      <c r="M1934" s="802" t="s">
        <v>20690</v>
      </c>
      <c r="N1934" s="802" t="s">
        <v>20691</v>
      </c>
      <c r="O1934" s="802" t="s">
        <v>20648</v>
      </c>
      <c r="P1934" s="807" t="s">
        <v>20692</v>
      </c>
    </row>
    <row r="1935" spans="1:16" s="341" customFormat="1" ht="25.5" customHeight="1">
      <c r="A1935" s="806" t="s">
        <v>110</v>
      </c>
      <c r="B1935" s="800" t="s">
        <v>38</v>
      </c>
      <c r="C1935" s="800" t="s">
        <v>3773</v>
      </c>
      <c r="D1935" s="800" t="s">
        <v>20693</v>
      </c>
      <c r="E1935" s="801">
        <v>43075</v>
      </c>
      <c r="F1935" s="800" t="s">
        <v>20669</v>
      </c>
      <c r="G1935" s="800" t="s">
        <v>20694</v>
      </c>
      <c r="H1935" s="800" t="s">
        <v>10404</v>
      </c>
      <c r="I1935" s="800" t="s">
        <v>10404</v>
      </c>
      <c r="J1935" s="800" t="s">
        <v>10405</v>
      </c>
      <c r="K1935" s="800">
        <v>1</v>
      </c>
      <c r="L1935" s="802" t="s">
        <v>10398</v>
      </c>
      <c r="M1935" s="802" t="s">
        <v>20695</v>
      </c>
      <c r="N1935" s="802" t="s">
        <v>14330</v>
      </c>
      <c r="O1935" s="802" t="s">
        <v>19893</v>
      </c>
      <c r="P1935" s="807" t="s">
        <v>20696</v>
      </c>
    </row>
    <row r="1936" spans="1:16" s="341" customFormat="1" ht="25.5" customHeight="1">
      <c r="A1936" s="806" t="s">
        <v>110</v>
      </c>
      <c r="B1936" s="800" t="s">
        <v>38</v>
      </c>
      <c r="C1936" s="800" t="s">
        <v>3773</v>
      </c>
      <c r="D1936" s="800" t="s">
        <v>20697</v>
      </c>
      <c r="E1936" s="801">
        <v>43075</v>
      </c>
      <c r="F1936" s="800" t="s">
        <v>19932</v>
      </c>
      <c r="G1936" s="800" t="s">
        <v>20698</v>
      </c>
      <c r="H1936" s="800" t="s">
        <v>10404</v>
      </c>
      <c r="I1936" s="800" t="s">
        <v>10404</v>
      </c>
      <c r="J1936" s="800" t="s">
        <v>10405</v>
      </c>
      <c r="K1936" s="800">
        <v>1</v>
      </c>
      <c r="L1936" s="802" t="s">
        <v>11026</v>
      </c>
      <c r="M1936" s="802" t="s">
        <v>20699</v>
      </c>
      <c r="N1936" s="802" t="s">
        <v>20700</v>
      </c>
      <c r="O1936" s="802" t="s">
        <v>20701</v>
      </c>
      <c r="P1936" s="807" t="s">
        <v>20702</v>
      </c>
    </row>
    <row r="1937" spans="1:16" s="341" customFormat="1" ht="25.5" customHeight="1">
      <c r="A1937" s="806" t="s">
        <v>110</v>
      </c>
      <c r="B1937" s="800" t="s">
        <v>38</v>
      </c>
      <c r="C1937" s="800" t="s">
        <v>3773</v>
      </c>
      <c r="D1937" s="800" t="s">
        <v>20703</v>
      </c>
      <c r="E1937" s="801">
        <v>43075</v>
      </c>
      <c r="F1937" s="800" t="s">
        <v>19939</v>
      </c>
      <c r="G1937" s="800" t="s">
        <v>20704</v>
      </c>
      <c r="H1937" s="800" t="s">
        <v>10404</v>
      </c>
      <c r="I1937" s="800" t="s">
        <v>10404</v>
      </c>
      <c r="J1937" s="800" t="s">
        <v>10405</v>
      </c>
      <c r="K1937" s="800">
        <v>1</v>
      </c>
      <c r="L1937" s="802" t="s">
        <v>10398</v>
      </c>
      <c r="M1937" s="802" t="s">
        <v>20705</v>
      </c>
      <c r="N1937" s="802" t="s">
        <v>11939</v>
      </c>
      <c r="O1937" s="802" t="s">
        <v>20706</v>
      </c>
      <c r="P1937" s="807" t="s">
        <v>20707</v>
      </c>
    </row>
    <row r="1938" spans="1:16" s="341" customFormat="1" ht="25.5" customHeight="1">
      <c r="A1938" s="806" t="s">
        <v>110</v>
      </c>
      <c r="B1938" s="800" t="s">
        <v>38</v>
      </c>
      <c r="C1938" s="800" t="s">
        <v>3773</v>
      </c>
      <c r="D1938" s="800" t="s">
        <v>20708</v>
      </c>
      <c r="E1938" s="801">
        <v>43075</v>
      </c>
      <c r="F1938" s="800" t="s">
        <v>19932</v>
      </c>
      <c r="G1938" s="800" t="s">
        <v>20709</v>
      </c>
      <c r="H1938" s="800" t="s">
        <v>10531</v>
      </c>
      <c r="I1938" s="800" t="s">
        <v>10531</v>
      </c>
      <c r="J1938" s="800" t="s">
        <v>4342</v>
      </c>
      <c r="K1938" s="800">
        <v>1</v>
      </c>
      <c r="L1938" s="802" t="s">
        <v>10398</v>
      </c>
      <c r="M1938" s="802" t="s">
        <v>20710</v>
      </c>
      <c r="N1938" s="802" t="s">
        <v>20711</v>
      </c>
      <c r="O1938" s="802" t="s">
        <v>20712</v>
      </c>
      <c r="P1938" s="807" t="s">
        <v>20713</v>
      </c>
    </row>
    <row r="1939" spans="1:16" s="341" customFormat="1" ht="25.5" customHeight="1">
      <c r="A1939" s="806" t="s">
        <v>110</v>
      </c>
      <c r="B1939" s="800" t="s">
        <v>38</v>
      </c>
      <c r="C1939" s="800" t="s">
        <v>3773</v>
      </c>
      <c r="D1939" s="800" t="s">
        <v>20714</v>
      </c>
      <c r="E1939" s="801">
        <v>43075</v>
      </c>
      <c r="F1939" s="800" t="s">
        <v>19871</v>
      </c>
      <c r="G1939" s="800" t="s">
        <v>20715</v>
      </c>
      <c r="H1939" s="800" t="s">
        <v>10404</v>
      </c>
      <c r="I1939" s="800" t="s">
        <v>10404</v>
      </c>
      <c r="J1939" s="800" t="s">
        <v>10405</v>
      </c>
      <c r="K1939" s="800">
        <v>1</v>
      </c>
      <c r="L1939" s="802" t="s">
        <v>10398</v>
      </c>
      <c r="M1939" s="802" t="s">
        <v>20716</v>
      </c>
      <c r="N1939" s="802" t="s">
        <v>20480</v>
      </c>
      <c r="O1939" s="802" t="s">
        <v>20717</v>
      </c>
      <c r="P1939" s="807" t="s">
        <v>20718</v>
      </c>
    </row>
    <row r="1940" spans="1:16" s="341" customFormat="1" ht="25.5" customHeight="1">
      <c r="A1940" s="806" t="s">
        <v>110</v>
      </c>
      <c r="B1940" s="800" t="s">
        <v>38</v>
      </c>
      <c r="C1940" s="800" t="s">
        <v>3773</v>
      </c>
      <c r="D1940" s="800" t="s">
        <v>20719</v>
      </c>
      <c r="E1940" s="801">
        <v>43075</v>
      </c>
      <c r="F1940" s="800" t="s">
        <v>20669</v>
      </c>
      <c r="G1940" s="800" t="s">
        <v>20720</v>
      </c>
      <c r="H1940" s="800" t="s">
        <v>10531</v>
      </c>
      <c r="I1940" s="800" t="s">
        <v>10531</v>
      </c>
      <c r="J1940" s="800" t="s">
        <v>10397</v>
      </c>
      <c r="K1940" s="800">
        <v>1</v>
      </c>
      <c r="L1940" s="802" t="s">
        <v>10398</v>
      </c>
      <c r="M1940" s="802" t="s">
        <v>20721</v>
      </c>
      <c r="N1940" s="802" t="s">
        <v>18005</v>
      </c>
      <c r="O1940" s="802" t="s">
        <v>20722</v>
      </c>
      <c r="P1940" s="807" t="s">
        <v>32</v>
      </c>
    </row>
    <row r="1941" spans="1:16" s="341" customFormat="1" ht="25.5" customHeight="1">
      <c r="A1941" s="806" t="s">
        <v>110</v>
      </c>
      <c r="B1941" s="800" t="s">
        <v>38</v>
      </c>
      <c r="C1941" s="800" t="s">
        <v>3773</v>
      </c>
      <c r="D1941" s="800" t="s">
        <v>20723</v>
      </c>
      <c r="E1941" s="801">
        <v>43075</v>
      </c>
      <c r="F1941" s="800" t="s">
        <v>19939</v>
      </c>
      <c r="G1941" s="800" t="s">
        <v>20724</v>
      </c>
      <c r="H1941" s="800" t="s">
        <v>10531</v>
      </c>
      <c r="I1941" s="800" t="s">
        <v>10531</v>
      </c>
      <c r="J1941" s="800" t="s">
        <v>4342</v>
      </c>
      <c r="K1941" s="800">
        <v>1</v>
      </c>
      <c r="L1941" s="802" t="s">
        <v>10398</v>
      </c>
      <c r="M1941" s="802" t="s">
        <v>20725</v>
      </c>
      <c r="N1941" s="802" t="s">
        <v>20726</v>
      </c>
      <c r="O1941" s="802" t="s">
        <v>20727</v>
      </c>
      <c r="P1941" s="807" t="s">
        <v>20728</v>
      </c>
    </row>
    <row r="1942" spans="1:16" s="341" customFormat="1" ht="25.5" customHeight="1">
      <c r="A1942" s="806" t="s">
        <v>110</v>
      </c>
      <c r="B1942" s="800" t="s">
        <v>38</v>
      </c>
      <c r="C1942" s="800" t="s">
        <v>3773</v>
      </c>
      <c r="D1942" s="800" t="s">
        <v>20729</v>
      </c>
      <c r="E1942" s="801">
        <v>43075</v>
      </c>
      <c r="F1942" s="800" t="s">
        <v>19939</v>
      </c>
      <c r="G1942" s="800" t="s">
        <v>20730</v>
      </c>
      <c r="H1942" s="800" t="s">
        <v>10531</v>
      </c>
      <c r="I1942" s="800" t="s">
        <v>10531</v>
      </c>
      <c r="J1942" s="800" t="s">
        <v>4342</v>
      </c>
      <c r="K1942" s="800">
        <v>1</v>
      </c>
      <c r="L1942" s="802" t="s">
        <v>10398</v>
      </c>
      <c r="M1942" s="802" t="s">
        <v>20731</v>
      </c>
      <c r="N1942" s="802" t="s">
        <v>20732</v>
      </c>
      <c r="O1942" s="802" t="s">
        <v>20733</v>
      </c>
      <c r="P1942" s="807" t="s">
        <v>20734</v>
      </c>
    </row>
    <row r="1943" spans="1:16" s="341" customFormat="1" ht="25.5" customHeight="1">
      <c r="A1943" s="806" t="s">
        <v>110</v>
      </c>
      <c r="B1943" s="800" t="s">
        <v>38</v>
      </c>
      <c r="C1943" s="800" t="s">
        <v>3773</v>
      </c>
      <c r="D1943" s="800" t="s">
        <v>20735</v>
      </c>
      <c r="E1943" s="801">
        <v>43075</v>
      </c>
      <c r="F1943" s="800" t="s">
        <v>19939</v>
      </c>
      <c r="G1943" s="800" t="s">
        <v>20736</v>
      </c>
      <c r="H1943" s="800" t="s">
        <v>10531</v>
      </c>
      <c r="I1943" s="800" t="s">
        <v>10531</v>
      </c>
      <c r="J1943" s="800" t="s">
        <v>4342</v>
      </c>
      <c r="K1943" s="800">
        <v>1</v>
      </c>
      <c r="L1943" s="802" t="s">
        <v>10398</v>
      </c>
      <c r="M1943" s="802" t="s">
        <v>20737</v>
      </c>
      <c r="N1943" s="802" t="s">
        <v>20738</v>
      </c>
      <c r="O1943" s="802" t="s">
        <v>20739</v>
      </c>
      <c r="P1943" s="807" t="s">
        <v>20740</v>
      </c>
    </row>
    <row r="1944" spans="1:16" s="341" customFormat="1" ht="25.5" customHeight="1">
      <c r="A1944" s="806" t="s">
        <v>110</v>
      </c>
      <c r="B1944" s="800" t="s">
        <v>38</v>
      </c>
      <c r="C1944" s="800" t="s">
        <v>3773</v>
      </c>
      <c r="D1944" s="800" t="s">
        <v>20741</v>
      </c>
      <c r="E1944" s="801">
        <v>43075</v>
      </c>
      <c r="F1944" s="800" t="s">
        <v>19939</v>
      </c>
      <c r="G1944" s="800" t="s">
        <v>20742</v>
      </c>
      <c r="H1944" s="800" t="s">
        <v>10531</v>
      </c>
      <c r="I1944" s="800" t="s">
        <v>10531</v>
      </c>
      <c r="J1944" s="800" t="s">
        <v>4342</v>
      </c>
      <c r="K1944" s="800">
        <v>1</v>
      </c>
      <c r="L1944" s="802" t="s">
        <v>10398</v>
      </c>
      <c r="M1944" s="802" t="s">
        <v>20743</v>
      </c>
      <c r="N1944" s="802" t="s">
        <v>16069</v>
      </c>
      <c r="O1944" s="802" t="s">
        <v>20744</v>
      </c>
      <c r="P1944" s="807" t="s">
        <v>20745</v>
      </c>
    </row>
    <row r="1945" spans="1:16" s="341" customFormat="1" ht="25.5" customHeight="1">
      <c r="A1945" s="806" t="s">
        <v>110</v>
      </c>
      <c r="B1945" s="800" t="s">
        <v>38</v>
      </c>
      <c r="C1945" s="800" t="s">
        <v>3773</v>
      </c>
      <c r="D1945" s="800" t="s">
        <v>20746</v>
      </c>
      <c r="E1945" s="801">
        <v>43075</v>
      </c>
      <c r="F1945" s="800" t="s">
        <v>19939</v>
      </c>
      <c r="G1945" s="800" t="s">
        <v>20747</v>
      </c>
      <c r="H1945" s="800" t="s">
        <v>10531</v>
      </c>
      <c r="I1945" s="800" t="s">
        <v>10531</v>
      </c>
      <c r="J1945" s="800" t="s">
        <v>4342</v>
      </c>
      <c r="K1945" s="800">
        <v>1</v>
      </c>
      <c r="L1945" s="802" t="s">
        <v>10398</v>
      </c>
      <c r="M1945" s="802" t="s">
        <v>20748</v>
      </c>
      <c r="N1945" s="802" t="s">
        <v>20749</v>
      </c>
      <c r="O1945" s="802" t="s">
        <v>20750</v>
      </c>
      <c r="P1945" s="807" t="s">
        <v>32</v>
      </c>
    </row>
    <row r="1946" spans="1:16" s="341" customFormat="1" ht="25.5" customHeight="1">
      <c r="A1946" s="806" t="s">
        <v>110</v>
      </c>
      <c r="B1946" s="800" t="s">
        <v>38</v>
      </c>
      <c r="C1946" s="800" t="s">
        <v>3773</v>
      </c>
      <c r="D1946" s="800" t="s">
        <v>20751</v>
      </c>
      <c r="E1946" s="801">
        <v>43075</v>
      </c>
      <c r="F1946" s="800" t="s">
        <v>20669</v>
      </c>
      <c r="G1946" s="800" t="s">
        <v>20752</v>
      </c>
      <c r="H1946" s="800" t="s">
        <v>10404</v>
      </c>
      <c r="I1946" s="800" t="s">
        <v>10404</v>
      </c>
      <c r="J1946" s="800" t="s">
        <v>10405</v>
      </c>
      <c r="K1946" s="800">
        <v>1</v>
      </c>
      <c r="L1946" s="802" t="s">
        <v>10398</v>
      </c>
      <c r="M1946" s="802" t="s">
        <v>20753</v>
      </c>
      <c r="N1946" s="802" t="s">
        <v>20754</v>
      </c>
      <c r="O1946" s="802" t="s">
        <v>20755</v>
      </c>
      <c r="P1946" s="807" t="s">
        <v>20756</v>
      </c>
    </row>
    <row r="1947" spans="1:16" s="341" customFormat="1" ht="25.5" customHeight="1">
      <c r="A1947" s="806" t="s">
        <v>110</v>
      </c>
      <c r="B1947" s="800" t="s">
        <v>38</v>
      </c>
      <c r="C1947" s="800" t="s">
        <v>3773</v>
      </c>
      <c r="D1947" s="800" t="s">
        <v>20757</v>
      </c>
      <c r="E1947" s="801">
        <v>43075</v>
      </c>
      <c r="F1947" s="800" t="s">
        <v>19939</v>
      </c>
      <c r="G1947" s="800" t="s">
        <v>20758</v>
      </c>
      <c r="H1947" s="800" t="s">
        <v>10531</v>
      </c>
      <c r="I1947" s="800" t="s">
        <v>10531</v>
      </c>
      <c r="J1947" s="800" t="s">
        <v>4342</v>
      </c>
      <c r="K1947" s="800">
        <v>1</v>
      </c>
      <c r="L1947" s="802" t="s">
        <v>10398</v>
      </c>
      <c r="M1947" s="802" t="s">
        <v>20759</v>
      </c>
      <c r="N1947" s="802" t="s">
        <v>12149</v>
      </c>
      <c r="O1947" s="802" t="s">
        <v>20760</v>
      </c>
      <c r="P1947" s="807" t="s">
        <v>20761</v>
      </c>
    </row>
    <row r="1948" spans="1:16" s="341" customFormat="1" ht="25.5" customHeight="1">
      <c r="A1948" s="806" t="s">
        <v>110</v>
      </c>
      <c r="B1948" s="800" t="s">
        <v>38</v>
      </c>
      <c r="C1948" s="800" t="s">
        <v>3773</v>
      </c>
      <c r="D1948" s="800" t="s">
        <v>20762</v>
      </c>
      <c r="E1948" s="801">
        <v>43075</v>
      </c>
      <c r="F1948" s="800" t="s">
        <v>19939</v>
      </c>
      <c r="G1948" s="800" t="s">
        <v>20763</v>
      </c>
      <c r="H1948" s="800" t="s">
        <v>10531</v>
      </c>
      <c r="I1948" s="800" t="s">
        <v>10531</v>
      </c>
      <c r="J1948" s="800" t="s">
        <v>4342</v>
      </c>
      <c r="K1948" s="800">
        <v>1</v>
      </c>
      <c r="L1948" s="802" t="s">
        <v>10398</v>
      </c>
      <c r="M1948" s="802" t="s">
        <v>20764</v>
      </c>
      <c r="N1948" s="802" t="s">
        <v>20765</v>
      </c>
      <c r="O1948" s="802" t="s">
        <v>20712</v>
      </c>
      <c r="P1948" s="807" t="s">
        <v>20766</v>
      </c>
    </row>
    <row r="1949" spans="1:16" s="341" customFormat="1" ht="25.5" customHeight="1">
      <c r="A1949" s="806" t="s">
        <v>110</v>
      </c>
      <c r="B1949" s="800" t="s">
        <v>38</v>
      </c>
      <c r="C1949" s="800" t="s">
        <v>3773</v>
      </c>
      <c r="D1949" s="800" t="s">
        <v>20767</v>
      </c>
      <c r="E1949" s="801">
        <v>43075</v>
      </c>
      <c r="F1949" s="800" t="s">
        <v>19939</v>
      </c>
      <c r="G1949" s="800" t="s">
        <v>20768</v>
      </c>
      <c r="H1949" s="800" t="s">
        <v>10404</v>
      </c>
      <c r="I1949" s="800" t="s">
        <v>10404</v>
      </c>
      <c r="J1949" s="800" t="s">
        <v>10405</v>
      </c>
      <c r="K1949" s="800">
        <v>1</v>
      </c>
      <c r="L1949" s="802" t="s">
        <v>10398</v>
      </c>
      <c r="M1949" s="802" t="s">
        <v>20769</v>
      </c>
      <c r="N1949" s="802" t="s">
        <v>20770</v>
      </c>
      <c r="O1949" s="802" t="s">
        <v>20771</v>
      </c>
      <c r="P1949" s="807" t="s">
        <v>20772</v>
      </c>
    </row>
    <row r="1950" spans="1:16" s="341" customFormat="1" ht="25.5" customHeight="1">
      <c r="A1950" s="806" t="s">
        <v>110</v>
      </c>
      <c r="B1950" s="800" t="s">
        <v>38</v>
      </c>
      <c r="C1950" s="800" t="s">
        <v>3773</v>
      </c>
      <c r="D1950" s="800" t="s">
        <v>20773</v>
      </c>
      <c r="E1950" s="801">
        <v>43075</v>
      </c>
      <c r="F1950" s="800" t="s">
        <v>19939</v>
      </c>
      <c r="G1950" s="800" t="s">
        <v>20774</v>
      </c>
      <c r="H1950" s="800" t="s">
        <v>10531</v>
      </c>
      <c r="I1950" s="800" t="s">
        <v>10531</v>
      </c>
      <c r="J1950" s="800" t="s">
        <v>4342</v>
      </c>
      <c r="K1950" s="800">
        <v>1</v>
      </c>
      <c r="L1950" s="802" t="s">
        <v>10398</v>
      </c>
      <c r="M1950" s="802" t="s">
        <v>20775</v>
      </c>
      <c r="N1950" s="802" t="s">
        <v>14282</v>
      </c>
      <c r="O1950" s="802" t="s">
        <v>20776</v>
      </c>
      <c r="P1950" s="807" t="s">
        <v>20777</v>
      </c>
    </row>
    <row r="1951" spans="1:16" s="341" customFormat="1" ht="25.5" customHeight="1">
      <c r="A1951" s="806" t="s">
        <v>110</v>
      </c>
      <c r="B1951" s="800" t="s">
        <v>38</v>
      </c>
      <c r="C1951" s="800" t="s">
        <v>3773</v>
      </c>
      <c r="D1951" s="800" t="s">
        <v>20778</v>
      </c>
      <c r="E1951" s="801">
        <v>43075</v>
      </c>
      <c r="F1951" s="800" t="s">
        <v>19939</v>
      </c>
      <c r="G1951" s="800" t="s">
        <v>20779</v>
      </c>
      <c r="H1951" s="800" t="s">
        <v>10531</v>
      </c>
      <c r="I1951" s="800" t="s">
        <v>10531</v>
      </c>
      <c r="J1951" s="800" t="s">
        <v>4342</v>
      </c>
      <c r="K1951" s="800">
        <v>1</v>
      </c>
      <c r="L1951" s="802" t="s">
        <v>10398</v>
      </c>
      <c r="M1951" s="802" t="s">
        <v>20780</v>
      </c>
      <c r="N1951" s="802" t="s">
        <v>20781</v>
      </c>
      <c r="O1951" s="802" t="s">
        <v>20782</v>
      </c>
      <c r="P1951" s="807" t="s">
        <v>20783</v>
      </c>
    </row>
    <row r="1952" spans="1:16" s="341" customFormat="1" ht="25.5" customHeight="1">
      <c r="A1952" s="806" t="s">
        <v>110</v>
      </c>
      <c r="B1952" s="800" t="s">
        <v>38</v>
      </c>
      <c r="C1952" s="800" t="s">
        <v>3773</v>
      </c>
      <c r="D1952" s="800" t="s">
        <v>20784</v>
      </c>
      <c r="E1952" s="801">
        <v>43075</v>
      </c>
      <c r="F1952" s="800" t="s">
        <v>19939</v>
      </c>
      <c r="G1952" s="800" t="s">
        <v>20785</v>
      </c>
      <c r="H1952" s="800" t="s">
        <v>10531</v>
      </c>
      <c r="I1952" s="800" t="s">
        <v>10531</v>
      </c>
      <c r="J1952" s="800" t="s">
        <v>4342</v>
      </c>
      <c r="K1952" s="800">
        <v>1</v>
      </c>
      <c r="L1952" s="802" t="s">
        <v>10398</v>
      </c>
      <c r="M1952" s="802" t="s">
        <v>20786</v>
      </c>
      <c r="N1952" s="802" t="s">
        <v>20787</v>
      </c>
      <c r="O1952" s="802" t="s">
        <v>20788</v>
      </c>
      <c r="P1952" s="807" t="s">
        <v>20789</v>
      </c>
    </row>
    <row r="1953" spans="1:16" s="341" customFormat="1" ht="25.5" customHeight="1">
      <c r="A1953" s="806" t="s">
        <v>110</v>
      </c>
      <c r="B1953" s="800" t="s">
        <v>38</v>
      </c>
      <c r="C1953" s="800" t="s">
        <v>3773</v>
      </c>
      <c r="D1953" s="800" t="s">
        <v>20790</v>
      </c>
      <c r="E1953" s="801">
        <v>43075</v>
      </c>
      <c r="F1953" s="800" t="s">
        <v>19939</v>
      </c>
      <c r="G1953" s="800" t="s">
        <v>20791</v>
      </c>
      <c r="H1953" s="800" t="s">
        <v>10404</v>
      </c>
      <c r="I1953" s="800" t="s">
        <v>10404</v>
      </c>
      <c r="J1953" s="800" t="s">
        <v>10405</v>
      </c>
      <c r="K1953" s="800">
        <v>1</v>
      </c>
      <c r="L1953" s="802" t="s">
        <v>10398</v>
      </c>
      <c r="M1953" s="802" t="s">
        <v>20792</v>
      </c>
      <c r="N1953" s="802" t="s">
        <v>20793</v>
      </c>
      <c r="O1953" s="802" t="s">
        <v>20794</v>
      </c>
      <c r="P1953" s="807" t="s">
        <v>20795</v>
      </c>
    </row>
    <row r="1954" spans="1:16" s="341" customFormat="1" ht="25.5" customHeight="1">
      <c r="A1954" s="806" t="s">
        <v>110</v>
      </c>
      <c r="B1954" s="800" t="s">
        <v>38</v>
      </c>
      <c r="C1954" s="800" t="s">
        <v>3773</v>
      </c>
      <c r="D1954" s="800" t="s">
        <v>20796</v>
      </c>
      <c r="E1954" s="801">
        <v>43075</v>
      </c>
      <c r="F1954" s="800" t="s">
        <v>19939</v>
      </c>
      <c r="G1954" s="800" t="s">
        <v>20797</v>
      </c>
      <c r="H1954" s="800" t="s">
        <v>10531</v>
      </c>
      <c r="I1954" s="800" t="s">
        <v>10531</v>
      </c>
      <c r="J1954" s="800" t="s">
        <v>4342</v>
      </c>
      <c r="K1954" s="800">
        <v>1</v>
      </c>
      <c r="L1954" s="802" t="s">
        <v>10398</v>
      </c>
      <c r="M1954" s="802" t="s">
        <v>20798</v>
      </c>
      <c r="N1954" s="802" t="s">
        <v>20799</v>
      </c>
      <c r="O1954" s="802" t="s">
        <v>20800</v>
      </c>
      <c r="P1954" s="807" t="s">
        <v>32</v>
      </c>
    </row>
    <row r="1955" spans="1:16" s="341" customFormat="1" ht="25.5" customHeight="1">
      <c r="A1955" s="806" t="s">
        <v>110</v>
      </c>
      <c r="B1955" s="800" t="s">
        <v>38</v>
      </c>
      <c r="C1955" s="800" t="s">
        <v>3773</v>
      </c>
      <c r="D1955" s="800" t="s">
        <v>20801</v>
      </c>
      <c r="E1955" s="801">
        <v>43075</v>
      </c>
      <c r="F1955" s="800" t="s">
        <v>19939</v>
      </c>
      <c r="G1955" s="800" t="s">
        <v>20802</v>
      </c>
      <c r="H1955" s="800" t="s">
        <v>10404</v>
      </c>
      <c r="I1955" s="800" t="s">
        <v>10404</v>
      </c>
      <c r="J1955" s="800" t="s">
        <v>10405</v>
      </c>
      <c r="K1955" s="800">
        <v>1</v>
      </c>
      <c r="L1955" s="802" t="s">
        <v>10398</v>
      </c>
      <c r="M1955" s="802" t="s">
        <v>20803</v>
      </c>
      <c r="N1955" s="802" t="s">
        <v>20804</v>
      </c>
      <c r="O1955" s="802" t="s">
        <v>20805</v>
      </c>
      <c r="P1955" s="807" t="s">
        <v>32</v>
      </c>
    </row>
    <row r="1956" spans="1:16" s="341" customFormat="1" ht="25.5" customHeight="1">
      <c r="A1956" s="806" t="s">
        <v>110</v>
      </c>
      <c r="B1956" s="800" t="s">
        <v>38</v>
      </c>
      <c r="C1956" s="800" t="s">
        <v>3773</v>
      </c>
      <c r="D1956" s="800" t="s">
        <v>20806</v>
      </c>
      <c r="E1956" s="801">
        <v>43074</v>
      </c>
      <c r="F1956" s="800" t="s">
        <v>19939</v>
      </c>
      <c r="G1956" s="800" t="s">
        <v>20807</v>
      </c>
      <c r="H1956" s="800" t="s">
        <v>10404</v>
      </c>
      <c r="I1956" s="800" t="s">
        <v>10404</v>
      </c>
      <c r="J1956" s="800" t="s">
        <v>10405</v>
      </c>
      <c r="K1956" s="800">
        <v>1</v>
      </c>
      <c r="L1956" s="802" t="s">
        <v>10398</v>
      </c>
      <c r="M1956" s="802" t="s">
        <v>20808</v>
      </c>
      <c r="N1956" s="802" t="s">
        <v>19096</v>
      </c>
      <c r="O1956" s="802" t="s">
        <v>20809</v>
      </c>
      <c r="P1956" s="807" t="s">
        <v>20810</v>
      </c>
    </row>
    <row r="1957" spans="1:16" s="341" customFormat="1" ht="25.5" customHeight="1">
      <c r="A1957" s="806" t="s">
        <v>110</v>
      </c>
      <c r="B1957" s="800" t="s">
        <v>38</v>
      </c>
      <c r="C1957" s="800" t="s">
        <v>3773</v>
      </c>
      <c r="D1957" s="800" t="s">
        <v>20811</v>
      </c>
      <c r="E1957" s="801">
        <v>43074</v>
      </c>
      <c r="F1957" s="800" t="s">
        <v>19939</v>
      </c>
      <c r="G1957" s="800" t="s">
        <v>20812</v>
      </c>
      <c r="H1957" s="800" t="s">
        <v>10404</v>
      </c>
      <c r="I1957" s="800" t="s">
        <v>10404</v>
      </c>
      <c r="J1957" s="800" t="s">
        <v>10405</v>
      </c>
      <c r="K1957" s="800">
        <v>1</v>
      </c>
      <c r="L1957" s="802" t="s">
        <v>10398</v>
      </c>
      <c r="M1957" s="802" t="s">
        <v>20813</v>
      </c>
      <c r="N1957" s="802" t="s">
        <v>13138</v>
      </c>
      <c r="O1957" s="802" t="s">
        <v>20814</v>
      </c>
      <c r="P1957" s="807" t="s">
        <v>32</v>
      </c>
    </row>
    <row r="1958" spans="1:16" s="341" customFormat="1" ht="25.5" customHeight="1">
      <c r="A1958" s="806" t="s">
        <v>110</v>
      </c>
      <c r="B1958" s="800" t="s">
        <v>38</v>
      </c>
      <c r="C1958" s="800" t="s">
        <v>3773</v>
      </c>
      <c r="D1958" s="800" t="s">
        <v>20815</v>
      </c>
      <c r="E1958" s="801">
        <v>43074</v>
      </c>
      <c r="F1958" s="800" t="s">
        <v>19939</v>
      </c>
      <c r="G1958" s="800" t="s">
        <v>20816</v>
      </c>
      <c r="H1958" s="800" t="s">
        <v>10404</v>
      </c>
      <c r="I1958" s="800" t="s">
        <v>10404</v>
      </c>
      <c r="J1958" s="800" t="s">
        <v>10405</v>
      </c>
      <c r="K1958" s="800">
        <v>1</v>
      </c>
      <c r="L1958" s="802" t="s">
        <v>10398</v>
      </c>
      <c r="M1958" s="802" t="s">
        <v>20817</v>
      </c>
      <c r="N1958" s="802" t="s">
        <v>20818</v>
      </c>
      <c r="O1958" s="802" t="s">
        <v>20819</v>
      </c>
      <c r="P1958" s="807" t="s">
        <v>32</v>
      </c>
    </row>
    <row r="1959" spans="1:16" s="341" customFormat="1" ht="25.5" customHeight="1">
      <c r="A1959" s="806" t="s">
        <v>110</v>
      </c>
      <c r="B1959" s="800" t="s">
        <v>38</v>
      </c>
      <c r="C1959" s="800" t="s">
        <v>3773</v>
      </c>
      <c r="D1959" s="800" t="s">
        <v>20820</v>
      </c>
      <c r="E1959" s="801">
        <v>43074</v>
      </c>
      <c r="F1959" s="800" t="s">
        <v>19939</v>
      </c>
      <c r="G1959" s="800" t="s">
        <v>20821</v>
      </c>
      <c r="H1959" s="800" t="s">
        <v>10404</v>
      </c>
      <c r="I1959" s="800" t="s">
        <v>10404</v>
      </c>
      <c r="J1959" s="800" t="s">
        <v>10405</v>
      </c>
      <c r="K1959" s="800">
        <v>1</v>
      </c>
      <c r="L1959" s="802" t="s">
        <v>10398</v>
      </c>
      <c r="M1959" s="802" t="s">
        <v>32</v>
      </c>
      <c r="N1959" s="802" t="s">
        <v>20822</v>
      </c>
      <c r="O1959" s="802" t="s">
        <v>20823</v>
      </c>
      <c r="P1959" s="807" t="s">
        <v>20824</v>
      </c>
    </row>
    <row r="1960" spans="1:16" s="341" customFormat="1" ht="25.5" customHeight="1">
      <c r="A1960" s="806" t="s">
        <v>110</v>
      </c>
      <c r="B1960" s="800" t="s">
        <v>38</v>
      </c>
      <c r="C1960" s="800" t="s">
        <v>3773</v>
      </c>
      <c r="D1960" s="800" t="s">
        <v>20825</v>
      </c>
      <c r="E1960" s="801">
        <v>43074</v>
      </c>
      <c r="F1960" s="800" t="s">
        <v>19939</v>
      </c>
      <c r="G1960" s="800" t="s">
        <v>20826</v>
      </c>
      <c r="H1960" s="800" t="s">
        <v>10531</v>
      </c>
      <c r="I1960" s="800" t="s">
        <v>10531</v>
      </c>
      <c r="J1960" s="800" t="s">
        <v>10405</v>
      </c>
      <c r="K1960" s="800">
        <v>1</v>
      </c>
      <c r="L1960" s="802" t="s">
        <v>10398</v>
      </c>
      <c r="M1960" s="802" t="s">
        <v>20827</v>
      </c>
      <c r="N1960" s="802" t="s">
        <v>20828</v>
      </c>
      <c r="O1960" s="802" t="s">
        <v>20492</v>
      </c>
      <c r="P1960" s="807" t="s">
        <v>20829</v>
      </c>
    </row>
    <row r="1961" spans="1:16" s="341" customFormat="1" ht="25.5" customHeight="1">
      <c r="A1961" s="806" t="s">
        <v>110</v>
      </c>
      <c r="B1961" s="800" t="s">
        <v>38</v>
      </c>
      <c r="C1961" s="800" t="s">
        <v>3773</v>
      </c>
      <c r="D1961" s="800" t="s">
        <v>20830</v>
      </c>
      <c r="E1961" s="801">
        <v>43074</v>
      </c>
      <c r="F1961" s="800" t="s">
        <v>19939</v>
      </c>
      <c r="G1961" s="800" t="s">
        <v>20831</v>
      </c>
      <c r="H1961" s="800" t="s">
        <v>10531</v>
      </c>
      <c r="I1961" s="800" t="s">
        <v>10531</v>
      </c>
      <c r="J1961" s="800" t="s">
        <v>10397</v>
      </c>
      <c r="K1961" s="800">
        <v>1</v>
      </c>
      <c r="L1961" s="802" t="s">
        <v>10398</v>
      </c>
      <c r="M1961" s="802" t="s">
        <v>20832</v>
      </c>
      <c r="N1961" s="802" t="s">
        <v>20833</v>
      </c>
      <c r="O1961" s="802" t="s">
        <v>20834</v>
      </c>
      <c r="P1961" s="807" t="s">
        <v>20829</v>
      </c>
    </row>
    <row r="1962" spans="1:16" s="341" customFormat="1" ht="25.5" customHeight="1">
      <c r="A1962" s="806" t="s">
        <v>110</v>
      </c>
      <c r="B1962" s="800" t="s">
        <v>38</v>
      </c>
      <c r="C1962" s="800" t="s">
        <v>3773</v>
      </c>
      <c r="D1962" s="800" t="s">
        <v>20835</v>
      </c>
      <c r="E1962" s="801">
        <v>43074</v>
      </c>
      <c r="F1962" s="800" t="s">
        <v>19939</v>
      </c>
      <c r="G1962" s="800" t="s">
        <v>20836</v>
      </c>
      <c r="H1962" s="800" t="s">
        <v>10531</v>
      </c>
      <c r="I1962" s="800" t="s">
        <v>10531</v>
      </c>
      <c r="J1962" s="800" t="s">
        <v>10405</v>
      </c>
      <c r="K1962" s="800">
        <v>1</v>
      </c>
      <c r="L1962" s="802" t="s">
        <v>10398</v>
      </c>
      <c r="M1962" s="802" t="s">
        <v>20837</v>
      </c>
      <c r="N1962" s="802" t="s">
        <v>20838</v>
      </c>
      <c r="O1962" s="802" t="s">
        <v>20492</v>
      </c>
      <c r="P1962" s="807" t="s">
        <v>20839</v>
      </c>
    </row>
    <row r="1963" spans="1:16" s="341" customFormat="1" ht="25.5" customHeight="1">
      <c r="A1963" s="806" t="s">
        <v>110</v>
      </c>
      <c r="B1963" s="800" t="s">
        <v>38</v>
      </c>
      <c r="C1963" s="800" t="s">
        <v>3773</v>
      </c>
      <c r="D1963" s="800" t="s">
        <v>20840</v>
      </c>
      <c r="E1963" s="801">
        <v>43074</v>
      </c>
      <c r="F1963" s="800" t="s">
        <v>19939</v>
      </c>
      <c r="G1963" s="800" t="s">
        <v>20836</v>
      </c>
      <c r="H1963" s="800" t="s">
        <v>10396</v>
      </c>
      <c r="I1963" s="800" t="s">
        <v>10396</v>
      </c>
      <c r="J1963" s="800" t="s">
        <v>10405</v>
      </c>
      <c r="K1963" s="800">
        <v>1</v>
      </c>
      <c r="L1963" s="802" t="s">
        <v>10398</v>
      </c>
      <c r="M1963" s="802" t="s">
        <v>20841</v>
      </c>
      <c r="N1963" s="802" t="s">
        <v>18005</v>
      </c>
      <c r="O1963" s="802" t="s">
        <v>20842</v>
      </c>
      <c r="P1963" s="807" t="s">
        <v>20843</v>
      </c>
    </row>
    <row r="1964" spans="1:16" s="341" customFormat="1" ht="25.5" customHeight="1">
      <c r="A1964" s="806" t="s">
        <v>110</v>
      </c>
      <c r="B1964" s="800" t="s">
        <v>38</v>
      </c>
      <c r="C1964" s="800" t="s">
        <v>3773</v>
      </c>
      <c r="D1964" s="800" t="s">
        <v>20844</v>
      </c>
      <c r="E1964" s="801">
        <v>43075</v>
      </c>
      <c r="F1964" s="800" t="s">
        <v>3807</v>
      </c>
      <c r="G1964" s="800" t="s">
        <v>20845</v>
      </c>
      <c r="H1964" s="800" t="s">
        <v>10396</v>
      </c>
      <c r="I1964" s="800" t="s">
        <v>10396</v>
      </c>
      <c r="J1964" s="800" t="s">
        <v>10397</v>
      </c>
      <c r="K1964" s="800">
        <v>1</v>
      </c>
      <c r="L1964" s="802" t="s">
        <v>10398</v>
      </c>
      <c r="M1964" s="802" t="s">
        <v>20846</v>
      </c>
      <c r="N1964" s="802" t="s">
        <v>20847</v>
      </c>
      <c r="O1964" s="802" t="s">
        <v>20848</v>
      </c>
      <c r="P1964" s="807" t="s">
        <v>20849</v>
      </c>
    </row>
    <row r="1965" spans="1:16" s="341" customFormat="1" ht="25.5" customHeight="1">
      <c r="A1965" s="806" t="s">
        <v>110</v>
      </c>
      <c r="B1965" s="800" t="s">
        <v>38</v>
      </c>
      <c r="C1965" s="800" t="s">
        <v>3773</v>
      </c>
      <c r="D1965" s="800" t="s">
        <v>20850</v>
      </c>
      <c r="E1965" s="801">
        <v>43075</v>
      </c>
      <c r="F1965" s="800" t="s">
        <v>19939</v>
      </c>
      <c r="G1965" s="800" t="s">
        <v>20851</v>
      </c>
      <c r="H1965" s="800" t="s">
        <v>10396</v>
      </c>
      <c r="I1965" s="800" t="s">
        <v>10396</v>
      </c>
      <c r="J1965" s="800" t="s">
        <v>10405</v>
      </c>
      <c r="K1965" s="800">
        <v>1</v>
      </c>
      <c r="L1965" s="802" t="s">
        <v>10398</v>
      </c>
      <c r="M1965" s="802" t="s">
        <v>32</v>
      </c>
      <c r="N1965" s="802" t="s">
        <v>16124</v>
      </c>
      <c r="O1965" s="802" t="s">
        <v>20852</v>
      </c>
      <c r="P1965" s="807" t="s">
        <v>20853</v>
      </c>
    </row>
    <row r="1966" spans="1:16" s="341" customFormat="1" ht="25.5" customHeight="1">
      <c r="A1966" s="806" t="s">
        <v>110</v>
      </c>
      <c r="B1966" s="800" t="s">
        <v>38</v>
      </c>
      <c r="C1966" s="800" t="s">
        <v>3773</v>
      </c>
      <c r="D1966" s="800" t="s">
        <v>20854</v>
      </c>
      <c r="E1966" s="801">
        <v>43076</v>
      </c>
      <c r="F1966" s="800" t="s">
        <v>20855</v>
      </c>
      <c r="G1966" s="800" t="s">
        <v>20856</v>
      </c>
      <c r="H1966" s="800" t="s">
        <v>10396</v>
      </c>
      <c r="I1966" s="800" t="s">
        <v>10396</v>
      </c>
      <c r="J1966" s="800" t="s">
        <v>10405</v>
      </c>
      <c r="K1966" s="800">
        <v>1</v>
      </c>
      <c r="L1966" s="802" t="s">
        <v>10398</v>
      </c>
      <c r="M1966" s="802" t="s">
        <v>20857</v>
      </c>
      <c r="N1966" s="802" t="s">
        <v>20858</v>
      </c>
      <c r="O1966" s="802" t="s">
        <v>14940</v>
      </c>
      <c r="P1966" s="807" t="s">
        <v>20859</v>
      </c>
    </row>
    <row r="1967" spans="1:16" s="341" customFormat="1" ht="25.5" customHeight="1">
      <c r="A1967" s="806" t="s">
        <v>110</v>
      </c>
      <c r="B1967" s="800" t="s">
        <v>38</v>
      </c>
      <c r="C1967" s="800" t="s">
        <v>3773</v>
      </c>
      <c r="D1967" s="800" t="s">
        <v>20860</v>
      </c>
      <c r="E1967" s="801">
        <v>43076</v>
      </c>
      <c r="F1967" s="800" t="s">
        <v>20855</v>
      </c>
      <c r="G1967" s="800" t="s">
        <v>20861</v>
      </c>
      <c r="H1967" s="800" t="s">
        <v>10396</v>
      </c>
      <c r="I1967" s="800" t="s">
        <v>10396</v>
      </c>
      <c r="J1967" s="800" t="s">
        <v>10405</v>
      </c>
      <c r="K1967" s="800">
        <v>1</v>
      </c>
      <c r="L1967" s="802" t="s">
        <v>10398</v>
      </c>
      <c r="M1967" s="802" t="s">
        <v>20862</v>
      </c>
      <c r="N1967" s="802" t="s">
        <v>20863</v>
      </c>
      <c r="O1967" s="802" t="s">
        <v>20864</v>
      </c>
      <c r="P1967" s="807" t="s">
        <v>20865</v>
      </c>
    </row>
    <row r="1968" spans="1:16" s="341" customFormat="1" ht="25.5" customHeight="1">
      <c r="A1968" s="806" t="s">
        <v>110</v>
      </c>
      <c r="B1968" s="800" t="s">
        <v>38</v>
      </c>
      <c r="C1968" s="800" t="s">
        <v>3773</v>
      </c>
      <c r="D1968" s="800" t="s">
        <v>20866</v>
      </c>
      <c r="E1968" s="801">
        <v>43076</v>
      </c>
      <c r="F1968" s="800" t="s">
        <v>20855</v>
      </c>
      <c r="G1968" s="800" t="s">
        <v>20867</v>
      </c>
      <c r="H1968" s="800" t="s">
        <v>10396</v>
      </c>
      <c r="I1968" s="800" t="s">
        <v>10396</v>
      </c>
      <c r="J1968" s="800" t="s">
        <v>10405</v>
      </c>
      <c r="K1968" s="800">
        <v>1</v>
      </c>
      <c r="L1968" s="802" t="s">
        <v>10398</v>
      </c>
      <c r="M1968" s="802" t="s">
        <v>20868</v>
      </c>
      <c r="N1968" s="802" t="s">
        <v>20869</v>
      </c>
      <c r="O1968" s="802" t="s">
        <v>20870</v>
      </c>
      <c r="P1968" s="807" t="s">
        <v>20871</v>
      </c>
    </row>
    <row r="1969" spans="1:16" s="341" customFormat="1" ht="25.5" customHeight="1">
      <c r="A1969" s="806" t="s">
        <v>110</v>
      </c>
      <c r="B1969" s="800" t="s">
        <v>38</v>
      </c>
      <c r="C1969" s="800" t="s">
        <v>3773</v>
      </c>
      <c r="D1969" s="800" t="s">
        <v>20872</v>
      </c>
      <c r="E1969" s="801">
        <v>43076</v>
      </c>
      <c r="F1969" s="800" t="s">
        <v>20855</v>
      </c>
      <c r="G1969" s="800" t="s">
        <v>20873</v>
      </c>
      <c r="H1969" s="800" t="s">
        <v>10396</v>
      </c>
      <c r="I1969" s="800" t="s">
        <v>10396</v>
      </c>
      <c r="J1969" s="800" t="s">
        <v>10405</v>
      </c>
      <c r="K1969" s="800">
        <v>1</v>
      </c>
      <c r="L1969" s="802" t="s">
        <v>10398</v>
      </c>
      <c r="M1969" s="802" t="s">
        <v>20874</v>
      </c>
      <c r="N1969" s="802" t="s">
        <v>20875</v>
      </c>
      <c r="O1969" s="802" t="s">
        <v>20876</v>
      </c>
      <c r="P1969" s="807" t="s">
        <v>32</v>
      </c>
    </row>
    <row r="1970" spans="1:16" s="341" customFormat="1" ht="25.5" customHeight="1">
      <c r="A1970" s="806" t="s">
        <v>110</v>
      </c>
      <c r="B1970" s="800" t="s">
        <v>38</v>
      </c>
      <c r="C1970" s="800" t="s">
        <v>3773</v>
      </c>
      <c r="D1970" s="800" t="s">
        <v>20877</v>
      </c>
      <c r="E1970" s="801">
        <v>43076</v>
      </c>
      <c r="F1970" s="800" t="s">
        <v>20855</v>
      </c>
      <c r="G1970" s="800" t="s">
        <v>20878</v>
      </c>
      <c r="H1970" s="800" t="s">
        <v>10396</v>
      </c>
      <c r="I1970" s="800" t="s">
        <v>10396</v>
      </c>
      <c r="J1970" s="800" t="s">
        <v>10405</v>
      </c>
      <c r="K1970" s="800">
        <v>1</v>
      </c>
      <c r="L1970" s="802" t="s">
        <v>11045</v>
      </c>
      <c r="M1970" s="802" t="s">
        <v>20879</v>
      </c>
      <c r="N1970" s="802" t="s">
        <v>14196</v>
      </c>
      <c r="O1970" s="802" t="s">
        <v>20880</v>
      </c>
      <c r="P1970" s="807" t="s">
        <v>20881</v>
      </c>
    </row>
    <row r="1971" spans="1:16" s="341" customFormat="1" ht="25.5" customHeight="1">
      <c r="A1971" s="806" t="s">
        <v>110</v>
      </c>
      <c r="B1971" s="800" t="s">
        <v>38</v>
      </c>
      <c r="C1971" s="800" t="s">
        <v>3773</v>
      </c>
      <c r="D1971" s="800" t="s">
        <v>20882</v>
      </c>
      <c r="E1971" s="801">
        <v>43076</v>
      </c>
      <c r="F1971" s="800" t="s">
        <v>20855</v>
      </c>
      <c r="G1971" s="800" t="s">
        <v>20883</v>
      </c>
      <c r="H1971" s="800" t="s">
        <v>10396</v>
      </c>
      <c r="I1971" s="800" t="s">
        <v>10396</v>
      </c>
      <c r="J1971" s="800" t="s">
        <v>10405</v>
      </c>
      <c r="K1971" s="800">
        <v>1</v>
      </c>
      <c r="L1971" s="802" t="s">
        <v>10398</v>
      </c>
      <c r="M1971" s="802" t="s">
        <v>20884</v>
      </c>
      <c r="N1971" s="802" t="s">
        <v>13183</v>
      </c>
      <c r="O1971" s="802" t="s">
        <v>20885</v>
      </c>
      <c r="P1971" s="807" t="s">
        <v>20886</v>
      </c>
    </row>
    <row r="1972" spans="1:16" s="341" customFormat="1" ht="25.5" customHeight="1">
      <c r="A1972" s="806" t="s">
        <v>110</v>
      </c>
      <c r="B1972" s="800" t="s">
        <v>38</v>
      </c>
      <c r="C1972" s="800" t="s">
        <v>3773</v>
      </c>
      <c r="D1972" s="800" t="s">
        <v>20887</v>
      </c>
      <c r="E1972" s="801">
        <v>43075</v>
      </c>
      <c r="F1972" s="800" t="s">
        <v>20888</v>
      </c>
      <c r="G1972" s="800" t="s">
        <v>20889</v>
      </c>
      <c r="H1972" s="800" t="s">
        <v>10531</v>
      </c>
      <c r="I1972" s="800" t="s">
        <v>10531</v>
      </c>
      <c r="J1972" s="800" t="s">
        <v>10397</v>
      </c>
      <c r="K1972" s="800">
        <v>1</v>
      </c>
      <c r="L1972" s="802" t="s">
        <v>10398</v>
      </c>
      <c r="M1972" s="802" t="s">
        <v>20890</v>
      </c>
      <c r="N1972" s="802" t="s">
        <v>20891</v>
      </c>
      <c r="O1972" s="802" t="s">
        <v>20892</v>
      </c>
      <c r="P1972" s="807" t="s">
        <v>20893</v>
      </c>
    </row>
    <row r="1973" spans="1:16" s="341" customFormat="1" ht="25.5" customHeight="1">
      <c r="A1973" s="806" t="s">
        <v>110</v>
      </c>
      <c r="B1973" s="800" t="s">
        <v>38</v>
      </c>
      <c r="C1973" s="800" t="s">
        <v>3773</v>
      </c>
      <c r="D1973" s="800" t="s">
        <v>20894</v>
      </c>
      <c r="E1973" s="801">
        <v>43076</v>
      </c>
      <c r="F1973" s="800" t="s">
        <v>20888</v>
      </c>
      <c r="G1973" s="800" t="s">
        <v>20895</v>
      </c>
      <c r="H1973" s="800" t="s">
        <v>10396</v>
      </c>
      <c r="I1973" s="800" t="s">
        <v>10396</v>
      </c>
      <c r="J1973" s="800" t="s">
        <v>10405</v>
      </c>
      <c r="K1973" s="800">
        <v>1</v>
      </c>
      <c r="L1973" s="802" t="s">
        <v>10398</v>
      </c>
      <c r="M1973" s="802" t="s">
        <v>20896</v>
      </c>
      <c r="N1973" s="802" t="s">
        <v>12606</v>
      </c>
      <c r="O1973" s="802" t="s">
        <v>20897</v>
      </c>
      <c r="P1973" s="807" t="s">
        <v>20898</v>
      </c>
    </row>
    <row r="1974" spans="1:16" s="341" customFormat="1" ht="25.5" customHeight="1">
      <c r="A1974" s="806" t="s">
        <v>110</v>
      </c>
      <c r="B1974" s="800" t="s">
        <v>38</v>
      </c>
      <c r="C1974" s="800" t="s">
        <v>3773</v>
      </c>
      <c r="D1974" s="800" t="s">
        <v>20899</v>
      </c>
      <c r="E1974" s="801">
        <v>43076</v>
      </c>
      <c r="F1974" s="800" t="s">
        <v>20855</v>
      </c>
      <c r="G1974" s="800" t="s">
        <v>20900</v>
      </c>
      <c r="H1974" s="800" t="s">
        <v>10396</v>
      </c>
      <c r="I1974" s="800" t="s">
        <v>10396</v>
      </c>
      <c r="J1974" s="800" t="s">
        <v>10405</v>
      </c>
      <c r="K1974" s="800">
        <v>1</v>
      </c>
      <c r="L1974" s="802" t="s">
        <v>10398</v>
      </c>
      <c r="M1974" s="802" t="s">
        <v>20901</v>
      </c>
      <c r="N1974" s="802" t="s">
        <v>20726</v>
      </c>
      <c r="O1974" s="802" t="s">
        <v>20902</v>
      </c>
      <c r="P1974" s="807" t="s">
        <v>20903</v>
      </c>
    </row>
    <row r="1975" spans="1:16" s="341" customFormat="1" ht="25.5" customHeight="1">
      <c r="A1975" s="806" t="s">
        <v>110</v>
      </c>
      <c r="B1975" s="800" t="s">
        <v>38</v>
      </c>
      <c r="C1975" s="800" t="s">
        <v>3773</v>
      </c>
      <c r="D1975" s="800" t="s">
        <v>20904</v>
      </c>
      <c r="E1975" s="801">
        <v>43076</v>
      </c>
      <c r="F1975" s="800" t="s">
        <v>20855</v>
      </c>
      <c r="G1975" s="800" t="s">
        <v>20905</v>
      </c>
      <c r="H1975" s="800" t="s">
        <v>10396</v>
      </c>
      <c r="I1975" s="800" t="s">
        <v>10396</v>
      </c>
      <c r="J1975" s="800" t="s">
        <v>10405</v>
      </c>
      <c r="K1975" s="800">
        <v>1</v>
      </c>
      <c r="L1975" s="802" t="s">
        <v>10398</v>
      </c>
      <c r="M1975" s="802" t="s">
        <v>20906</v>
      </c>
      <c r="N1975" s="802" t="s">
        <v>20907</v>
      </c>
      <c r="O1975" s="802" t="s">
        <v>20908</v>
      </c>
      <c r="P1975" s="807" t="s">
        <v>20909</v>
      </c>
    </row>
    <row r="1976" spans="1:16" s="341" customFormat="1" ht="25.5" customHeight="1">
      <c r="A1976" s="806" t="s">
        <v>110</v>
      </c>
      <c r="B1976" s="800" t="s">
        <v>38</v>
      </c>
      <c r="C1976" s="800" t="s">
        <v>3773</v>
      </c>
      <c r="D1976" s="800" t="s">
        <v>20910</v>
      </c>
      <c r="E1976" s="801">
        <v>43076</v>
      </c>
      <c r="F1976" s="800" t="s">
        <v>20855</v>
      </c>
      <c r="G1976" s="800" t="s">
        <v>20911</v>
      </c>
      <c r="H1976" s="800" t="s">
        <v>10396</v>
      </c>
      <c r="I1976" s="800" t="s">
        <v>10396</v>
      </c>
      <c r="J1976" s="800" t="s">
        <v>4342</v>
      </c>
      <c r="K1976" s="800">
        <v>1</v>
      </c>
      <c r="L1976" s="802" t="s">
        <v>10398</v>
      </c>
      <c r="M1976" s="802" t="s">
        <v>20912</v>
      </c>
      <c r="N1976" s="802" t="s">
        <v>20913</v>
      </c>
      <c r="O1976" s="802" t="s">
        <v>20914</v>
      </c>
      <c r="P1976" s="807" t="s">
        <v>20915</v>
      </c>
    </row>
    <row r="1977" spans="1:16" s="341" customFormat="1" ht="25.5" customHeight="1">
      <c r="A1977" s="806" t="s">
        <v>110</v>
      </c>
      <c r="B1977" s="800" t="s">
        <v>38</v>
      </c>
      <c r="C1977" s="800" t="s">
        <v>3773</v>
      </c>
      <c r="D1977" s="800" t="s">
        <v>20916</v>
      </c>
      <c r="E1977" s="801">
        <v>43076</v>
      </c>
      <c r="F1977" s="800" t="s">
        <v>20855</v>
      </c>
      <c r="G1977" s="800" t="s">
        <v>20456</v>
      </c>
      <c r="H1977" s="800" t="s">
        <v>10396</v>
      </c>
      <c r="I1977" s="800" t="s">
        <v>10396</v>
      </c>
      <c r="J1977" s="800" t="s">
        <v>4342</v>
      </c>
      <c r="K1977" s="800">
        <v>1</v>
      </c>
      <c r="L1977" s="802" t="s">
        <v>10398</v>
      </c>
      <c r="M1977" s="802" t="s">
        <v>20917</v>
      </c>
      <c r="N1977" s="802" t="s">
        <v>20918</v>
      </c>
      <c r="O1977" s="802" t="s">
        <v>20919</v>
      </c>
      <c r="P1977" s="807" t="s">
        <v>20920</v>
      </c>
    </row>
    <row r="1978" spans="1:16" s="341" customFormat="1" ht="25.5" customHeight="1">
      <c r="A1978" s="806" t="s">
        <v>110</v>
      </c>
      <c r="B1978" s="800" t="s">
        <v>38</v>
      </c>
      <c r="C1978" s="800" t="s">
        <v>3773</v>
      </c>
      <c r="D1978" s="800" t="s">
        <v>20921</v>
      </c>
      <c r="E1978" s="801">
        <v>43076</v>
      </c>
      <c r="F1978" s="800" t="s">
        <v>20888</v>
      </c>
      <c r="G1978" s="800" t="s">
        <v>20922</v>
      </c>
      <c r="H1978" s="800" t="s">
        <v>10396</v>
      </c>
      <c r="I1978" s="800" t="s">
        <v>10396</v>
      </c>
      <c r="J1978" s="800" t="s">
        <v>4342</v>
      </c>
      <c r="K1978" s="800">
        <v>1</v>
      </c>
      <c r="L1978" s="802" t="s">
        <v>10398</v>
      </c>
      <c r="M1978" s="802" t="s">
        <v>20923</v>
      </c>
      <c r="N1978" s="802" t="s">
        <v>11258</v>
      </c>
      <c r="O1978" s="802" t="s">
        <v>20924</v>
      </c>
      <c r="P1978" s="807" t="s">
        <v>20925</v>
      </c>
    </row>
    <row r="1979" spans="1:16" s="341" customFormat="1" ht="25.5" customHeight="1">
      <c r="A1979" s="806" t="s">
        <v>110</v>
      </c>
      <c r="B1979" s="800" t="s">
        <v>38</v>
      </c>
      <c r="C1979" s="800" t="s">
        <v>3773</v>
      </c>
      <c r="D1979" s="800" t="s">
        <v>20926</v>
      </c>
      <c r="E1979" s="801">
        <v>43076</v>
      </c>
      <c r="F1979" s="800" t="s">
        <v>20888</v>
      </c>
      <c r="G1979" s="800" t="s">
        <v>20927</v>
      </c>
      <c r="H1979" s="800" t="s">
        <v>10396</v>
      </c>
      <c r="I1979" s="800" t="s">
        <v>10396</v>
      </c>
      <c r="J1979" s="800" t="s">
        <v>4342</v>
      </c>
      <c r="K1979" s="800">
        <v>1</v>
      </c>
      <c r="L1979" s="802" t="s">
        <v>10398</v>
      </c>
      <c r="M1979" s="802" t="s">
        <v>20928</v>
      </c>
      <c r="N1979" s="802" t="s">
        <v>16096</v>
      </c>
      <c r="O1979" s="802" t="s">
        <v>20929</v>
      </c>
      <c r="P1979" s="807" t="s">
        <v>20930</v>
      </c>
    </row>
    <row r="1980" spans="1:16" s="341" customFormat="1" ht="25.5" customHeight="1">
      <c r="A1980" s="806" t="s">
        <v>110</v>
      </c>
      <c r="B1980" s="800" t="s">
        <v>38</v>
      </c>
      <c r="C1980" s="800" t="s">
        <v>3773</v>
      </c>
      <c r="D1980" s="800" t="s">
        <v>20931</v>
      </c>
      <c r="E1980" s="801">
        <v>43076</v>
      </c>
      <c r="F1980" s="800" t="s">
        <v>20888</v>
      </c>
      <c r="G1980" s="800" t="s">
        <v>20932</v>
      </c>
      <c r="H1980" s="800" t="s">
        <v>10396</v>
      </c>
      <c r="I1980" s="800" t="s">
        <v>10396</v>
      </c>
      <c r="J1980" s="800" t="s">
        <v>4342</v>
      </c>
      <c r="K1980" s="800">
        <v>1</v>
      </c>
      <c r="L1980" s="802" t="s">
        <v>10398</v>
      </c>
      <c r="M1980" s="802" t="s">
        <v>20933</v>
      </c>
      <c r="N1980" s="802" t="s">
        <v>20934</v>
      </c>
      <c r="O1980" s="802" t="s">
        <v>20935</v>
      </c>
      <c r="P1980" s="807" t="s">
        <v>20936</v>
      </c>
    </row>
    <row r="1981" spans="1:16" s="341" customFormat="1" ht="25.5" customHeight="1">
      <c r="A1981" s="806" t="s">
        <v>110</v>
      </c>
      <c r="B1981" s="800" t="s">
        <v>38</v>
      </c>
      <c r="C1981" s="800" t="s">
        <v>3773</v>
      </c>
      <c r="D1981" s="800" t="s">
        <v>20937</v>
      </c>
      <c r="E1981" s="801">
        <v>43076</v>
      </c>
      <c r="F1981" s="800" t="s">
        <v>20888</v>
      </c>
      <c r="G1981" s="800" t="s">
        <v>20938</v>
      </c>
      <c r="H1981" s="800" t="s">
        <v>10396</v>
      </c>
      <c r="I1981" s="800" t="s">
        <v>10396</v>
      </c>
      <c r="J1981" s="800" t="s">
        <v>4342</v>
      </c>
      <c r="K1981" s="800">
        <v>1</v>
      </c>
      <c r="L1981" s="802" t="s">
        <v>10398</v>
      </c>
      <c r="M1981" s="802" t="s">
        <v>20939</v>
      </c>
      <c r="N1981" s="802" t="s">
        <v>20940</v>
      </c>
      <c r="O1981" s="802" t="s">
        <v>20941</v>
      </c>
      <c r="P1981" s="807" t="s">
        <v>20942</v>
      </c>
    </row>
    <row r="1982" spans="1:16" s="341" customFormat="1" ht="25.5" customHeight="1">
      <c r="A1982" s="806" t="s">
        <v>110</v>
      </c>
      <c r="B1982" s="800" t="s">
        <v>38</v>
      </c>
      <c r="C1982" s="800" t="s">
        <v>3773</v>
      </c>
      <c r="D1982" s="800" t="s">
        <v>20943</v>
      </c>
      <c r="E1982" s="801">
        <v>43076</v>
      </c>
      <c r="F1982" s="800" t="s">
        <v>20888</v>
      </c>
      <c r="G1982" s="800" t="s">
        <v>20944</v>
      </c>
      <c r="H1982" s="800" t="s">
        <v>10396</v>
      </c>
      <c r="I1982" s="800" t="s">
        <v>10396</v>
      </c>
      <c r="J1982" s="800" t="s">
        <v>4342</v>
      </c>
      <c r="K1982" s="800">
        <v>1</v>
      </c>
      <c r="L1982" s="802" t="s">
        <v>10398</v>
      </c>
      <c r="M1982" s="802" t="s">
        <v>20945</v>
      </c>
      <c r="N1982" s="802" t="s">
        <v>13561</v>
      </c>
      <c r="O1982" s="802" t="s">
        <v>20946</v>
      </c>
      <c r="P1982" s="807" t="s">
        <v>20947</v>
      </c>
    </row>
    <row r="1983" spans="1:16" s="341" customFormat="1" ht="25.5" customHeight="1">
      <c r="A1983" s="806" t="s">
        <v>110</v>
      </c>
      <c r="B1983" s="800" t="s">
        <v>38</v>
      </c>
      <c r="C1983" s="800" t="s">
        <v>3773</v>
      </c>
      <c r="D1983" s="800" t="s">
        <v>20948</v>
      </c>
      <c r="E1983" s="801">
        <v>43076</v>
      </c>
      <c r="F1983" s="800" t="s">
        <v>20888</v>
      </c>
      <c r="G1983" s="800" t="s">
        <v>20461</v>
      </c>
      <c r="H1983" s="800" t="s">
        <v>10396</v>
      </c>
      <c r="I1983" s="800" t="s">
        <v>10396</v>
      </c>
      <c r="J1983" s="800" t="s">
        <v>4342</v>
      </c>
      <c r="K1983" s="800">
        <v>1</v>
      </c>
      <c r="L1983" s="802" t="s">
        <v>10398</v>
      </c>
      <c r="M1983" s="802" t="s">
        <v>32</v>
      </c>
      <c r="N1983" s="802" t="s">
        <v>15160</v>
      </c>
      <c r="O1983" s="802" t="s">
        <v>20949</v>
      </c>
      <c r="P1983" s="807" t="s">
        <v>20950</v>
      </c>
    </row>
    <row r="1984" spans="1:16" s="341" customFormat="1" ht="25.5" customHeight="1">
      <c r="A1984" s="806" t="s">
        <v>110</v>
      </c>
      <c r="B1984" s="800" t="s">
        <v>38</v>
      </c>
      <c r="C1984" s="800" t="s">
        <v>3773</v>
      </c>
      <c r="D1984" s="800" t="s">
        <v>20951</v>
      </c>
      <c r="E1984" s="801">
        <v>43076</v>
      </c>
      <c r="F1984" s="800" t="s">
        <v>20855</v>
      </c>
      <c r="G1984" s="800" t="s">
        <v>20461</v>
      </c>
      <c r="H1984" s="800" t="s">
        <v>10396</v>
      </c>
      <c r="I1984" s="800" t="s">
        <v>10396</v>
      </c>
      <c r="J1984" s="800" t="s">
        <v>4342</v>
      </c>
      <c r="K1984" s="800">
        <v>1</v>
      </c>
      <c r="L1984" s="802" t="s">
        <v>10398</v>
      </c>
      <c r="M1984" s="802" t="s">
        <v>32</v>
      </c>
      <c r="N1984" s="802" t="s">
        <v>20521</v>
      </c>
      <c r="O1984" s="802" t="s">
        <v>20952</v>
      </c>
      <c r="P1984" s="807" t="s">
        <v>20953</v>
      </c>
    </row>
    <row r="1985" spans="1:16" s="341" customFormat="1" ht="25.5" customHeight="1">
      <c r="A1985" s="806" t="s">
        <v>110</v>
      </c>
      <c r="B1985" s="800" t="s">
        <v>38</v>
      </c>
      <c r="C1985" s="800" t="s">
        <v>3773</v>
      </c>
      <c r="D1985" s="800" t="s">
        <v>20954</v>
      </c>
      <c r="E1985" s="801">
        <v>43076</v>
      </c>
      <c r="F1985" s="800" t="s">
        <v>20855</v>
      </c>
      <c r="G1985" s="800" t="s">
        <v>20911</v>
      </c>
      <c r="H1985" s="800" t="s">
        <v>10396</v>
      </c>
      <c r="I1985" s="800" t="s">
        <v>10396</v>
      </c>
      <c r="J1985" s="800" t="s">
        <v>10405</v>
      </c>
      <c r="K1985" s="800">
        <v>1</v>
      </c>
      <c r="L1985" s="802" t="s">
        <v>11026</v>
      </c>
      <c r="M1985" s="802" t="s">
        <v>20955</v>
      </c>
      <c r="N1985" s="802" t="s">
        <v>19244</v>
      </c>
      <c r="O1985" s="802" t="s">
        <v>20952</v>
      </c>
      <c r="P1985" s="807" t="s">
        <v>20956</v>
      </c>
    </row>
    <row r="1986" spans="1:16" s="341" customFormat="1" ht="25.5" customHeight="1">
      <c r="A1986" s="806" t="s">
        <v>110</v>
      </c>
      <c r="B1986" s="800" t="s">
        <v>38</v>
      </c>
      <c r="C1986" s="800" t="s">
        <v>3773</v>
      </c>
      <c r="D1986" s="800" t="s">
        <v>20957</v>
      </c>
      <c r="E1986" s="801">
        <v>43076</v>
      </c>
      <c r="F1986" s="800" t="s">
        <v>20855</v>
      </c>
      <c r="G1986" s="800" t="s">
        <v>20958</v>
      </c>
      <c r="H1986" s="800" t="s">
        <v>10404</v>
      </c>
      <c r="I1986" s="800" t="s">
        <v>10404</v>
      </c>
      <c r="J1986" s="800" t="s">
        <v>10405</v>
      </c>
      <c r="K1986" s="800">
        <v>1</v>
      </c>
      <c r="L1986" s="802" t="s">
        <v>10398</v>
      </c>
      <c r="M1986" s="802" t="s">
        <v>20959</v>
      </c>
      <c r="N1986" s="802" t="s">
        <v>11507</v>
      </c>
      <c r="O1986" s="802" t="s">
        <v>20960</v>
      </c>
      <c r="P1986" s="807" t="s">
        <v>20961</v>
      </c>
    </row>
    <row r="1987" spans="1:16" s="341" customFormat="1" ht="25.5" customHeight="1">
      <c r="A1987" s="806" t="s">
        <v>110</v>
      </c>
      <c r="B1987" s="800" t="s">
        <v>38</v>
      </c>
      <c r="C1987" s="800" t="s">
        <v>3773</v>
      </c>
      <c r="D1987" s="800" t="s">
        <v>20962</v>
      </c>
      <c r="E1987" s="801">
        <v>43076</v>
      </c>
      <c r="F1987" s="800" t="s">
        <v>20888</v>
      </c>
      <c r="G1987" s="800" t="s">
        <v>20963</v>
      </c>
      <c r="H1987" s="800" t="s">
        <v>10404</v>
      </c>
      <c r="I1987" s="800" t="s">
        <v>10404</v>
      </c>
      <c r="J1987" s="800" t="s">
        <v>10405</v>
      </c>
      <c r="K1987" s="800">
        <v>1</v>
      </c>
      <c r="L1987" s="802" t="s">
        <v>10398</v>
      </c>
      <c r="M1987" s="802" t="s">
        <v>20964</v>
      </c>
      <c r="N1987" s="802" t="s">
        <v>20965</v>
      </c>
      <c r="O1987" s="802" t="s">
        <v>20966</v>
      </c>
      <c r="P1987" s="807" t="s">
        <v>20967</v>
      </c>
    </row>
    <row r="1988" spans="1:16" s="341" customFormat="1" ht="25.5" customHeight="1">
      <c r="A1988" s="806" t="s">
        <v>110</v>
      </c>
      <c r="B1988" s="800" t="s">
        <v>38</v>
      </c>
      <c r="C1988" s="800" t="s">
        <v>3773</v>
      </c>
      <c r="D1988" s="800" t="s">
        <v>20968</v>
      </c>
      <c r="E1988" s="801">
        <v>43076</v>
      </c>
      <c r="F1988" s="800" t="s">
        <v>20888</v>
      </c>
      <c r="G1988" s="800" t="s">
        <v>20969</v>
      </c>
      <c r="H1988" s="800" t="s">
        <v>10404</v>
      </c>
      <c r="I1988" s="800" t="s">
        <v>10404</v>
      </c>
      <c r="J1988" s="800" t="s">
        <v>10405</v>
      </c>
      <c r="K1988" s="800">
        <v>1</v>
      </c>
      <c r="L1988" s="802" t="s">
        <v>10398</v>
      </c>
      <c r="M1988" s="802" t="s">
        <v>20970</v>
      </c>
      <c r="N1988" s="802" t="s">
        <v>12551</v>
      </c>
      <c r="O1988" s="802" t="s">
        <v>20971</v>
      </c>
      <c r="P1988" s="807" t="s">
        <v>20972</v>
      </c>
    </row>
    <row r="1989" spans="1:16" s="341" customFormat="1" ht="25.5" customHeight="1">
      <c r="A1989" s="806" t="s">
        <v>110</v>
      </c>
      <c r="B1989" s="800" t="s">
        <v>38</v>
      </c>
      <c r="C1989" s="800" t="s">
        <v>3773</v>
      </c>
      <c r="D1989" s="800" t="s">
        <v>20973</v>
      </c>
      <c r="E1989" s="801">
        <v>43076</v>
      </c>
      <c r="F1989" s="800" t="s">
        <v>20888</v>
      </c>
      <c r="G1989" s="800" t="s">
        <v>20974</v>
      </c>
      <c r="H1989" s="800" t="s">
        <v>10404</v>
      </c>
      <c r="I1989" s="800" t="s">
        <v>10404</v>
      </c>
      <c r="J1989" s="800" t="s">
        <v>10405</v>
      </c>
      <c r="K1989" s="800">
        <v>1</v>
      </c>
      <c r="L1989" s="802" t="s">
        <v>10398</v>
      </c>
      <c r="M1989" s="802" t="s">
        <v>20975</v>
      </c>
      <c r="N1989" s="802" t="s">
        <v>20976</v>
      </c>
      <c r="O1989" s="802" t="s">
        <v>20977</v>
      </c>
      <c r="P1989" s="807" t="s">
        <v>20978</v>
      </c>
    </row>
    <row r="1990" spans="1:16" s="341" customFormat="1" ht="25.5" customHeight="1">
      <c r="A1990" s="806" t="s">
        <v>110</v>
      </c>
      <c r="B1990" s="800" t="s">
        <v>38</v>
      </c>
      <c r="C1990" s="800" t="s">
        <v>3773</v>
      </c>
      <c r="D1990" s="800" t="s">
        <v>20979</v>
      </c>
      <c r="E1990" s="801">
        <v>43076</v>
      </c>
      <c r="F1990" s="800" t="s">
        <v>20888</v>
      </c>
      <c r="G1990" s="800" t="s">
        <v>20980</v>
      </c>
      <c r="H1990" s="800" t="s">
        <v>10404</v>
      </c>
      <c r="I1990" s="800" t="s">
        <v>10404</v>
      </c>
      <c r="J1990" s="800" t="s">
        <v>10405</v>
      </c>
      <c r="K1990" s="800">
        <v>1</v>
      </c>
      <c r="L1990" s="802" t="s">
        <v>10398</v>
      </c>
      <c r="M1990" s="802" t="s">
        <v>20981</v>
      </c>
      <c r="N1990" s="802" t="s">
        <v>20982</v>
      </c>
      <c r="O1990" s="802" t="s">
        <v>20983</v>
      </c>
      <c r="P1990" s="807" t="s">
        <v>20984</v>
      </c>
    </row>
    <row r="1991" spans="1:16" s="341" customFormat="1" ht="25.5" customHeight="1">
      <c r="A1991" s="806" t="s">
        <v>110</v>
      </c>
      <c r="B1991" s="800" t="s">
        <v>38</v>
      </c>
      <c r="C1991" s="800" t="s">
        <v>3773</v>
      </c>
      <c r="D1991" s="800" t="s">
        <v>20985</v>
      </c>
      <c r="E1991" s="801">
        <v>43076</v>
      </c>
      <c r="F1991" s="800" t="s">
        <v>20888</v>
      </c>
      <c r="G1991" s="800" t="s">
        <v>20986</v>
      </c>
      <c r="H1991" s="800" t="s">
        <v>10404</v>
      </c>
      <c r="I1991" s="800" t="s">
        <v>10404</v>
      </c>
      <c r="J1991" s="800" t="s">
        <v>10405</v>
      </c>
      <c r="K1991" s="800">
        <v>1</v>
      </c>
      <c r="L1991" s="802" t="s">
        <v>10398</v>
      </c>
      <c r="M1991" s="802" t="s">
        <v>20987</v>
      </c>
      <c r="N1991" s="802" t="s">
        <v>20988</v>
      </c>
      <c r="O1991" s="802" t="s">
        <v>20989</v>
      </c>
      <c r="P1991" s="807" t="s">
        <v>20990</v>
      </c>
    </row>
    <row r="1992" spans="1:16" s="341" customFormat="1" ht="25.5" customHeight="1">
      <c r="A1992" s="806" t="s">
        <v>110</v>
      </c>
      <c r="B1992" s="800" t="s">
        <v>38</v>
      </c>
      <c r="C1992" s="800" t="s">
        <v>3773</v>
      </c>
      <c r="D1992" s="800" t="s">
        <v>20991</v>
      </c>
      <c r="E1992" s="801">
        <v>43076</v>
      </c>
      <c r="F1992" s="800" t="s">
        <v>20888</v>
      </c>
      <c r="G1992" s="800" t="s">
        <v>20992</v>
      </c>
      <c r="H1992" s="800" t="s">
        <v>10404</v>
      </c>
      <c r="I1992" s="800" t="s">
        <v>10404</v>
      </c>
      <c r="J1992" s="800" t="s">
        <v>10405</v>
      </c>
      <c r="K1992" s="800">
        <v>1</v>
      </c>
      <c r="L1992" s="802" t="s">
        <v>10398</v>
      </c>
      <c r="M1992" s="802" t="s">
        <v>32</v>
      </c>
      <c r="N1992" s="802" t="s">
        <v>32</v>
      </c>
      <c r="O1992" s="802" t="s">
        <v>32</v>
      </c>
      <c r="P1992" s="807" t="s">
        <v>20993</v>
      </c>
    </row>
    <row r="1993" spans="1:16" s="341" customFormat="1" ht="25.5" customHeight="1">
      <c r="A1993" s="806" t="s">
        <v>110</v>
      </c>
      <c r="B1993" s="800" t="s">
        <v>38</v>
      </c>
      <c r="C1993" s="800" t="s">
        <v>3773</v>
      </c>
      <c r="D1993" s="800" t="s">
        <v>20994</v>
      </c>
      <c r="E1993" s="801">
        <v>43076</v>
      </c>
      <c r="F1993" s="800" t="s">
        <v>20888</v>
      </c>
      <c r="G1993" s="800" t="s">
        <v>20995</v>
      </c>
      <c r="H1993" s="800" t="s">
        <v>10404</v>
      </c>
      <c r="I1993" s="800" t="s">
        <v>10404</v>
      </c>
      <c r="J1993" s="800" t="s">
        <v>10405</v>
      </c>
      <c r="K1993" s="800">
        <v>1</v>
      </c>
      <c r="L1993" s="802" t="s">
        <v>10398</v>
      </c>
      <c r="M1993" s="802" t="s">
        <v>32</v>
      </c>
      <c r="N1993" s="802" t="s">
        <v>16899</v>
      </c>
      <c r="O1993" s="802" t="s">
        <v>20996</v>
      </c>
      <c r="P1993" s="807" t="s">
        <v>20984</v>
      </c>
    </row>
    <row r="1994" spans="1:16" s="341" customFormat="1" ht="25.5" customHeight="1">
      <c r="A1994" s="806" t="s">
        <v>110</v>
      </c>
      <c r="B1994" s="800" t="s">
        <v>38</v>
      </c>
      <c r="C1994" s="800" t="s">
        <v>3773</v>
      </c>
      <c r="D1994" s="800" t="s">
        <v>20997</v>
      </c>
      <c r="E1994" s="801">
        <v>43076</v>
      </c>
      <c r="F1994" s="800" t="s">
        <v>20644</v>
      </c>
      <c r="G1994" s="800" t="s">
        <v>20998</v>
      </c>
      <c r="H1994" s="800" t="s">
        <v>10404</v>
      </c>
      <c r="I1994" s="800" t="s">
        <v>10404</v>
      </c>
      <c r="J1994" s="800" t="s">
        <v>10405</v>
      </c>
      <c r="K1994" s="800">
        <v>1</v>
      </c>
      <c r="L1994" s="802" t="s">
        <v>10398</v>
      </c>
      <c r="M1994" s="802" t="s">
        <v>20999</v>
      </c>
      <c r="N1994" s="802" t="s">
        <v>21000</v>
      </c>
      <c r="O1994" s="802" t="s">
        <v>21001</v>
      </c>
      <c r="P1994" s="807" t="s">
        <v>21002</v>
      </c>
    </row>
    <row r="1995" spans="1:16" s="341" customFormat="1" ht="25.5" customHeight="1">
      <c r="A1995" s="806" t="s">
        <v>110</v>
      </c>
      <c r="B1995" s="800" t="s">
        <v>38</v>
      </c>
      <c r="C1995" s="800" t="s">
        <v>3773</v>
      </c>
      <c r="D1995" s="800" t="s">
        <v>21003</v>
      </c>
      <c r="E1995" s="801">
        <v>43076</v>
      </c>
      <c r="F1995" s="800" t="s">
        <v>20888</v>
      </c>
      <c r="G1995" s="800" t="s">
        <v>21004</v>
      </c>
      <c r="H1995" s="800" t="s">
        <v>10404</v>
      </c>
      <c r="I1995" s="800" t="s">
        <v>10404</v>
      </c>
      <c r="J1995" s="800" t="s">
        <v>10405</v>
      </c>
      <c r="K1995" s="800">
        <v>1</v>
      </c>
      <c r="L1995" s="802" t="s">
        <v>10398</v>
      </c>
      <c r="M1995" s="802" t="s">
        <v>32</v>
      </c>
      <c r="N1995" s="802" t="s">
        <v>32</v>
      </c>
      <c r="O1995" s="802" t="s">
        <v>32</v>
      </c>
      <c r="P1995" s="807" t="s">
        <v>21005</v>
      </c>
    </row>
    <row r="1996" spans="1:16" s="341" customFormat="1" ht="25.5" customHeight="1">
      <c r="A1996" s="806" t="s">
        <v>110</v>
      </c>
      <c r="B1996" s="800" t="s">
        <v>38</v>
      </c>
      <c r="C1996" s="800" t="s">
        <v>3773</v>
      </c>
      <c r="D1996" s="800" t="s">
        <v>21006</v>
      </c>
      <c r="E1996" s="801">
        <v>43076</v>
      </c>
      <c r="F1996" s="800" t="s">
        <v>20888</v>
      </c>
      <c r="G1996" s="800" t="s">
        <v>21007</v>
      </c>
      <c r="H1996" s="800" t="s">
        <v>10404</v>
      </c>
      <c r="I1996" s="800" t="s">
        <v>10404</v>
      </c>
      <c r="J1996" s="800" t="s">
        <v>10405</v>
      </c>
      <c r="K1996" s="800">
        <v>1</v>
      </c>
      <c r="L1996" s="802" t="s">
        <v>10398</v>
      </c>
      <c r="M1996" s="802" t="s">
        <v>32</v>
      </c>
      <c r="N1996" s="802" t="s">
        <v>32</v>
      </c>
      <c r="O1996" s="802" t="s">
        <v>32</v>
      </c>
      <c r="P1996" s="807" t="s">
        <v>21008</v>
      </c>
    </row>
    <row r="1997" spans="1:16" s="341" customFormat="1" ht="25.5" customHeight="1">
      <c r="A1997" s="806" t="s">
        <v>110</v>
      </c>
      <c r="B1997" s="800" t="s">
        <v>38</v>
      </c>
      <c r="C1997" s="800" t="s">
        <v>3773</v>
      </c>
      <c r="D1997" s="800" t="s">
        <v>21009</v>
      </c>
      <c r="E1997" s="801">
        <v>43076</v>
      </c>
      <c r="F1997" s="800" t="s">
        <v>20644</v>
      </c>
      <c r="G1997" s="800" t="s">
        <v>21010</v>
      </c>
      <c r="H1997" s="800" t="s">
        <v>10404</v>
      </c>
      <c r="I1997" s="800" t="s">
        <v>10404</v>
      </c>
      <c r="J1997" s="800" t="s">
        <v>10405</v>
      </c>
      <c r="K1997" s="800">
        <v>1</v>
      </c>
      <c r="L1997" s="802" t="s">
        <v>10398</v>
      </c>
      <c r="M1997" s="802" t="s">
        <v>32</v>
      </c>
      <c r="N1997" s="802" t="s">
        <v>32</v>
      </c>
      <c r="O1997" s="802" t="s">
        <v>32</v>
      </c>
      <c r="P1997" s="807" t="s">
        <v>21011</v>
      </c>
    </row>
    <row r="1998" spans="1:16" s="341" customFormat="1" ht="25.5" customHeight="1">
      <c r="A1998" s="806" t="s">
        <v>110</v>
      </c>
      <c r="B1998" s="800" t="s">
        <v>38</v>
      </c>
      <c r="C1998" s="800" t="s">
        <v>3773</v>
      </c>
      <c r="D1998" s="800" t="s">
        <v>21012</v>
      </c>
      <c r="E1998" s="801">
        <v>43076</v>
      </c>
      <c r="F1998" s="800" t="s">
        <v>20888</v>
      </c>
      <c r="G1998" s="800" t="s">
        <v>21013</v>
      </c>
      <c r="H1998" s="800" t="s">
        <v>10404</v>
      </c>
      <c r="I1998" s="800" t="s">
        <v>10404</v>
      </c>
      <c r="J1998" s="800" t="s">
        <v>4342</v>
      </c>
      <c r="K1998" s="800">
        <v>1</v>
      </c>
      <c r="L1998" s="802" t="s">
        <v>10398</v>
      </c>
      <c r="M1998" s="802" t="s">
        <v>32</v>
      </c>
      <c r="N1998" s="802" t="s">
        <v>32</v>
      </c>
      <c r="O1998" s="802" t="s">
        <v>32</v>
      </c>
      <c r="P1998" s="807" t="s">
        <v>21014</v>
      </c>
    </row>
    <row r="1999" spans="1:16" s="341" customFormat="1" ht="25.5" customHeight="1">
      <c r="A1999" s="806" t="s">
        <v>110</v>
      </c>
      <c r="B1999" s="800" t="s">
        <v>38</v>
      </c>
      <c r="C1999" s="800" t="s">
        <v>3773</v>
      </c>
      <c r="D1999" s="800" t="s">
        <v>21015</v>
      </c>
      <c r="E1999" s="801">
        <v>43075</v>
      </c>
      <c r="F1999" s="800" t="s">
        <v>20888</v>
      </c>
      <c r="G1999" s="800" t="s">
        <v>21016</v>
      </c>
      <c r="H1999" s="800" t="s">
        <v>10404</v>
      </c>
      <c r="I1999" s="800" t="s">
        <v>10404</v>
      </c>
      <c r="J1999" s="800" t="s">
        <v>10405</v>
      </c>
      <c r="K1999" s="800">
        <v>1</v>
      </c>
      <c r="L1999" s="802" t="s">
        <v>10398</v>
      </c>
      <c r="M1999" s="802" t="s">
        <v>21017</v>
      </c>
      <c r="N1999" s="802" t="s">
        <v>17701</v>
      </c>
      <c r="O1999" s="802" t="s">
        <v>21018</v>
      </c>
      <c r="P1999" s="807" t="s">
        <v>21019</v>
      </c>
    </row>
    <row r="2000" spans="1:16" s="341" customFormat="1" ht="25.5" customHeight="1">
      <c r="A2000" s="806" t="s">
        <v>110</v>
      </c>
      <c r="B2000" s="800" t="s">
        <v>38</v>
      </c>
      <c r="C2000" s="800" t="s">
        <v>3773</v>
      </c>
      <c r="D2000" s="800" t="s">
        <v>21020</v>
      </c>
      <c r="E2000" s="801">
        <v>43075</v>
      </c>
      <c r="F2000" s="800" t="s">
        <v>20644</v>
      </c>
      <c r="G2000" s="800" t="s">
        <v>21021</v>
      </c>
      <c r="H2000" s="800" t="s">
        <v>10404</v>
      </c>
      <c r="I2000" s="800" t="s">
        <v>10404</v>
      </c>
      <c r="J2000" s="800" t="s">
        <v>10405</v>
      </c>
      <c r="K2000" s="800">
        <v>1</v>
      </c>
      <c r="L2000" s="802" t="s">
        <v>10398</v>
      </c>
      <c r="M2000" s="802" t="s">
        <v>32</v>
      </c>
      <c r="N2000" s="802" t="s">
        <v>32</v>
      </c>
      <c r="O2000" s="802" t="s">
        <v>32</v>
      </c>
      <c r="P2000" s="807" t="s">
        <v>21022</v>
      </c>
    </row>
    <row r="2001" spans="1:16" s="341" customFormat="1" ht="25.5" customHeight="1">
      <c r="A2001" s="806" t="s">
        <v>110</v>
      </c>
      <c r="B2001" s="800" t="s">
        <v>38</v>
      </c>
      <c r="C2001" s="800" t="s">
        <v>3773</v>
      </c>
      <c r="D2001" s="800" t="s">
        <v>21023</v>
      </c>
      <c r="E2001" s="801">
        <v>43075</v>
      </c>
      <c r="F2001" s="800" t="s">
        <v>21024</v>
      </c>
      <c r="G2001" s="800" t="s">
        <v>21025</v>
      </c>
      <c r="H2001" s="800" t="s">
        <v>10404</v>
      </c>
      <c r="I2001" s="800" t="s">
        <v>10404</v>
      </c>
      <c r="J2001" s="800" t="s">
        <v>10405</v>
      </c>
      <c r="K2001" s="800">
        <v>1</v>
      </c>
      <c r="L2001" s="802" t="s">
        <v>10398</v>
      </c>
      <c r="M2001" s="802" t="s">
        <v>21026</v>
      </c>
      <c r="N2001" s="802" t="s">
        <v>21027</v>
      </c>
      <c r="O2001" s="802" t="s">
        <v>21028</v>
      </c>
      <c r="P2001" s="807" t="s">
        <v>21029</v>
      </c>
    </row>
    <row r="2002" spans="1:16" s="341" customFormat="1" ht="25.5" customHeight="1">
      <c r="A2002" s="806" t="s">
        <v>110</v>
      </c>
      <c r="B2002" s="800" t="s">
        <v>38</v>
      </c>
      <c r="C2002" s="800" t="s">
        <v>3773</v>
      </c>
      <c r="D2002" s="800" t="s">
        <v>21030</v>
      </c>
      <c r="E2002" s="801">
        <v>43075</v>
      </c>
      <c r="F2002" s="800" t="s">
        <v>21031</v>
      </c>
      <c r="G2002" s="800" t="s">
        <v>21032</v>
      </c>
      <c r="H2002" s="800" t="s">
        <v>10404</v>
      </c>
      <c r="I2002" s="800" t="s">
        <v>10404</v>
      </c>
      <c r="J2002" s="800" t="s">
        <v>10405</v>
      </c>
      <c r="K2002" s="800">
        <v>1</v>
      </c>
      <c r="L2002" s="802" t="s">
        <v>10398</v>
      </c>
      <c r="M2002" s="802" t="s">
        <v>21033</v>
      </c>
      <c r="N2002" s="802" t="s">
        <v>16180</v>
      </c>
      <c r="O2002" s="802" t="s">
        <v>21034</v>
      </c>
      <c r="P2002" s="807" t="s">
        <v>21029</v>
      </c>
    </row>
    <row r="2003" spans="1:16" s="341" customFormat="1" ht="25.5" customHeight="1">
      <c r="A2003" s="806" t="s">
        <v>110</v>
      </c>
      <c r="B2003" s="800" t="s">
        <v>38</v>
      </c>
      <c r="C2003" s="800" t="s">
        <v>3773</v>
      </c>
      <c r="D2003" s="800" t="s">
        <v>21035</v>
      </c>
      <c r="E2003" s="801">
        <v>43075</v>
      </c>
      <c r="F2003" s="800" t="s">
        <v>21031</v>
      </c>
      <c r="G2003" s="800" t="s">
        <v>21036</v>
      </c>
      <c r="H2003" s="800" t="s">
        <v>10404</v>
      </c>
      <c r="I2003" s="800" t="s">
        <v>10404</v>
      </c>
      <c r="J2003" s="800" t="s">
        <v>10405</v>
      </c>
      <c r="K2003" s="800">
        <v>1</v>
      </c>
      <c r="L2003" s="802" t="s">
        <v>10398</v>
      </c>
      <c r="M2003" s="802" t="s">
        <v>21037</v>
      </c>
      <c r="N2003" s="802" t="s">
        <v>21038</v>
      </c>
      <c r="O2003" s="802" t="s">
        <v>21039</v>
      </c>
      <c r="P2003" s="807" t="s">
        <v>21040</v>
      </c>
    </row>
    <row r="2004" spans="1:16" s="341" customFormat="1" ht="25.5" customHeight="1">
      <c r="A2004" s="806" t="s">
        <v>110</v>
      </c>
      <c r="B2004" s="800" t="s">
        <v>38</v>
      </c>
      <c r="C2004" s="800" t="s">
        <v>3773</v>
      </c>
      <c r="D2004" s="800" t="s">
        <v>21041</v>
      </c>
      <c r="E2004" s="801">
        <v>43076</v>
      </c>
      <c r="F2004" s="800" t="s">
        <v>21042</v>
      </c>
      <c r="G2004" s="800" t="s">
        <v>21043</v>
      </c>
      <c r="H2004" s="800" t="s">
        <v>10404</v>
      </c>
      <c r="I2004" s="800" t="s">
        <v>10404</v>
      </c>
      <c r="J2004" s="800" t="s">
        <v>10405</v>
      </c>
      <c r="K2004" s="800">
        <v>1</v>
      </c>
      <c r="L2004" s="802" t="s">
        <v>10398</v>
      </c>
      <c r="M2004" s="802" t="s">
        <v>21044</v>
      </c>
      <c r="N2004" s="802" t="s">
        <v>21045</v>
      </c>
      <c r="O2004" s="802" t="s">
        <v>21046</v>
      </c>
      <c r="P2004" s="807" t="s">
        <v>21047</v>
      </c>
    </row>
    <row r="2005" spans="1:16" s="341" customFormat="1" ht="25.5" customHeight="1">
      <c r="A2005" s="806" t="s">
        <v>110</v>
      </c>
      <c r="B2005" s="800" t="s">
        <v>38</v>
      </c>
      <c r="C2005" s="800" t="s">
        <v>3773</v>
      </c>
      <c r="D2005" s="800" t="s">
        <v>21048</v>
      </c>
      <c r="E2005" s="801">
        <v>43075</v>
      </c>
      <c r="F2005" s="800" t="s">
        <v>21031</v>
      </c>
      <c r="G2005" s="800" t="s">
        <v>21049</v>
      </c>
      <c r="H2005" s="800" t="s">
        <v>10404</v>
      </c>
      <c r="I2005" s="800" t="s">
        <v>10404</v>
      </c>
      <c r="J2005" s="800" t="s">
        <v>10405</v>
      </c>
      <c r="K2005" s="800">
        <v>1</v>
      </c>
      <c r="L2005" s="802" t="s">
        <v>10398</v>
      </c>
      <c r="M2005" s="802" t="s">
        <v>21050</v>
      </c>
      <c r="N2005" s="802" t="s">
        <v>21051</v>
      </c>
      <c r="O2005" s="802" t="s">
        <v>21052</v>
      </c>
      <c r="P2005" s="807" t="s">
        <v>21053</v>
      </c>
    </row>
    <row r="2006" spans="1:16" s="341" customFormat="1" ht="25.5" customHeight="1">
      <c r="A2006" s="806" t="s">
        <v>110</v>
      </c>
      <c r="B2006" s="800" t="s">
        <v>38</v>
      </c>
      <c r="C2006" s="800" t="s">
        <v>3773</v>
      </c>
      <c r="D2006" s="800" t="s">
        <v>21054</v>
      </c>
      <c r="E2006" s="801">
        <v>43075</v>
      </c>
      <c r="F2006" s="800" t="s">
        <v>21031</v>
      </c>
      <c r="G2006" s="800" t="s">
        <v>21055</v>
      </c>
      <c r="H2006" s="800" t="s">
        <v>10404</v>
      </c>
      <c r="I2006" s="800" t="s">
        <v>10404</v>
      </c>
      <c r="J2006" s="800" t="s">
        <v>10405</v>
      </c>
      <c r="K2006" s="800">
        <v>1</v>
      </c>
      <c r="L2006" s="802" t="s">
        <v>10398</v>
      </c>
      <c r="M2006" s="802" t="s">
        <v>21056</v>
      </c>
      <c r="N2006" s="802" t="s">
        <v>21057</v>
      </c>
      <c r="O2006" s="802" t="s">
        <v>21058</v>
      </c>
      <c r="P2006" s="807" t="s">
        <v>32</v>
      </c>
    </row>
    <row r="2007" spans="1:16" s="341" customFormat="1" ht="25.5" customHeight="1">
      <c r="A2007" s="806" t="s">
        <v>110</v>
      </c>
      <c r="B2007" s="800" t="s">
        <v>38</v>
      </c>
      <c r="C2007" s="800" t="s">
        <v>3773</v>
      </c>
      <c r="D2007" s="800" t="s">
        <v>21059</v>
      </c>
      <c r="E2007" s="801">
        <v>43075</v>
      </c>
      <c r="F2007" s="800" t="s">
        <v>21031</v>
      </c>
      <c r="G2007" s="800" t="s">
        <v>21060</v>
      </c>
      <c r="H2007" s="800" t="s">
        <v>10404</v>
      </c>
      <c r="I2007" s="800" t="s">
        <v>10404</v>
      </c>
      <c r="J2007" s="800" t="s">
        <v>10405</v>
      </c>
      <c r="K2007" s="800">
        <v>1</v>
      </c>
      <c r="L2007" s="802" t="s">
        <v>10398</v>
      </c>
      <c r="M2007" s="802" t="s">
        <v>21061</v>
      </c>
      <c r="N2007" s="802" t="s">
        <v>21062</v>
      </c>
      <c r="O2007" s="802" t="s">
        <v>20660</v>
      </c>
      <c r="P2007" s="807" t="s">
        <v>32</v>
      </c>
    </row>
    <row r="2008" spans="1:16" s="341" customFormat="1" ht="25.5" customHeight="1">
      <c r="A2008" s="806" t="s">
        <v>110</v>
      </c>
      <c r="B2008" s="800" t="s">
        <v>38</v>
      </c>
      <c r="C2008" s="800" t="s">
        <v>3773</v>
      </c>
      <c r="D2008" s="800" t="s">
        <v>21063</v>
      </c>
      <c r="E2008" s="801">
        <v>43075</v>
      </c>
      <c r="F2008" s="800" t="s">
        <v>21031</v>
      </c>
      <c r="G2008" s="800" t="s">
        <v>21064</v>
      </c>
      <c r="H2008" s="800" t="s">
        <v>10404</v>
      </c>
      <c r="I2008" s="800" t="s">
        <v>10404</v>
      </c>
      <c r="J2008" s="800" t="s">
        <v>10405</v>
      </c>
      <c r="K2008" s="800">
        <v>1</v>
      </c>
      <c r="L2008" s="802" t="s">
        <v>10398</v>
      </c>
      <c r="M2008" s="802" t="s">
        <v>21065</v>
      </c>
      <c r="N2008" s="802" t="s">
        <v>15037</v>
      </c>
      <c r="O2008" s="802" t="s">
        <v>21066</v>
      </c>
      <c r="P2008" s="807" t="s">
        <v>21067</v>
      </c>
    </row>
    <row r="2009" spans="1:16" s="341" customFormat="1" ht="25.5" customHeight="1">
      <c r="A2009" s="806" t="s">
        <v>110</v>
      </c>
      <c r="B2009" s="800" t="s">
        <v>38</v>
      </c>
      <c r="C2009" s="800" t="s">
        <v>3773</v>
      </c>
      <c r="D2009" s="800" t="s">
        <v>21068</v>
      </c>
      <c r="E2009" s="801">
        <v>43075</v>
      </c>
      <c r="F2009" s="800" t="s">
        <v>21031</v>
      </c>
      <c r="G2009" s="800" t="s">
        <v>21069</v>
      </c>
      <c r="H2009" s="800" t="s">
        <v>10404</v>
      </c>
      <c r="I2009" s="800" t="s">
        <v>10404</v>
      </c>
      <c r="J2009" s="800" t="s">
        <v>10405</v>
      </c>
      <c r="K2009" s="800">
        <v>1</v>
      </c>
      <c r="L2009" s="802" t="s">
        <v>10398</v>
      </c>
      <c r="M2009" s="802" t="s">
        <v>21070</v>
      </c>
      <c r="N2009" s="802" t="s">
        <v>21071</v>
      </c>
      <c r="O2009" s="802" t="s">
        <v>21072</v>
      </c>
      <c r="P2009" s="807" t="s">
        <v>21073</v>
      </c>
    </row>
    <row r="2010" spans="1:16" s="341" customFormat="1" ht="25.5" customHeight="1">
      <c r="A2010" s="806" t="s">
        <v>110</v>
      </c>
      <c r="B2010" s="800" t="s">
        <v>38</v>
      </c>
      <c r="C2010" s="800" t="s">
        <v>3773</v>
      </c>
      <c r="D2010" s="800" t="s">
        <v>21074</v>
      </c>
      <c r="E2010" s="801">
        <v>43075</v>
      </c>
      <c r="F2010" s="800" t="s">
        <v>21031</v>
      </c>
      <c r="G2010" s="800" t="s">
        <v>21075</v>
      </c>
      <c r="H2010" s="800" t="s">
        <v>10404</v>
      </c>
      <c r="I2010" s="800" t="s">
        <v>10404</v>
      </c>
      <c r="J2010" s="800" t="s">
        <v>10405</v>
      </c>
      <c r="K2010" s="800">
        <v>1</v>
      </c>
      <c r="L2010" s="802" t="s">
        <v>10398</v>
      </c>
      <c r="M2010" s="802" t="s">
        <v>21076</v>
      </c>
      <c r="N2010" s="802" t="s">
        <v>21077</v>
      </c>
      <c r="O2010" s="802" t="s">
        <v>21078</v>
      </c>
      <c r="P2010" s="807" t="s">
        <v>21079</v>
      </c>
    </row>
    <row r="2011" spans="1:16" s="341" customFormat="1" ht="25.5" customHeight="1">
      <c r="A2011" s="806" t="s">
        <v>110</v>
      </c>
      <c r="B2011" s="800" t="s">
        <v>38</v>
      </c>
      <c r="C2011" s="800" t="s">
        <v>3773</v>
      </c>
      <c r="D2011" s="800" t="s">
        <v>21080</v>
      </c>
      <c r="E2011" s="801">
        <v>43075</v>
      </c>
      <c r="F2011" s="800" t="s">
        <v>21031</v>
      </c>
      <c r="G2011" s="800" t="s">
        <v>21081</v>
      </c>
      <c r="H2011" s="800" t="s">
        <v>10404</v>
      </c>
      <c r="I2011" s="800" t="s">
        <v>10404</v>
      </c>
      <c r="J2011" s="800" t="s">
        <v>10405</v>
      </c>
      <c r="K2011" s="800">
        <v>1</v>
      </c>
      <c r="L2011" s="802" t="s">
        <v>10398</v>
      </c>
      <c r="M2011" s="802" t="s">
        <v>21082</v>
      </c>
      <c r="N2011" s="802" t="s">
        <v>21083</v>
      </c>
      <c r="O2011" s="802" t="s">
        <v>21084</v>
      </c>
      <c r="P2011" s="807" t="s">
        <v>21085</v>
      </c>
    </row>
    <row r="2012" spans="1:16" s="341" customFormat="1" ht="25.5" customHeight="1">
      <c r="A2012" s="806" t="s">
        <v>110</v>
      </c>
      <c r="B2012" s="800" t="s">
        <v>38</v>
      </c>
      <c r="C2012" s="800" t="s">
        <v>3773</v>
      </c>
      <c r="D2012" s="800" t="s">
        <v>21086</v>
      </c>
      <c r="E2012" s="801">
        <v>43075</v>
      </c>
      <c r="F2012" s="800" t="s">
        <v>21031</v>
      </c>
      <c r="G2012" s="800" t="s">
        <v>21087</v>
      </c>
      <c r="H2012" s="800" t="s">
        <v>10404</v>
      </c>
      <c r="I2012" s="800" t="s">
        <v>10404</v>
      </c>
      <c r="J2012" s="800" t="s">
        <v>10405</v>
      </c>
      <c r="K2012" s="800">
        <v>1</v>
      </c>
      <c r="L2012" s="802" t="s">
        <v>10398</v>
      </c>
      <c r="M2012" s="802" t="s">
        <v>21088</v>
      </c>
      <c r="N2012" s="802" t="s">
        <v>21089</v>
      </c>
      <c r="O2012" s="802" t="s">
        <v>21090</v>
      </c>
      <c r="P2012" s="807" t="s">
        <v>32</v>
      </c>
    </row>
    <row r="2013" spans="1:16" s="341" customFormat="1" ht="25.5" customHeight="1">
      <c r="A2013" s="806" t="s">
        <v>110</v>
      </c>
      <c r="B2013" s="800" t="s">
        <v>38</v>
      </c>
      <c r="C2013" s="800" t="s">
        <v>3773</v>
      </c>
      <c r="D2013" s="800" t="s">
        <v>21091</v>
      </c>
      <c r="E2013" s="801">
        <v>43075</v>
      </c>
      <c r="F2013" s="800" t="s">
        <v>21031</v>
      </c>
      <c r="G2013" s="800" t="s">
        <v>21092</v>
      </c>
      <c r="H2013" s="800" t="s">
        <v>10404</v>
      </c>
      <c r="I2013" s="800" t="s">
        <v>10404</v>
      </c>
      <c r="J2013" s="800" t="s">
        <v>10405</v>
      </c>
      <c r="K2013" s="800">
        <v>1</v>
      </c>
      <c r="L2013" s="802" t="s">
        <v>10398</v>
      </c>
      <c r="M2013" s="802" t="s">
        <v>21093</v>
      </c>
      <c r="N2013" s="802" t="s">
        <v>21094</v>
      </c>
      <c r="O2013" s="802" t="s">
        <v>21095</v>
      </c>
      <c r="P2013" s="807" t="s">
        <v>32</v>
      </c>
    </row>
    <row r="2014" spans="1:16" s="341" customFormat="1" ht="25.5" customHeight="1">
      <c r="A2014" s="806" t="s">
        <v>110</v>
      </c>
      <c r="B2014" s="800" t="s">
        <v>38</v>
      </c>
      <c r="C2014" s="800" t="s">
        <v>3773</v>
      </c>
      <c r="D2014" s="800" t="s">
        <v>21096</v>
      </c>
      <c r="E2014" s="801">
        <v>43075</v>
      </c>
      <c r="F2014" s="800" t="s">
        <v>21024</v>
      </c>
      <c r="G2014" s="800" t="s">
        <v>21097</v>
      </c>
      <c r="H2014" s="800" t="s">
        <v>10404</v>
      </c>
      <c r="I2014" s="800" t="s">
        <v>10404</v>
      </c>
      <c r="J2014" s="800" t="s">
        <v>10405</v>
      </c>
      <c r="K2014" s="800">
        <v>1</v>
      </c>
      <c r="L2014" s="802" t="s">
        <v>10398</v>
      </c>
      <c r="M2014" s="802" t="s">
        <v>21098</v>
      </c>
      <c r="N2014" s="802" t="s">
        <v>11766</v>
      </c>
      <c r="O2014" s="802" t="s">
        <v>21099</v>
      </c>
      <c r="P2014" s="807" t="s">
        <v>21100</v>
      </c>
    </row>
    <row r="2015" spans="1:16" s="341" customFormat="1" ht="25.5" customHeight="1">
      <c r="A2015" s="806" t="s">
        <v>110</v>
      </c>
      <c r="B2015" s="800" t="s">
        <v>38</v>
      </c>
      <c r="C2015" s="800" t="s">
        <v>3773</v>
      </c>
      <c r="D2015" s="800" t="s">
        <v>21101</v>
      </c>
      <c r="E2015" s="801">
        <v>43075</v>
      </c>
      <c r="F2015" s="800" t="s">
        <v>21031</v>
      </c>
      <c r="G2015" s="800" t="s">
        <v>21102</v>
      </c>
      <c r="H2015" s="800" t="s">
        <v>10404</v>
      </c>
      <c r="I2015" s="800" t="s">
        <v>10404</v>
      </c>
      <c r="J2015" s="800" t="s">
        <v>10405</v>
      </c>
      <c r="K2015" s="800">
        <v>1</v>
      </c>
      <c r="L2015" s="802" t="s">
        <v>10398</v>
      </c>
      <c r="M2015" s="802" t="s">
        <v>21103</v>
      </c>
      <c r="N2015" s="802" t="s">
        <v>21104</v>
      </c>
      <c r="O2015" s="802" t="s">
        <v>21105</v>
      </c>
      <c r="P2015" s="807" t="s">
        <v>21100</v>
      </c>
    </row>
    <row r="2016" spans="1:16" s="341" customFormat="1" ht="25.5" customHeight="1">
      <c r="A2016" s="806" t="s">
        <v>110</v>
      </c>
      <c r="B2016" s="800" t="s">
        <v>38</v>
      </c>
      <c r="C2016" s="800" t="s">
        <v>3773</v>
      </c>
      <c r="D2016" s="800" t="s">
        <v>21106</v>
      </c>
      <c r="E2016" s="801">
        <v>43075</v>
      </c>
      <c r="F2016" s="800" t="s">
        <v>21107</v>
      </c>
      <c r="G2016" s="800" t="s">
        <v>21108</v>
      </c>
      <c r="H2016" s="800" t="s">
        <v>10404</v>
      </c>
      <c r="I2016" s="800" t="s">
        <v>10404</v>
      </c>
      <c r="J2016" s="800" t="s">
        <v>10405</v>
      </c>
      <c r="K2016" s="800">
        <v>1</v>
      </c>
      <c r="L2016" s="802" t="s">
        <v>10398</v>
      </c>
      <c r="M2016" s="802" t="s">
        <v>21109</v>
      </c>
      <c r="N2016" s="802" t="s">
        <v>21110</v>
      </c>
      <c r="O2016" s="802" t="s">
        <v>21111</v>
      </c>
      <c r="P2016" s="807" t="s">
        <v>21112</v>
      </c>
    </row>
    <row r="2017" spans="1:16" s="341" customFormat="1" ht="25.5" customHeight="1">
      <c r="A2017" s="806" t="s">
        <v>110</v>
      </c>
      <c r="B2017" s="800" t="s">
        <v>38</v>
      </c>
      <c r="C2017" s="800" t="s">
        <v>3773</v>
      </c>
      <c r="D2017" s="800" t="s">
        <v>21113</v>
      </c>
      <c r="E2017" s="801">
        <v>43045</v>
      </c>
      <c r="F2017" s="800" t="s">
        <v>21114</v>
      </c>
      <c r="G2017" s="800" t="s">
        <v>21115</v>
      </c>
      <c r="H2017" s="800" t="s">
        <v>10404</v>
      </c>
      <c r="I2017" s="800" t="s">
        <v>10404</v>
      </c>
      <c r="J2017" s="800" t="s">
        <v>10405</v>
      </c>
      <c r="K2017" s="800">
        <v>1</v>
      </c>
      <c r="L2017" s="802" t="s">
        <v>10398</v>
      </c>
      <c r="M2017" s="802" t="s">
        <v>21116</v>
      </c>
      <c r="N2017" s="802" t="s">
        <v>21117</v>
      </c>
      <c r="O2017" s="802" t="s">
        <v>21118</v>
      </c>
      <c r="P2017" s="807" t="s">
        <v>21119</v>
      </c>
    </row>
    <row r="2018" spans="1:16" s="341" customFormat="1" ht="25.5" customHeight="1">
      <c r="A2018" s="806" t="s">
        <v>110</v>
      </c>
      <c r="B2018" s="800" t="s">
        <v>38</v>
      </c>
      <c r="C2018" s="800" t="s">
        <v>3773</v>
      </c>
      <c r="D2018" s="800" t="s">
        <v>21120</v>
      </c>
      <c r="E2018" s="801">
        <v>43055</v>
      </c>
      <c r="F2018" s="800" t="s">
        <v>21121</v>
      </c>
      <c r="G2018" s="800" t="s">
        <v>21108</v>
      </c>
      <c r="H2018" s="800" t="s">
        <v>10404</v>
      </c>
      <c r="I2018" s="800" t="s">
        <v>10404</v>
      </c>
      <c r="J2018" s="800" t="s">
        <v>10405</v>
      </c>
      <c r="K2018" s="800">
        <v>1</v>
      </c>
      <c r="L2018" s="802" t="s">
        <v>10398</v>
      </c>
      <c r="M2018" s="802" t="s">
        <v>21122</v>
      </c>
      <c r="N2018" s="802" t="s">
        <v>14529</v>
      </c>
      <c r="O2018" s="802" t="s">
        <v>21123</v>
      </c>
      <c r="P2018" s="807" t="s">
        <v>21124</v>
      </c>
    </row>
    <row r="2019" spans="1:16" s="341" customFormat="1" ht="25.5" customHeight="1">
      <c r="A2019" s="806" t="s">
        <v>110</v>
      </c>
      <c r="B2019" s="800" t="s">
        <v>38</v>
      </c>
      <c r="C2019" s="800" t="s">
        <v>3773</v>
      </c>
      <c r="D2019" s="800" t="s">
        <v>21125</v>
      </c>
      <c r="E2019" s="801">
        <v>43075</v>
      </c>
      <c r="F2019" s="800" t="s">
        <v>21107</v>
      </c>
      <c r="G2019" s="800" t="s">
        <v>21126</v>
      </c>
      <c r="H2019" s="800" t="s">
        <v>10404</v>
      </c>
      <c r="I2019" s="800" t="s">
        <v>10404</v>
      </c>
      <c r="J2019" s="800" t="s">
        <v>10405</v>
      </c>
      <c r="K2019" s="800">
        <v>1</v>
      </c>
      <c r="L2019" s="802" t="s">
        <v>10398</v>
      </c>
      <c r="M2019" s="802" t="s">
        <v>21127</v>
      </c>
      <c r="N2019" s="802" t="s">
        <v>14662</v>
      </c>
      <c r="O2019" s="802" t="s">
        <v>21128</v>
      </c>
      <c r="P2019" s="807" t="s">
        <v>21119</v>
      </c>
    </row>
    <row r="2020" spans="1:16" s="341" customFormat="1" ht="25.5" customHeight="1">
      <c r="A2020" s="806" t="s">
        <v>110</v>
      </c>
      <c r="B2020" s="800" t="s">
        <v>38</v>
      </c>
      <c r="C2020" s="800" t="s">
        <v>3773</v>
      </c>
      <c r="D2020" s="800" t="s">
        <v>21129</v>
      </c>
      <c r="E2020" s="801">
        <v>43075</v>
      </c>
      <c r="F2020" s="800" t="s">
        <v>21121</v>
      </c>
      <c r="G2020" s="800" t="s">
        <v>21130</v>
      </c>
      <c r="H2020" s="800" t="s">
        <v>10404</v>
      </c>
      <c r="I2020" s="800" t="s">
        <v>10404</v>
      </c>
      <c r="J2020" s="800" t="s">
        <v>4342</v>
      </c>
      <c r="K2020" s="800">
        <v>1</v>
      </c>
      <c r="L2020" s="802" t="s">
        <v>10398</v>
      </c>
      <c r="M2020" s="802" t="s">
        <v>21131</v>
      </c>
      <c r="N2020" s="802" t="s">
        <v>21132</v>
      </c>
      <c r="O2020" s="802" t="s">
        <v>21133</v>
      </c>
      <c r="P2020" s="807" t="s">
        <v>21134</v>
      </c>
    </row>
    <row r="2021" spans="1:16" s="341" customFormat="1" ht="25.5" customHeight="1">
      <c r="A2021" s="806" t="s">
        <v>110</v>
      </c>
      <c r="B2021" s="800" t="s">
        <v>38</v>
      </c>
      <c r="C2021" s="800" t="s">
        <v>3773</v>
      </c>
      <c r="D2021" s="800" t="s">
        <v>21135</v>
      </c>
      <c r="E2021" s="801">
        <v>43075</v>
      </c>
      <c r="F2021" s="800" t="s">
        <v>21121</v>
      </c>
      <c r="G2021" s="800" t="s">
        <v>21136</v>
      </c>
      <c r="H2021" s="800" t="s">
        <v>10404</v>
      </c>
      <c r="I2021" s="800" t="s">
        <v>10404</v>
      </c>
      <c r="J2021" s="800" t="s">
        <v>4342</v>
      </c>
      <c r="K2021" s="800">
        <v>1</v>
      </c>
      <c r="L2021" s="802" t="s">
        <v>10398</v>
      </c>
      <c r="M2021" s="802" t="s">
        <v>21137</v>
      </c>
      <c r="N2021" s="802" t="s">
        <v>17434</v>
      </c>
      <c r="O2021" s="802" t="s">
        <v>21138</v>
      </c>
      <c r="P2021" s="807" t="s">
        <v>21139</v>
      </c>
    </row>
    <row r="2022" spans="1:16" s="341" customFormat="1" ht="25.5" customHeight="1">
      <c r="A2022" s="806" t="s">
        <v>110</v>
      </c>
      <c r="B2022" s="800" t="s">
        <v>38</v>
      </c>
      <c r="C2022" s="800" t="s">
        <v>3773</v>
      </c>
      <c r="D2022" s="800" t="s">
        <v>21140</v>
      </c>
      <c r="E2022" s="801">
        <v>43075</v>
      </c>
      <c r="F2022" s="800" t="s">
        <v>21121</v>
      </c>
      <c r="G2022" s="800" t="s">
        <v>21141</v>
      </c>
      <c r="H2022" s="800" t="s">
        <v>10404</v>
      </c>
      <c r="I2022" s="800" t="s">
        <v>10404</v>
      </c>
      <c r="J2022" s="800" t="s">
        <v>4342</v>
      </c>
      <c r="K2022" s="800">
        <v>1</v>
      </c>
      <c r="L2022" s="802" t="s">
        <v>10398</v>
      </c>
      <c r="M2022" s="802" t="s">
        <v>21142</v>
      </c>
      <c r="N2022" s="802" t="s">
        <v>21143</v>
      </c>
      <c r="O2022" s="802" t="s">
        <v>21144</v>
      </c>
      <c r="P2022" s="807" t="s">
        <v>21145</v>
      </c>
    </row>
    <row r="2023" spans="1:16" s="341" customFormat="1" ht="25.5" customHeight="1">
      <c r="A2023" s="806" t="s">
        <v>110</v>
      </c>
      <c r="B2023" s="800" t="s">
        <v>38</v>
      </c>
      <c r="C2023" s="800" t="s">
        <v>3773</v>
      </c>
      <c r="D2023" s="800" t="s">
        <v>21146</v>
      </c>
      <c r="E2023" s="801">
        <v>43075</v>
      </c>
      <c r="F2023" s="800" t="s">
        <v>21147</v>
      </c>
      <c r="G2023" s="800" t="s">
        <v>21148</v>
      </c>
      <c r="H2023" s="800" t="s">
        <v>10404</v>
      </c>
      <c r="I2023" s="800" t="s">
        <v>10404</v>
      </c>
      <c r="J2023" s="800" t="s">
        <v>4342</v>
      </c>
      <c r="K2023" s="800">
        <v>1</v>
      </c>
      <c r="L2023" s="802" t="s">
        <v>10398</v>
      </c>
      <c r="M2023" s="802" t="s">
        <v>32</v>
      </c>
      <c r="N2023" s="802" t="s">
        <v>10808</v>
      </c>
      <c r="O2023" s="802" t="s">
        <v>21133</v>
      </c>
      <c r="P2023" s="807" t="s">
        <v>21134</v>
      </c>
    </row>
    <row r="2024" spans="1:16" s="341" customFormat="1" ht="25.5" customHeight="1">
      <c r="A2024" s="806" t="s">
        <v>110</v>
      </c>
      <c r="B2024" s="800" t="s">
        <v>38</v>
      </c>
      <c r="C2024" s="800" t="s">
        <v>3773</v>
      </c>
      <c r="D2024" s="800" t="s">
        <v>21149</v>
      </c>
      <c r="E2024" s="801">
        <v>43075</v>
      </c>
      <c r="F2024" s="800" t="s">
        <v>21121</v>
      </c>
      <c r="G2024" s="800" t="s">
        <v>21150</v>
      </c>
      <c r="H2024" s="800" t="s">
        <v>10404</v>
      </c>
      <c r="I2024" s="800" t="s">
        <v>10404</v>
      </c>
      <c r="J2024" s="800" t="s">
        <v>4342</v>
      </c>
      <c r="K2024" s="800">
        <v>1</v>
      </c>
      <c r="L2024" s="802" t="s">
        <v>10398</v>
      </c>
      <c r="M2024" s="802" t="s">
        <v>21151</v>
      </c>
      <c r="N2024" s="802" t="s">
        <v>15670</v>
      </c>
      <c r="O2024" s="802" t="s">
        <v>21152</v>
      </c>
      <c r="P2024" s="807" t="s">
        <v>21153</v>
      </c>
    </row>
    <row r="2025" spans="1:16" s="341" customFormat="1" ht="25.5" customHeight="1">
      <c r="A2025" s="806" t="s">
        <v>110</v>
      </c>
      <c r="B2025" s="800" t="s">
        <v>38</v>
      </c>
      <c r="C2025" s="800" t="s">
        <v>3773</v>
      </c>
      <c r="D2025" s="800" t="s">
        <v>21154</v>
      </c>
      <c r="E2025" s="801">
        <v>43075</v>
      </c>
      <c r="F2025" s="800" t="s">
        <v>21121</v>
      </c>
      <c r="G2025" s="800" t="s">
        <v>21155</v>
      </c>
      <c r="H2025" s="800" t="s">
        <v>10404</v>
      </c>
      <c r="I2025" s="800" t="s">
        <v>10404</v>
      </c>
      <c r="J2025" s="800" t="s">
        <v>4342</v>
      </c>
      <c r="K2025" s="800">
        <v>1</v>
      </c>
      <c r="L2025" s="802" t="s">
        <v>10398</v>
      </c>
      <c r="M2025" s="802" t="s">
        <v>21156</v>
      </c>
      <c r="N2025" s="802" t="s">
        <v>21157</v>
      </c>
      <c r="O2025" s="802" t="s">
        <v>21158</v>
      </c>
      <c r="P2025" s="807" t="s">
        <v>21159</v>
      </c>
    </row>
    <row r="2026" spans="1:16" s="341" customFormat="1" ht="25.5" customHeight="1">
      <c r="A2026" s="806" t="s">
        <v>110</v>
      </c>
      <c r="B2026" s="800" t="s">
        <v>38</v>
      </c>
      <c r="C2026" s="800" t="s">
        <v>3773</v>
      </c>
      <c r="D2026" s="800" t="s">
        <v>21160</v>
      </c>
      <c r="E2026" s="801">
        <v>43075</v>
      </c>
      <c r="F2026" s="800" t="s">
        <v>21121</v>
      </c>
      <c r="G2026" s="800" t="s">
        <v>21161</v>
      </c>
      <c r="H2026" s="800" t="s">
        <v>10404</v>
      </c>
      <c r="I2026" s="800" t="s">
        <v>10404</v>
      </c>
      <c r="J2026" s="800" t="s">
        <v>4342</v>
      </c>
      <c r="K2026" s="800">
        <v>1</v>
      </c>
      <c r="L2026" s="802" t="s">
        <v>11026</v>
      </c>
      <c r="M2026" s="802" t="s">
        <v>21162</v>
      </c>
      <c r="N2026" s="802" t="s">
        <v>21163</v>
      </c>
      <c r="O2026" s="802" t="s">
        <v>21164</v>
      </c>
      <c r="P2026" s="807" t="s">
        <v>21165</v>
      </c>
    </row>
    <row r="2027" spans="1:16" s="341" customFormat="1" ht="25.5" customHeight="1">
      <c r="A2027" s="806" t="s">
        <v>110</v>
      </c>
      <c r="B2027" s="800" t="s">
        <v>38</v>
      </c>
      <c r="C2027" s="800" t="s">
        <v>7738</v>
      </c>
      <c r="D2027" s="800" t="s">
        <v>21166</v>
      </c>
      <c r="E2027" s="801">
        <v>43042</v>
      </c>
      <c r="F2027" s="800" t="s">
        <v>21167</v>
      </c>
      <c r="G2027" s="800" t="s">
        <v>21168</v>
      </c>
      <c r="H2027" s="800" t="s">
        <v>10531</v>
      </c>
      <c r="I2027" s="800" t="s">
        <v>10531</v>
      </c>
      <c r="J2027" s="800" t="s">
        <v>10397</v>
      </c>
      <c r="K2027" s="800">
        <v>1</v>
      </c>
      <c r="L2027" s="802" t="s">
        <v>10398</v>
      </c>
      <c r="M2027" s="802" t="s">
        <v>21169</v>
      </c>
      <c r="N2027" s="802" t="s">
        <v>21170</v>
      </c>
      <c r="O2027" s="802" t="s">
        <v>21171</v>
      </c>
      <c r="P2027" s="807" t="s">
        <v>21172</v>
      </c>
    </row>
    <row r="2028" spans="1:16" s="341" customFormat="1" ht="25.5" customHeight="1">
      <c r="A2028" s="806" t="s">
        <v>110</v>
      </c>
      <c r="B2028" s="800" t="s">
        <v>38</v>
      </c>
      <c r="C2028" s="800" t="s">
        <v>7738</v>
      </c>
      <c r="D2028" s="800" t="s">
        <v>21173</v>
      </c>
      <c r="E2028" s="801">
        <v>43061</v>
      </c>
      <c r="F2028" s="800" t="s">
        <v>21174</v>
      </c>
      <c r="G2028" s="800" t="s">
        <v>21175</v>
      </c>
      <c r="H2028" s="800" t="s">
        <v>10433</v>
      </c>
      <c r="I2028" s="800" t="s">
        <v>10433</v>
      </c>
      <c r="J2028" s="800" t="s">
        <v>4342</v>
      </c>
      <c r="K2028" s="800">
        <v>2</v>
      </c>
      <c r="L2028" s="802" t="s">
        <v>10398</v>
      </c>
      <c r="M2028" s="802" t="s">
        <v>21176</v>
      </c>
      <c r="N2028" s="802" t="s">
        <v>15411</v>
      </c>
      <c r="O2028" s="802" t="s">
        <v>21177</v>
      </c>
      <c r="P2028" s="807" t="s">
        <v>21178</v>
      </c>
    </row>
    <row r="2029" spans="1:16" s="341" customFormat="1" ht="25.5" customHeight="1">
      <c r="A2029" s="806" t="s">
        <v>110</v>
      </c>
      <c r="B2029" s="800" t="s">
        <v>38</v>
      </c>
      <c r="C2029" s="800" t="s">
        <v>7738</v>
      </c>
      <c r="D2029" s="800" t="s">
        <v>21173</v>
      </c>
      <c r="E2029" s="801">
        <v>43061</v>
      </c>
      <c r="F2029" s="800" t="s">
        <v>21174</v>
      </c>
      <c r="G2029" s="800" t="s">
        <v>21175</v>
      </c>
      <c r="H2029" s="800" t="s">
        <v>10433</v>
      </c>
      <c r="I2029" s="800" t="s">
        <v>10433</v>
      </c>
      <c r="J2029" s="800" t="s">
        <v>4342</v>
      </c>
      <c r="K2029" s="800">
        <v>2</v>
      </c>
      <c r="L2029" s="802" t="s">
        <v>10398</v>
      </c>
      <c r="M2029" s="802" t="s">
        <v>21179</v>
      </c>
      <c r="N2029" s="802" t="s">
        <v>11841</v>
      </c>
      <c r="O2029" s="802" t="s">
        <v>21180</v>
      </c>
      <c r="P2029" s="807" t="s">
        <v>21178</v>
      </c>
    </row>
    <row r="2030" spans="1:16" s="341" customFormat="1" ht="25.5" customHeight="1">
      <c r="A2030" s="806" t="s">
        <v>110</v>
      </c>
      <c r="B2030" s="800" t="s">
        <v>38</v>
      </c>
      <c r="C2030" s="800" t="s">
        <v>7738</v>
      </c>
      <c r="D2030" s="800" t="s">
        <v>21181</v>
      </c>
      <c r="E2030" s="801">
        <v>43038</v>
      </c>
      <c r="F2030" s="800" t="s">
        <v>21182</v>
      </c>
      <c r="G2030" s="800" t="s">
        <v>21183</v>
      </c>
      <c r="H2030" s="800" t="s">
        <v>10404</v>
      </c>
      <c r="I2030" s="800" t="s">
        <v>10404</v>
      </c>
      <c r="J2030" s="800" t="s">
        <v>10405</v>
      </c>
      <c r="K2030" s="800">
        <v>1</v>
      </c>
      <c r="L2030" s="802" t="s">
        <v>10398</v>
      </c>
      <c r="M2030" s="802" t="s">
        <v>21184</v>
      </c>
      <c r="N2030" s="802" t="s">
        <v>21185</v>
      </c>
      <c r="O2030" s="802" t="s">
        <v>21186</v>
      </c>
      <c r="P2030" s="807" t="s">
        <v>21187</v>
      </c>
    </row>
    <row r="2031" spans="1:16" s="341" customFormat="1" ht="25.5" customHeight="1">
      <c r="A2031" s="806" t="s">
        <v>110</v>
      </c>
      <c r="B2031" s="800" t="s">
        <v>38</v>
      </c>
      <c r="C2031" s="800" t="s">
        <v>7738</v>
      </c>
      <c r="D2031" s="800" t="s">
        <v>21188</v>
      </c>
      <c r="E2031" s="801">
        <v>43038</v>
      </c>
      <c r="F2031" s="800" t="s">
        <v>21182</v>
      </c>
      <c r="G2031" s="800" t="s">
        <v>21189</v>
      </c>
      <c r="H2031" s="800" t="s">
        <v>10396</v>
      </c>
      <c r="I2031" s="800" t="s">
        <v>10396</v>
      </c>
      <c r="J2031" s="800" t="s">
        <v>10397</v>
      </c>
      <c r="K2031" s="800">
        <v>1</v>
      </c>
      <c r="L2031" s="802" t="s">
        <v>10398</v>
      </c>
      <c r="M2031" s="802" t="s">
        <v>21190</v>
      </c>
      <c r="N2031" s="802" t="s">
        <v>21191</v>
      </c>
      <c r="O2031" s="802" t="s">
        <v>21192</v>
      </c>
      <c r="P2031" s="807" t="s">
        <v>32</v>
      </c>
    </row>
    <row r="2032" spans="1:16" s="341" customFormat="1" ht="25.5" customHeight="1">
      <c r="A2032" s="806" t="s">
        <v>110</v>
      </c>
      <c r="B2032" s="800" t="s">
        <v>38</v>
      </c>
      <c r="C2032" s="800" t="s">
        <v>7738</v>
      </c>
      <c r="D2032" s="800" t="s">
        <v>21193</v>
      </c>
      <c r="E2032" s="801">
        <v>43038</v>
      </c>
      <c r="F2032" s="800" t="s">
        <v>21182</v>
      </c>
      <c r="G2032" s="800" t="s">
        <v>21194</v>
      </c>
      <c r="H2032" s="800" t="s">
        <v>10396</v>
      </c>
      <c r="I2032" s="800" t="s">
        <v>10396</v>
      </c>
      <c r="J2032" s="800" t="s">
        <v>10397</v>
      </c>
      <c r="K2032" s="800">
        <v>1</v>
      </c>
      <c r="L2032" s="802" t="s">
        <v>10398</v>
      </c>
      <c r="M2032" s="802" t="s">
        <v>32</v>
      </c>
      <c r="N2032" s="802" t="s">
        <v>21195</v>
      </c>
      <c r="O2032" s="802" t="s">
        <v>21196</v>
      </c>
      <c r="P2032" s="807" t="s">
        <v>32</v>
      </c>
    </row>
    <row r="2033" spans="1:16" s="341" customFormat="1" ht="25.5" customHeight="1">
      <c r="A2033" s="806" t="s">
        <v>110</v>
      </c>
      <c r="B2033" s="800" t="s">
        <v>38</v>
      </c>
      <c r="C2033" s="800" t="s">
        <v>7738</v>
      </c>
      <c r="D2033" s="800" t="s">
        <v>21197</v>
      </c>
      <c r="E2033" s="801">
        <v>43038</v>
      </c>
      <c r="F2033" s="800" t="s">
        <v>21182</v>
      </c>
      <c r="G2033" s="800" t="s">
        <v>21198</v>
      </c>
      <c r="H2033" s="800" t="s">
        <v>10433</v>
      </c>
      <c r="I2033" s="800" t="s">
        <v>10433</v>
      </c>
      <c r="J2033" s="800" t="s">
        <v>10447</v>
      </c>
      <c r="K2033" s="800">
        <v>1</v>
      </c>
      <c r="L2033" s="802" t="s">
        <v>10398</v>
      </c>
      <c r="M2033" s="802" t="s">
        <v>21199</v>
      </c>
      <c r="N2033" s="802" t="s">
        <v>13256</v>
      </c>
      <c r="O2033" s="802" t="s">
        <v>21200</v>
      </c>
      <c r="P2033" s="807" t="s">
        <v>21201</v>
      </c>
    </row>
    <row r="2034" spans="1:16" s="341" customFormat="1" ht="25.5" customHeight="1">
      <c r="A2034" s="806" t="s">
        <v>110</v>
      </c>
      <c r="B2034" s="800" t="s">
        <v>38</v>
      </c>
      <c r="C2034" s="800" t="s">
        <v>7738</v>
      </c>
      <c r="D2034" s="800" t="s">
        <v>21202</v>
      </c>
      <c r="E2034" s="801">
        <v>43038</v>
      </c>
      <c r="F2034" s="800" t="s">
        <v>21182</v>
      </c>
      <c r="G2034" s="800" t="s">
        <v>21194</v>
      </c>
      <c r="H2034" s="800" t="s">
        <v>10433</v>
      </c>
      <c r="I2034" s="800" t="s">
        <v>10433</v>
      </c>
      <c r="J2034" s="800" t="s">
        <v>10447</v>
      </c>
      <c r="K2034" s="800">
        <v>1</v>
      </c>
      <c r="L2034" s="802" t="s">
        <v>10398</v>
      </c>
      <c r="M2034" s="802" t="s">
        <v>21203</v>
      </c>
      <c r="N2034" s="802" t="s">
        <v>21204</v>
      </c>
      <c r="O2034" s="802" t="s">
        <v>21205</v>
      </c>
      <c r="P2034" s="807" t="s">
        <v>21206</v>
      </c>
    </row>
    <row r="2035" spans="1:16" s="341" customFormat="1" ht="25.5" customHeight="1">
      <c r="A2035" s="806" t="s">
        <v>110</v>
      </c>
      <c r="B2035" s="800" t="s">
        <v>38</v>
      </c>
      <c r="C2035" s="800" t="s">
        <v>7738</v>
      </c>
      <c r="D2035" s="800" t="s">
        <v>21207</v>
      </c>
      <c r="E2035" s="801">
        <v>43038</v>
      </c>
      <c r="F2035" s="800" t="s">
        <v>21208</v>
      </c>
      <c r="G2035" s="800" t="s">
        <v>21209</v>
      </c>
      <c r="H2035" s="800" t="s">
        <v>10531</v>
      </c>
      <c r="I2035" s="800" t="s">
        <v>10531</v>
      </c>
      <c r="J2035" s="800" t="s">
        <v>10447</v>
      </c>
      <c r="K2035" s="800">
        <v>1</v>
      </c>
      <c r="L2035" s="802" t="s">
        <v>10398</v>
      </c>
      <c r="M2035" s="802" t="s">
        <v>21210</v>
      </c>
      <c r="N2035" s="802" t="s">
        <v>21211</v>
      </c>
      <c r="O2035" s="802" t="s">
        <v>21212</v>
      </c>
      <c r="P2035" s="807" t="s">
        <v>32</v>
      </c>
    </row>
    <row r="2036" spans="1:16" s="341" customFormat="1" ht="25.5" customHeight="1">
      <c r="A2036" s="806" t="s">
        <v>110</v>
      </c>
      <c r="B2036" s="800" t="s">
        <v>38</v>
      </c>
      <c r="C2036" s="800" t="s">
        <v>7738</v>
      </c>
      <c r="D2036" s="800" t="s">
        <v>21213</v>
      </c>
      <c r="E2036" s="801">
        <v>43039</v>
      </c>
      <c r="F2036" s="800" t="s">
        <v>21214</v>
      </c>
      <c r="G2036" s="800" t="s">
        <v>21215</v>
      </c>
      <c r="H2036" s="800" t="s">
        <v>10531</v>
      </c>
      <c r="I2036" s="800" t="s">
        <v>10531</v>
      </c>
      <c r="J2036" s="800" t="s">
        <v>4342</v>
      </c>
      <c r="K2036" s="800">
        <v>1</v>
      </c>
      <c r="L2036" s="802" t="s">
        <v>10398</v>
      </c>
      <c r="M2036" s="802" t="s">
        <v>21216</v>
      </c>
      <c r="N2036" s="802" t="s">
        <v>21217</v>
      </c>
      <c r="O2036" s="802" t="s">
        <v>21218</v>
      </c>
      <c r="P2036" s="807" t="s">
        <v>21219</v>
      </c>
    </row>
    <row r="2037" spans="1:16" s="341" customFormat="1" ht="25.5" customHeight="1">
      <c r="A2037" s="806" t="s">
        <v>110</v>
      </c>
      <c r="B2037" s="800" t="s">
        <v>38</v>
      </c>
      <c r="C2037" s="800" t="s">
        <v>7738</v>
      </c>
      <c r="D2037" s="800" t="s">
        <v>21220</v>
      </c>
      <c r="E2037" s="801">
        <v>43039</v>
      </c>
      <c r="F2037" s="800" t="s">
        <v>15077</v>
      </c>
      <c r="G2037" s="800" t="s">
        <v>21221</v>
      </c>
      <c r="H2037" s="800" t="s">
        <v>10404</v>
      </c>
      <c r="I2037" s="800" t="s">
        <v>10404</v>
      </c>
      <c r="J2037" s="800" t="s">
        <v>10405</v>
      </c>
      <c r="K2037" s="800">
        <v>1</v>
      </c>
      <c r="L2037" s="802" t="s">
        <v>10398</v>
      </c>
      <c r="M2037" s="802" t="s">
        <v>21222</v>
      </c>
      <c r="N2037" s="802" t="s">
        <v>21223</v>
      </c>
      <c r="O2037" s="802" t="s">
        <v>21224</v>
      </c>
      <c r="P2037" s="807" t="s">
        <v>21225</v>
      </c>
    </row>
    <row r="2038" spans="1:16" s="341" customFormat="1" ht="25.5" customHeight="1">
      <c r="A2038" s="806" t="s">
        <v>110</v>
      </c>
      <c r="B2038" s="800" t="s">
        <v>38</v>
      </c>
      <c r="C2038" s="800" t="s">
        <v>7738</v>
      </c>
      <c r="D2038" s="800" t="s">
        <v>21226</v>
      </c>
      <c r="E2038" s="801">
        <v>43039</v>
      </c>
      <c r="F2038" s="800" t="s">
        <v>21214</v>
      </c>
      <c r="G2038" s="800" t="s">
        <v>21227</v>
      </c>
      <c r="H2038" s="800" t="s">
        <v>10531</v>
      </c>
      <c r="I2038" s="800" t="s">
        <v>10531</v>
      </c>
      <c r="J2038" s="800" t="s">
        <v>10397</v>
      </c>
      <c r="K2038" s="800">
        <v>1</v>
      </c>
      <c r="L2038" s="802" t="s">
        <v>10398</v>
      </c>
      <c r="M2038" s="802" t="s">
        <v>21228</v>
      </c>
      <c r="N2038" s="802" t="s">
        <v>21229</v>
      </c>
      <c r="O2038" s="802" t="s">
        <v>21230</v>
      </c>
      <c r="P2038" s="807" t="s">
        <v>21231</v>
      </c>
    </row>
    <row r="2039" spans="1:16" s="341" customFormat="1" ht="25.5" customHeight="1">
      <c r="A2039" s="806" t="s">
        <v>110</v>
      </c>
      <c r="B2039" s="800" t="s">
        <v>38</v>
      </c>
      <c r="C2039" s="800" t="s">
        <v>7738</v>
      </c>
      <c r="D2039" s="800" t="s">
        <v>21232</v>
      </c>
      <c r="E2039" s="801">
        <v>43039</v>
      </c>
      <c r="F2039" s="800" t="s">
        <v>21214</v>
      </c>
      <c r="G2039" s="800" t="s">
        <v>15077</v>
      </c>
      <c r="H2039" s="800" t="s">
        <v>10404</v>
      </c>
      <c r="I2039" s="800" t="s">
        <v>10404</v>
      </c>
      <c r="J2039" s="800" t="s">
        <v>10405</v>
      </c>
      <c r="K2039" s="800">
        <v>1</v>
      </c>
      <c r="L2039" s="802" t="s">
        <v>10398</v>
      </c>
      <c r="M2039" s="802" t="s">
        <v>21233</v>
      </c>
      <c r="N2039" s="802" t="s">
        <v>21234</v>
      </c>
      <c r="O2039" s="802" t="s">
        <v>21235</v>
      </c>
      <c r="P2039" s="807" t="s">
        <v>21236</v>
      </c>
    </row>
    <row r="2040" spans="1:16" s="341" customFormat="1" ht="25.5" customHeight="1">
      <c r="A2040" s="806" t="s">
        <v>110</v>
      </c>
      <c r="B2040" s="800" t="s">
        <v>38</v>
      </c>
      <c r="C2040" s="800" t="s">
        <v>7738</v>
      </c>
      <c r="D2040" s="800" t="s">
        <v>21237</v>
      </c>
      <c r="E2040" s="801">
        <v>43039</v>
      </c>
      <c r="F2040" s="800" t="s">
        <v>21214</v>
      </c>
      <c r="G2040" s="800" t="s">
        <v>21238</v>
      </c>
      <c r="H2040" s="800" t="s">
        <v>10404</v>
      </c>
      <c r="I2040" s="800" t="s">
        <v>10404</v>
      </c>
      <c r="J2040" s="800" t="s">
        <v>10405</v>
      </c>
      <c r="K2040" s="800">
        <v>1</v>
      </c>
      <c r="L2040" s="802" t="s">
        <v>10398</v>
      </c>
      <c r="M2040" s="802" t="s">
        <v>21239</v>
      </c>
      <c r="N2040" s="802" t="s">
        <v>21240</v>
      </c>
      <c r="O2040" s="802" t="s">
        <v>21241</v>
      </c>
      <c r="P2040" s="807" t="s">
        <v>21242</v>
      </c>
    </row>
    <row r="2041" spans="1:16" s="341" customFormat="1" ht="25.5" customHeight="1">
      <c r="A2041" s="806" t="s">
        <v>110</v>
      </c>
      <c r="B2041" s="800" t="s">
        <v>38</v>
      </c>
      <c r="C2041" s="800" t="s">
        <v>7738</v>
      </c>
      <c r="D2041" s="800" t="s">
        <v>21243</v>
      </c>
      <c r="E2041" s="801">
        <v>43039</v>
      </c>
      <c r="F2041" s="800" t="s">
        <v>21214</v>
      </c>
      <c r="G2041" s="800" t="s">
        <v>21244</v>
      </c>
      <c r="H2041" s="800" t="s">
        <v>10404</v>
      </c>
      <c r="I2041" s="800" t="s">
        <v>10404</v>
      </c>
      <c r="J2041" s="800" t="s">
        <v>10405</v>
      </c>
      <c r="K2041" s="800">
        <v>1</v>
      </c>
      <c r="L2041" s="802" t="s">
        <v>10398</v>
      </c>
      <c r="M2041" s="802" t="s">
        <v>21245</v>
      </c>
      <c r="N2041" s="802" t="s">
        <v>21246</v>
      </c>
      <c r="O2041" s="802" t="s">
        <v>21247</v>
      </c>
      <c r="P2041" s="807" t="s">
        <v>21248</v>
      </c>
    </row>
    <row r="2042" spans="1:16" s="341" customFormat="1" ht="25.5" customHeight="1">
      <c r="A2042" s="806" t="s">
        <v>110</v>
      </c>
      <c r="B2042" s="800" t="s">
        <v>38</v>
      </c>
      <c r="C2042" s="800" t="s">
        <v>7738</v>
      </c>
      <c r="D2042" s="800" t="s">
        <v>21249</v>
      </c>
      <c r="E2042" s="801">
        <v>43039</v>
      </c>
      <c r="F2042" s="800" t="s">
        <v>21250</v>
      </c>
      <c r="G2042" s="800" t="s">
        <v>21251</v>
      </c>
      <c r="H2042" s="800" t="s">
        <v>10433</v>
      </c>
      <c r="I2042" s="800" t="s">
        <v>10433</v>
      </c>
      <c r="J2042" s="800" t="s">
        <v>4342</v>
      </c>
      <c r="K2042" s="800">
        <v>1</v>
      </c>
      <c r="L2042" s="802" t="s">
        <v>10398</v>
      </c>
      <c r="M2042" s="802" t="s">
        <v>21252</v>
      </c>
      <c r="N2042" s="802" t="s">
        <v>21253</v>
      </c>
      <c r="O2042" s="802" t="s">
        <v>21254</v>
      </c>
      <c r="P2042" s="807" t="s">
        <v>32</v>
      </c>
    </row>
    <row r="2043" spans="1:16" s="341" customFormat="1" ht="25.5" customHeight="1">
      <c r="A2043" s="806" t="s">
        <v>110</v>
      </c>
      <c r="B2043" s="800" t="s">
        <v>38</v>
      </c>
      <c r="C2043" s="800" t="s">
        <v>7738</v>
      </c>
      <c r="D2043" s="800" t="s">
        <v>21255</v>
      </c>
      <c r="E2043" s="801">
        <v>43039</v>
      </c>
      <c r="F2043" s="800" t="s">
        <v>21214</v>
      </c>
      <c r="G2043" s="800" t="s">
        <v>21256</v>
      </c>
      <c r="H2043" s="800" t="s">
        <v>10404</v>
      </c>
      <c r="I2043" s="800" t="s">
        <v>10404</v>
      </c>
      <c r="J2043" s="800" t="s">
        <v>10405</v>
      </c>
      <c r="K2043" s="800">
        <v>1</v>
      </c>
      <c r="L2043" s="802" t="s">
        <v>10398</v>
      </c>
      <c r="M2043" s="802" t="s">
        <v>21257</v>
      </c>
      <c r="N2043" s="802" t="s">
        <v>14602</v>
      </c>
      <c r="O2043" s="802" t="s">
        <v>21258</v>
      </c>
      <c r="P2043" s="807" t="s">
        <v>21259</v>
      </c>
    </row>
    <row r="2044" spans="1:16" s="341" customFormat="1" ht="25.5" customHeight="1">
      <c r="A2044" s="806" t="s">
        <v>110</v>
      </c>
      <c r="B2044" s="800" t="s">
        <v>38</v>
      </c>
      <c r="C2044" s="800" t="s">
        <v>7738</v>
      </c>
      <c r="D2044" s="800" t="s">
        <v>21260</v>
      </c>
      <c r="E2044" s="801">
        <v>43039</v>
      </c>
      <c r="F2044" s="800" t="s">
        <v>21261</v>
      </c>
      <c r="G2044" s="800" t="s">
        <v>21262</v>
      </c>
      <c r="H2044" s="800" t="s">
        <v>10396</v>
      </c>
      <c r="I2044" s="800" t="s">
        <v>10396</v>
      </c>
      <c r="J2044" s="800" t="s">
        <v>10397</v>
      </c>
      <c r="K2044" s="800">
        <v>1</v>
      </c>
      <c r="L2044" s="802" t="s">
        <v>10398</v>
      </c>
      <c r="M2044" s="802" t="s">
        <v>21263</v>
      </c>
      <c r="N2044" s="802" t="s">
        <v>21264</v>
      </c>
      <c r="O2044" s="802" t="s">
        <v>21265</v>
      </c>
      <c r="P2044" s="807" t="s">
        <v>21266</v>
      </c>
    </row>
    <row r="2045" spans="1:16" s="341" customFormat="1" ht="25.5" customHeight="1">
      <c r="A2045" s="806" t="s">
        <v>110</v>
      </c>
      <c r="B2045" s="800" t="s">
        <v>38</v>
      </c>
      <c r="C2045" s="800" t="s">
        <v>7738</v>
      </c>
      <c r="D2045" s="800" t="s">
        <v>21267</v>
      </c>
      <c r="E2045" s="801">
        <v>43038</v>
      </c>
      <c r="F2045" s="800" t="s">
        <v>21214</v>
      </c>
      <c r="G2045" s="800" t="s">
        <v>21268</v>
      </c>
      <c r="H2045" s="800" t="s">
        <v>10404</v>
      </c>
      <c r="I2045" s="800" t="s">
        <v>10404</v>
      </c>
      <c r="J2045" s="800" t="s">
        <v>10405</v>
      </c>
      <c r="K2045" s="800">
        <v>1</v>
      </c>
      <c r="L2045" s="802" t="s">
        <v>10398</v>
      </c>
      <c r="M2045" s="802" t="s">
        <v>21269</v>
      </c>
      <c r="N2045" s="802" t="s">
        <v>21270</v>
      </c>
      <c r="O2045" s="802" t="s">
        <v>21271</v>
      </c>
      <c r="P2045" s="807" t="s">
        <v>21272</v>
      </c>
    </row>
    <row r="2046" spans="1:16" s="341" customFormat="1" ht="25.5" customHeight="1">
      <c r="A2046" s="806" t="s">
        <v>110</v>
      </c>
      <c r="B2046" s="800" t="s">
        <v>38</v>
      </c>
      <c r="C2046" s="800" t="s">
        <v>7738</v>
      </c>
      <c r="D2046" s="800" t="s">
        <v>21273</v>
      </c>
      <c r="E2046" s="801">
        <v>43038</v>
      </c>
      <c r="F2046" s="800" t="s">
        <v>21214</v>
      </c>
      <c r="G2046" s="800" t="s">
        <v>21274</v>
      </c>
      <c r="H2046" s="800" t="s">
        <v>10404</v>
      </c>
      <c r="I2046" s="800" t="s">
        <v>10404</v>
      </c>
      <c r="J2046" s="800" t="s">
        <v>10405</v>
      </c>
      <c r="K2046" s="800">
        <v>1</v>
      </c>
      <c r="L2046" s="802" t="s">
        <v>10398</v>
      </c>
      <c r="M2046" s="802" t="s">
        <v>21275</v>
      </c>
      <c r="N2046" s="802" t="s">
        <v>21276</v>
      </c>
      <c r="O2046" s="802" t="s">
        <v>21277</v>
      </c>
      <c r="P2046" s="807" t="s">
        <v>21278</v>
      </c>
    </row>
    <row r="2047" spans="1:16" s="341" customFormat="1" ht="25.5" customHeight="1">
      <c r="A2047" s="806" t="s">
        <v>110</v>
      </c>
      <c r="B2047" s="800" t="s">
        <v>38</v>
      </c>
      <c r="C2047" s="800" t="s">
        <v>7738</v>
      </c>
      <c r="D2047" s="800" t="s">
        <v>21279</v>
      </c>
      <c r="E2047" s="801">
        <v>43038</v>
      </c>
      <c r="F2047" s="800" t="s">
        <v>21280</v>
      </c>
      <c r="G2047" s="800" t="s">
        <v>21281</v>
      </c>
      <c r="H2047" s="800" t="s">
        <v>10404</v>
      </c>
      <c r="I2047" s="800" t="s">
        <v>10404</v>
      </c>
      <c r="J2047" s="800" t="s">
        <v>10405</v>
      </c>
      <c r="K2047" s="800">
        <v>1</v>
      </c>
      <c r="L2047" s="802" t="s">
        <v>10398</v>
      </c>
      <c r="M2047" s="802" t="s">
        <v>21282</v>
      </c>
      <c r="N2047" s="802" t="s">
        <v>21283</v>
      </c>
      <c r="O2047" s="802" t="s">
        <v>21284</v>
      </c>
      <c r="P2047" s="807" t="s">
        <v>21285</v>
      </c>
    </row>
    <row r="2048" spans="1:16" s="341" customFormat="1" ht="25.5" customHeight="1">
      <c r="A2048" s="806" t="s">
        <v>110</v>
      </c>
      <c r="B2048" s="800" t="s">
        <v>38</v>
      </c>
      <c r="C2048" s="800" t="s">
        <v>7738</v>
      </c>
      <c r="D2048" s="800" t="s">
        <v>21286</v>
      </c>
      <c r="E2048" s="801">
        <v>43038</v>
      </c>
      <c r="F2048" s="800" t="s">
        <v>21287</v>
      </c>
      <c r="G2048" s="800" t="s">
        <v>21288</v>
      </c>
      <c r="H2048" s="800" t="s">
        <v>10404</v>
      </c>
      <c r="I2048" s="800" t="s">
        <v>10404</v>
      </c>
      <c r="J2048" s="800" t="s">
        <v>10664</v>
      </c>
      <c r="K2048" s="800">
        <v>1</v>
      </c>
      <c r="L2048" s="802" t="s">
        <v>10398</v>
      </c>
      <c r="M2048" s="802" t="s">
        <v>21289</v>
      </c>
      <c r="N2048" s="802" t="s">
        <v>21290</v>
      </c>
      <c r="O2048" s="802" t="s">
        <v>21291</v>
      </c>
      <c r="P2048" s="807" t="s">
        <v>21292</v>
      </c>
    </row>
    <row r="2049" spans="1:16" s="341" customFormat="1" ht="25.5" customHeight="1">
      <c r="A2049" s="806" t="s">
        <v>110</v>
      </c>
      <c r="B2049" s="800" t="s">
        <v>38</v>
      </c>
      <c r="C2049" s="800" t="s">
        <v>7738</v>
      </c>
      <c r="D2049" s="800" t="s">
        <v>21293</v>
      </c>
      <c r="E2049" s="801">
        <v>43038</v>
      </c>
      <c r="F2049" s="800" t="s">
        <v>32</v>
      </c>
      <c r="G2049" s="800" t="s">
        <v>21294</v>
      </c>
      <c r="H2049" s="800" t="s">
        <v>10531</v>
      </c>
      <c r="I2049" s="800" t="s">
        <v>10531</v>
      </c>
      <c r="J2049" s="800" t="s">
        <v>10397</v>
      </c>
      <c r="K2049" s="800">
        <v>1</v>
      </c>
      <c r="L2049" s="802" t="s">
        <v>10398</v>
      </c>
      <c r="M2049" s="802" t="s">
        <v>21295</v>
      </c>
      <c r="N2049" s="802" t="s">
        <v>21296</v>
      </c>
      <c r="O2049" s="802" t="s">
        <v>21297</v>
      </c>
      <c r="P2049" s="807" t="s">
        <v>21298</v>
      </c>
    </row>
    <row r="2050" spans="1:16" s="341" customFormat="1" ht="25.5" customHeight="1">
      <c r="A2050" s="806" t="s">
        <v>110</v>
      </c>
      <c r="B2050" s="800" t="s">
        <v>38</v>
      </c>
      <c r="C2050" s="800" t="s">
        <v>7738</v>
      </c>
      <c r="D2050" s="800" t="s">
        <v>21299</v>
      </c>
      <c r="E2050" s="801">
        <v>43040</v>
      </c>
      <c r="F2050" s="800" t="s">
        <v>21300</v>
      </c>
      <c r="G2050" s="800" t="s">
        <v>21301</v>
      </c>
      <c r="H2050" s="800" t="s">
        <v>10433</v>
      </c>
      <c r="I2050" s="800" t="s">
        <v>10433</v>
      </c>
      <c r="J2050" s="800" t="s">
        <v>4342</v>
      </c>
      <c r="K2050" s="800">
        <v>1</v>
      </c>
      <c r="L2050" s="802" t="s">
        <v>10398</v>
      </c>
      <c r="M2050" s="802" t="s">
        <v>21302</v>
      </c>
      <c r="N2050" s="802" t="s">
        <v>21303</v>
      </c>
      <c r="O2050" s="802" t="s">
        <v>21304</v>
      </c>
      <c r="P2050" s="807" t="s">
        <v>32</v>
      </c>
    </row>
    <row r="2051" spans="1:16" s="341" customFormat="1" ht="25.5" customHeight="1">
      <c r="A2051" s="806" t="s">
        <v>110</v>
      </c>
      <c r="B2051" s="800" t="s">
        <v>38</v>
      </c>
      <c r="C2051" s="800" t="s">
        <v>7738</v>
      </c>
      <c r="D2051" s="800" t="s">
        <v>21305</v>
      </c>
      <c r="E2051" s="801">
        <v>43040</v>
      </c>
      <c r="F2051" s="800" t="s">
        <v>10139</v>
      </c>
      <c r="G2051" s="800" t="s">
        <v>21306</v>
      </c>
      <c r="H2051" s="800" t="s">
        <v>10433</v>
      </c>
      <c r="I2051" s="800" t="s">
        <v>10433</v>
      </c>
      <c r="J2051" s="800" t="s">
        <v>10664</v>
      </c>
      <c r="K2051" s="800">
        <v>1</v>
      </c>
      <c r="L2051" s="802" t="s">
        <v>10398</v>
      </c>
      <c r="M2051" s="802" t="s">
        <v>21307</v>
      </c>
      <c r="N2051" s="802" t="s">
        <v>21308</v>
      </c>
      <c r="O2051" s="802" t="s">
        <v>21309</v>
      </c>
      <c r="P2051" s="807" t="s">
        <v>21310</v>
      </c>
    </row>
    <row r="2052" spans="1:16" s="341" customFormat="1" ht="25.5" customHeight="1">
      <c r="A2052" s="806" t="s">
        <v>110</v>
      </c>
      <c r="B2052" s="800" t="s">
        <v>38</v>
      </c>
      <c r="C2052" s="800" t="s">
        <v>7738</v>
      </c>
      <c r="D2052" s="800" t="s">
        <v>21311</v>
      </c>
      <c r="E2052" s="801">
        <v>43040</v>
      </c>
      <c r="F2052" s="800" t="s">
        <v>21280</v>
      </c>
      <c r="G2052" s="800" t="s">
        <v>21312</v>
      </c>
      <c r="H2052" s="800" t="s">
        <v>10396</v>
      </c>
      <c r="I2052" s="800" t="s">
        <v>10396</v>
      </c>
      <c r="J2052" s="800" t="s">
        <v>10397</v>
      </c>
      <c r="K2052" s="800">
        <v>1</v>
      </c>
      <c r="L2052" s="802" t="s">
        <v>10398</v>
      </c>
      <c r="M2052" s="802" t="s">
        <v>21313</v>
      </c>
      <c r="N2052" s="802" t="s">
        <v>21314</v>
      </c>
      <c r="O2052" s="802" t="s">
        <v>21315</v>
      </c>
      <c r="P2052" s="807" t="s">
        <v>32</v>
      </c>
    </row>
    <row r="2053" spans="1:16" s="341" customFormat="1" ht="25.5" customHeight="1">
      <c r="A2053" s="806" t="s">
        <v>110</v>
      </c>
      <c r="B2053" s="800" t="s">
        <v>38</v>
      </c>
      <c r="C2053" s="800" t="s">
        <v>7738</v>
      </c>
      <c r="D2053" s="800" t="s">
        <v>21316</v>
      </c>
      <c r="E2053" s="801">
        <v>43040</v>
      </c>
      <c r="F2053" s="800" t="s">
        <v>21317</v>
      </c>
      <c r="G2053" s="800" t="s">
        <v>21318</v>
      </c>
      <c r="H2053" s="800" t="s">
        <v>10396</v>
      </c>
      <c r="I2053" s="800" t="s">
        <v>10396</v>
      </c>
      <c r="J2053" s="800" t="s">
        <v>10397</v>
      </c>
      <c r="K2053" s="800">
        <v>1</v>
      </c>
      <c r="L2053" s="802" t="s">
        <v>10398</v>
      </c>
      <c r="M2053" s="802" t="s">
        <v>21319</v>
      </c>
      <c r="N2053" s="802" t="s">
        <v>11592</v>
      </c>
      <c r="O2053" s="802" t="s">
        <v>21320</v>
      </c>
      <c r="P2053" s="807" t="s">
        <v>21321</v>
      </c>
    </row>
    <row r="2054" spans="1:16" s="341" customFormat="1" ht="25.5" customHeight="1">
      <c r="A2054" s="806" t="s">
        <v>110</v>
      </c>
      <c r="B2054" s="800" t="s">
        <v>38</v>
      </c>
      <c r="C2054" s="800" t="s">
        <v>7738</v>
      </c>
      <c r="D2054" s="800" t="s">
        <v>21322</v>
      </c>
      <c r="E2054" s="801">
        <v>43040</v>
      </c>
      <c r="F2054" s="800" t="s">
        <v>21323</v>
      </c>
      <c r="G2054" s="800" t="s">
        <v>21324</v>
      </c>
      <c r="H2054" s="800" t="s">
        <v>10404</v>
      </c>
      <c r="I2054" s="800" t="s">
        <v>10404</v>
      </c>
      <c r="J2054" s="800" t="s">
        <v>10405</v>
      </c>
      <c r="K2054" s="800">
        <v>1</v>
      </c>
      <c r="L2054" s="802" t="s">
        <v>10398</v>
      </c>
      <c r="M2054" s="802" t="s">
        <v>21325</v>
      </c>
      <c r="N2054" s="802" t="s">
        <v>19795</v>
      </c>
      <c r="O2054" s="802" t="s">
        <v>21326</v>
      </c>
      <c r="P2054" s="807" t="s">
        <v>21327</v>
      </c>
    </row>
    <row r="2055" spans="1:16" s="341" customFormat="1" ht="25.5" customHeight="1">
      <c r="A2055" s="806" t="s">
        <v>110</v>
      </c>
      <c r="B2055" s="800" t="s">
        <v>38</v>
      </c>
      <c r="C2055" s="800" t="s">
        <v>7738</v>
      </c>
      <c r="D2055" s="800" t="s">
        <v>21328</v>
      </c>
      <c r="E2055" s="801">
        <v>43040</v>
      </c>
      <c r="F2055" s="800" t="s">
        <v>21329</v>
      </c>
      <c r="G2055" s="800" t="s">
        <v>21330</v>
      </c>
      <c r="H2055" s="800" t="s">
        <v>10396</v>
      </c>
      <c r="I2055" s="800" t="s">
        <v>10396</v>
      </c>
      <c r="J2055" s="800" t="s">
        <v>10664</v>
      </c>
      <c r="K2055" s="800">
        <v>1</v>
      </c>
      <c r="L2055" s="802" t="s">
        <v>10398</v>
      </c>
      <c r="M2055" s="802" t="s">
        <v>21331</v>
      </c>
      <c r="N2055" s="802" t="s">
        <v>16504</v>
      </c>
      <c r="O2055" s="802" t="s">
        <v>21332</v>
      </c>
      <c r="P2055" s="807" t="s">
        <v>32</v>
      </c>
    </row>
    <row r="2056" spans="1:16" s="341" customFormat="1" ht="25.5" customHeight="1">
      <c r="A2056" s="806" t="s">
        <v>110</v>
      </c>
      <c r="B2056" s="800" t="s">
        <v>38</v>
      </c>
      <c r="C2056" s="800" t="s">
        <v>7738</v>
      </c>
      <c r="D2056" s="800" t="s">
        <v>21333</v>
      </c>
      <c r="E2056" s="801">
        <v>43048</v>
      </c>
      <c r="F2056" s="800" t="s">
        <v>10222</v>
      </c>
      <c r="G2056" s="800" t="s">
        <v>21334</v>
      </c>
      <c r="H2056" s="800" t="s">
        <v>10433</v>
      </c>
      <c r="I2056" s="800" t="s">
        <v>10433</v>
      </c>
      <c r="J2056" s="800" t="s">
        <v>4342</v>
      </c>
      <c r="K2056" s="800">
        <v>1</v>
      </c>
      <c r="L2056" s="802" t="s">
        <v>10398</v>
      </c>
      <c r="M2056" s="802" t="s">
        <v>21335</v>
      </c>
      <c r="N2056" s="802" t="s">
        <v>21336</v>
      </c>
      <c r="O2056" s="802" t="s">
        <v>21337</v>
      </c>
      <c r="P2056" s="807" t="s">
        <v>21338</v>
      </c>
    </row>
    <row r="2057" spans="1:16" s="341" customFormat="1" ht="25.5" customHeight="1">
      <c r="A2057" s="806" t="s">
        <v>110</v>
      </c>
      <c r="B2057" s="800" t="s">
        <v>38</v>
      </c>
      <c r="C2057" s="800" t="s">
        <v>7738</v>
      </c>
      <c r="D2057" s="800" t="s">
        <v>21339</v>
      </c>
      <c r="E2057" s="801">
        <v>43040</v>
      </c>
      <c r="F2057" s="800" t="s">
        <v>21340</v>
      </c>
      <c r="G2057" s="800" t="s">
        <v>21341</v>
      </c>
      <c r="H2057" s="800" t="s">
        <v>10396</v>
      </c>
      <c r="I2057" s="800" t="s">
        <v>10396</v>
      </c>
      <c r="J2057" s="800" t="s">
        <v>10397</v>
      </c>
      <c r="K2057" s="800">
        <v>1</v>
      </c>
      <c r="L2057" s="802" t="s">
        <v>10398</v>
      </c>
      <c r="M2057" s="802" t="s">
        <v>21342</v>
      </c>
      <c r="N2057" s="802" t="s">
        <v>21343</v>
      </c>
      <c r="O2057" s="802" t="s">
        <v>21344</v>
      </c>
      <c r="P2057" s="807" t="s">
        <v>21345</v>
      </c>
    </row>
    <row r="2058" spans="1:16" s="341" customFormat="1" ht="25.5" customHeight="1">
      <c r="A2058" s="806" t="s">
        <v>110</v>
      </c>
      <c r="B2058" s="800" t="s">
        <v>38</v>
      </c>
      <c r="C2058" s="800" t="s">
        <v>7738</v>
      </c>
      <c r="D2058" s="800" t="s">
        <v>21346</v>
      </c>
      <c r="E2058" s="801">
        <v>43040</v>
      </c>
      <c r="F2058" s="800" t="s">
        <v>21347</v>
      </c>
      <c r="G2058" s="800" t="s">
        <v>21348</v>
      </c>
      <c r="H2058" s="800" t="s">
        <v>10433</v>
      </c>
      <c r="I2058" s="800" t="s">
        <v>10433</v>
      </c>
      <c r="J2058" s="800" t="s">
        <v>10397</v>
      </c>
      <c r="K2058" s="800">
        <v>1</v>
      </c>
      <c r="L2058" s="802" t="s">
        <v>10398</v>
      </c>
      <c r="M2058" s="802" t="s">
        <v>21349</v>
      </c>
      <c r="N2058" s="802" t="s">
        <v>21350</v>
      </c>
      <c r="O2058" s="802" t="s">
        <v>21351</v>
      </c>
      <c r="P2058" s="807" t="s">
        <v>32</v>
      </c>
    </row>
    <row r="2059" spans="1:16" s="341" customFormat="1" ht="25.5" customHeight="1">
      <c r="A2059" s="806" t="s">
        <v>110</v>
      </c>
      <c r="B2059" s="800" t="s">
        <v>38</v>
      </c>
      <c r="C2059" s="800" t="s">
        <v>7738</v>
      </c>
      <c r="D2059" s="800" t="s">
        <v>21352</v>
      </c>
      <c r="E2059" s="801">
        <v>43040</v>
      </c>
      <c r="F2059" s="800" t="s">
        <v>21340</v>
      </c>
      <c r="G2059" s="800" t="s">
        <v>21353</v>
      </c>
      <c r="H2059" s="800" t="s">
        <v>10531</v>
      </c>
      <c r="I2059" s="800" t="s">
        <v>10531</v>
      </c>
      <c r="J2059" s="800" t="s">
        <v>10397</v>
      </c>
      <c r="K2059" s="800">
        <v>1</v>
      </c>
      <c r="L2059" s="802" t="s">
        <v>10398</v>
      </c>
      <c r="M2059" s="802" t="s">
        <v>21354</v>
      </c>
      <c r="N2059" s="802" t="s">
        <v>19521</v>
      </c>
      <c r="O2059" s="802" t="s">
        <v>21355</v>
      </c>
      <c r="P2059" s="807" t="s">
        <v>21356</v>
      </c>
    </row>
    <row r="2060" spans="1:16" s="341" customFormat="1" ht="25.5" customHeight="1">
      <c r="A2060" s="806" t="s">
        <v>110</v>
      </c>
      <c r="B2060" s="800" t="s">
        <v>38</v>
      </c>
      <c r="C2060" s="800" t="s">
        <v>7738</v>
      </c>
      <c r="D2060" s="800" t="s">
        <v>21357</v>
      </c>
      <c r="E2060" s="801">
        <v>43040</v>
      </c>
      <c r="F2060" s="800" t="s">
        <v>813</v>
      </c>
      <c r="G2060" s="800" t="s">
        <v>21358</v>
      </c>
      <c r="H2060" s="800" t="s">
        <v>10531</v>
      </c>
      <c r="I2060" s="800" t="s">
        <v>10531</v>
      </c>
      <c r="J2060" s="800" t="s">
        <v>10397</v>
      </c>
      <c r="K2060" s="800">
        <v>1</v>
      </c>
      <c r="L2060" s="802" t="s">
        <v>10398</v>
      </c>
      <c r="M2060" s="802" t="s">
        <v>21359</v>
      </c>
      <c r="N2060" s="802" t="s">
        <v>21360</v>
      </c>
      <c r="O2060" s="802" t="s">
        <v>21361</v>
      </c>
      <c r="P2060" s="807" t="s">
        <v>21362</v>
      </c>
    </row>
    <row r="2061" spans="1:16" s="341" customFormat="1" ht="25.5" customHeight="1">
      <c r="A2061" s="806" t="s">
        <v>110</v>
      </c>
      <c r="B2061" s="800" t="s">
        <v>38</v>
      </c>
      <c r="C2061" s="800" t="s">
        <v>7738</v>
      </c>
      <c r="D2061" s="800" t="s">
        <v>21363</v>
      </c>
      <c r="E2061" s="801">
        <v>43041</v>
      </c>
      <c r="F2061" s="800" t="s">
        <v>21364</v>
      </c>
      <c r="G2061" s="800" t="s">
        <v>21365</v>
      </c>
      <c r="H2061" s="800" t="s">
        <v>10433</v>
      </c>
      <c r="I2061" s="800" t="s">
        <v>10433</v>
      </c>
      <c r="J2061" s="800" t="s">
        <v>4342</v>
      </c>
      <c r="K2061" s="800">
        <v>1</v>
      </c>
      <c r="L2061" s="802" t="s">
        <v>10398</v>
      </c>
      <c r="M2061" s="802" t="s">
        <v>21366</v>
      </c>
      <c r="N2061" s="802" t="s">
        <v>21367</v>
      </c>
      <c r="O2061" s="802" t="s">
        <v>21368</v>
      </c>
      <c r="P2061" s="807" t="s">
        <v>32</v>
      </c>
    </row>
    <row r="2062" spans="1:16" s="341" customFormat="1" ht="25.5" customHeight="1">
      <c r="A2062" s="806" t="s">
        <v>110</v>
      </c>
      <c r="B2062" s="800" t="s">
        <v>38</v>
      </c>
      <c r="C2062" s="800" t="s">
        <v>7738</v>
      </c>
      <c r="D2062" s="800" t="s">
        <v>21369</v>
      </c>
      <c r="E2062" s="801">
        <v>43041</v>
      </c>
      <c r="F2062" s="800" t="s">
        <v>21347</v>
      </c>
      <c r="G2062" s="800" t="s">
        <v>21370</v>
      </c>
      <c r="H2062" s="800" t="s">
        <v>10531</v>
      </c>
      <c r="I2062" s="800" t="s">
        <v>10531</v>
      </c>
      <c r="J2062" s="800" t="s">
        <v>10397</v>
      </c>
      <c r="K2062" s="800">
        <v>1</v>
      </c>
      <c r="L2062" s="802" t="s">
        <v>10398</v>
      </c>
      <c r="M2062" s="802" t="s">
        <v>21371</v>
      </c>
      <c r="N2062" s="802" t="s">
        <v>84</v>
      </c>
      <c r="O2062" s="802" t="s">
        <v>21372</v>
      </c>
      <c r="P2062" s="807" t="s">
        <v>32</v>
      </c>
    </row>
    <row r="2063" spans="1:16" s="341" customFormat="1" ht="25.5" customHeight="1">
      <c r="A2063" s="806" t="s">
        <v>110</v>
      </c>
      <c r="B2063" s="800" t="s">
        <v>38</v>
      </c>
      <c r="C2063" s="800" t="s">
        <v>7738</v>
      </c>
      <c r="D2063" s="800" t="s">
        <v>21373</v>
      </c>
      <c r="E2063" s="801">
        <v>43041</v>
      </c>
      <c r="F2063" s="800" t="s">
        <v>21347</v>
      </c>
      <c r="G2063" s="800" t="s">
        <v>21374</v>
      </c>
      <c r="H2063" s="800" t="s">
        <v>10404</v>
      </c>
      <c r="I2063" s="800" t="s">
        <v>10404</v>
      </c>
      <c r="J2063" s="800" t="s">
        <v>10405</v>
      </c>
      <c r="K2063" s="800">
        <v>1</v>
      </c>
      <c r="L2063" s="802" t="s">
        <v>10398</v>
      </c>
      <c r="M2063" s="802" t="s">
        <v>21375</v>
      </c>
      <c r="N2063" s="802" t="s">
        <v>21376</v>
      </c>
      <c r="O2063" s="802" t="s">
        <v>21377</v>
      </c>
      <c r="P2063" s="807" t="s">
        <v>21378</v>
      </c>
    </row>
    <row r="2064" spans="1:16" s="341" customFormat="1" ht="25.5" customHeight="1">
      <c r="A2064" s="806" t="s">
        <v>110</v>
      </c>
      <c r="B2064" s="800" t="s">
        <v>38</v>
      </c>
      <c r="C2064" s="800" t="s">
        <v>7738</v>
      </c>
      <c r="D2064" s="800" t="s">
        <v>21379</v>
      </c>
      <c r="E2064" s="801">
        <v>43041</v>
      </c>
      <c r="F2064" s="800" t="s">
        <v>21380</v>
      </c>
      <c r="G2064" s="800" t="s">
        <v>32</v>
      </c>
      <c r="H2064" s="800" t="s">
        <v>10404</v>
      </c>
      <c r="I2064" s="800" t="s">
        <v>10404</v>
      </c>
      <c r="J2064" s="800" t="s">
        <v>10405</v>
      </c>
      <c r="K2064" s="800">
        <v>1</v>
      </c>
      <c r="L2064" s="802" t="s">
        <v>10398</v>
      </c>
      <c r="M2064" s="802" t="s">
        <v>21381</v>
      </c>
      <c r="N2064" s="802" t="s">
        <v>21382</v>
      </c>
      <c r="O2064" s="802" t="s">
        <v>21383</v>
      </c>
      <c r="P2064" s="807" t="s">
        <v>32</v>
      </c>
    </row>
    <row r="2065" spans="1:16" s="341" customFormat="1" ht="25.5" customHeight="1">
      <c r="A2065" s="806" t="s">
        <v>110</v>
      </c>
      <c r="B2065" s="800" t="s">
        <v>38</v>
      </c>
      <c r="C2065" s="800" t="s">
        <v>7738</v>
      </c>
      <c r="D2065" s="800" t="s">
        <v>21384</v>
      </c>
      <c r="E2065" s="801">
        <v>43041</v>
      </c>
      <c r="F2065" s="800" t="s">
        <v>2053</v>
      </c>
      <c r="G2065" s="800" t="s">
        <v>21385</v>
      </c>
      <c r="H2065" s="800" t="s">
        <v>10396</v>
      </c>
      <c r="I2065" s="800" t="s">
        <v>10396</v>
      </c>
      <c r="J2065" s="800" t="s">
        <v>10397</v>
      </c>
      <c r="K2065" s="800">
        <v>1</v>
      </c>
      <c r="L2065" s="802" t="s">
        <v>10398</v>
      </c>
      <c r="M2065" s="802" t="s">
        <v>21386</v>
      </c>
      <c r="N2065" s="802" t="s">
        <v>21387</v>
      </c>
      <c r="O2065" s="802" t="s">
        <v>21388</v>
      </c>
      <c r="P2065" s="807" t="s">
        <v>21389</v>
      </c>
    </row>
    <row r="2066" spans="1:16" s="341" customFormat="1" ht="25.5" customHeight="1">
      <c r="A2066" s="806" t="s">
        <v>110</v>
      </c>
      <c r="B2066" s="800" t="s">
        <v>38</v>
      </c>
      <c r="C2066" s="800" t="s">
        <v>7738</v>
      </c>
      <c r="D2066" s="800" t="s">
        <v>21390</v>
      </c>
      <c r="E2066" s="801">
        <v>43041</v>
      </c>
      <c r="F2066" s="800" t="s">
        <v>21391</v>
      </c>
      <c r="G2066" s="800" t="s">
        <v>21392</v>
      </c>
      <c r="H2066" s="800" t="s">
        <v>10531</v>
      </c>
      <c r="I2066" s="800" t="s">
        <v>10531</v>
      </c>
      <c r="J2066" s="800" t="s">
        <v>10397</v>
      </c>
      <c r="K2066" s="800">
        <v>1</v>
      </c>
      <c r="L2066" s="802" t="s">
        <v>11026</v>
      </c>
      <c r="M2066" s="802" t="s">
        <v>21393</v>
      </c>
      <c r="N2066" s="802" t="s">
        <v>14202</v>
      </c>
      <c r="O2066" s="802" t="s">
        <v>14420</v>
      </c>
      <c r="P2066" s="807" t="s">
        <v>21394</v>
      </c>
    </row>
    <row r="2067" spans="1:16" s="341" customFormat="1" ht="25.5" customHeight="1">
      <c r="A2067" s="806" t="s">
        <v>110</v>
      </c>
      <c r="B2067" s="800" t="s">
        <v>38</v>
      </c>
      <c r="C2067" s="800" t="s">
        <v>7738</v>
      </c>
      <c r="D2067" s="800" t="s">
        <v>21395</v>
      </c>
      <c r="E2067" s="801">
        <v>43041</v>
      </c>
      <c r="F2067" s="800" t="s">
        <v>2053</v>
      </c>
      <c r="G2067" s="800" t="s">
        <v>21396</v>
      </c>
      <c r="H2067" s="800" t="s">
        <v>10404</v>
      </c>
      <c r="I2067" s="800" t="s">
        <v>10404</v>
      </c>
      <c r="J2067" s="800" t="s">
        <v>10405</v>
      </c>
      <c r="K2067" s="800">
        <v>3</v>
      </c>
      <c r="L2067" s="802" t="s">
        <v>10398</v>
      </c>
      <c r="M2067" s="802" t="s">
        <v>21397</v>
      </c>
      <c r="N2067" s="802" t="s">
        <v>21398</v>
      </c>
      <c r="O2067" s="802" t="s">
        <v>21399</v>
      </c>
      <c r="P2067" s="807" t="s">
        <v>21400</v>
      </c>
    </row>
    <row r="2068" spans="1:16" s="341" customFormat="1" ht="25.5" customHeight="1">
      <c r="A2068" s="806" t="s">
        <v>110</v>
      </c>
      <c r="B2068" s="800" t="s">
        <v>38</v>
      </c>
      <c r="C2068" s="800" t="s">
        <v>7738</v>
      </c>
      <c r="D2068" s="800" t="s">
        <v>21395</v>
      </c>
      <c r="E2068" s="801">
        <v>43041</v>
      </c>
      <c r="F2068" s="800" t="s">
        <v>2053</v>
      </c>
      <c r="G2068" s="800" t="s">
        <v>21396</v>
      </c>
      <c r="H2068" s="800" t="s">
        <v>10404</v>
      </c>
      <c r="I2068" s="800" t="s">
        <v>10404</v>
      </c>
      <c r="J2068" s="800" t="s">
        <v>10405</v>
      </c>
      <c r="K2068" s="800">
        <v>3</v>
      </c>
      <c r="L2068" s="802" t="s">
        <v>10398</v>
      </c>
      <c r="M2068" s="802" t="s">
        <v>21401</v>
      </c>
      <c r="N2068" s="802" t="s">
        <v>12187</v>
      </c>
      <c r="O2068" s="802" t="s">
        <v>21402</v>
      </c>
      <c r="P2068" s="807" t="s">
        <v>21400</v>
      </c>
    </row>
    <row r="2069" spans="1:16" s="341" customFormat="1" ht="25.5" customHeight="1">
      <c r="A2069" s="806" t="s">
        <v>110</v>
      </c>
      <c r="B2069" s="800" t="s">
        <v>38</v>
      </c>
      <c r="C2069" s="800" t="s">
        <v>7738</v>
      </c>
      <c r="D2069" s="800" t="s">
        <v>21395</v>
      </c>
      <c r="E2069" s="801">
        <v>43041</v>
      </c>
      <c r="F2069" s="800" t="s">
        <v>2053</v>
      </c>
      <c r="G2069" s="800" t="s">
        <v>21396</v>
      </c>
      <c r="H2069" s="800" t="s">
        <v>10404</v>
      </c>
      <c r="I2069" s="800" t="s">
        <v>10404</v>
      </c>
      <c r="J2069" s="800" t="s">
        <v>10405</v>
      </c>
      <c r="K2069" s="800">
        <v>3</v>
      </c>
      <c r="L2069" s="802" t="s">
        <v>10398</v>
      </c>
      <c r="M2069" s="802"/>
      <c r="N2069" s="802" t="s">
        <v>12616</v>
      </c>
      <c r="O2069" s="802" t="s">
        <v>21403</v>
      </c>
      <c r="P2069" s="807" t="s">
        <v>21400</v>
      </c>
    </row>
    <row r="2070" spans="1:16" s="341" customFormat="1" ht="25.5" customHeight="1">
      <c r="A2070" s="806" t="s">
        <v>110</v>
      </c>
      <c r="B2070" s="800" t="s">
        <v>38</v>
      </c>
      <c r="C2070" s="800" t="s">
        <v>7738</v>
      </c>
      <c r="D2070" s="800" t="s">
        <v>21404</v>
      </c>
      <c r="E2070" s="801">
        <v>43041</v>
      </c>
      <c r="F2070" s="800" t="s">
        <v>2053</v>
      </c>
      <c r="G2070" s="800" t="s">
        <v>21405</v>
      </c>
      <c r="H2070" s="800" t="s">
        <v>10404</v>
      </c>
      <c r="I2070" s="800" t="s">
        <v>10404</v>
      </c>
      <c r="J2070" s="800" t="s">
        <v>10405</v>
      </c>
      <c r="K2070" s="800">
        <v>1</v>
      </c>
      <c r="L2070" s="802" t="s">
        <v>10605</v>
      </c>
      <c r="M2070" s="802" t="s">
        <v>21406</v>
      </c>
      <c r="N2070" s="802" t="s">
        <v>21407</v>
      </c>
      <c r="O2070" s="802" t="s">
        <v>21408</v>
      </c>
      <c r="P2070" s="807" t="s">
        <v>21409</v>
      </c>
    </row>
    <row r="2071" spans="1:16" s="341" customFormat="1" ht="25.5" customHeight="1">
      <c r="A2071" s="806" t="s">
        <v>110</v>
      </c>
      <c r="B2071" s="800" t="s">
        <v>38</v>
      </c>
      <c r="C2071" s="800" t="s">
        <v>7738</v>
      </c>
      <c r="D2071" s="800" t="s">
        <v>21410</v>
      </c>
      <c r="E2071" s="801">
        <v>43041</v>
      </c>
      <c r="F2071" s="800" t="s">
        <v>2053</v>
      </c>
      <c r="G2071" s="800" t="s">
        <v>21411</v>
      </c>
      <c r="H2071" s="800" t="s">
        <v>10404</v>
      </c>
      <c r="I2071" s="800" t="s">
        <v>10404</v>
      </c>
      <c r="J2071" s="800" t="s">
        <v>10664</v>
      </c>
      <c r="K2071" s="800">
        <v>2</v>
      </c>
      <c r="L2071" s="802" t="s">
        <v>10398</v>
      </c>
      <c r="M2071" s="802" t="s">
        <v>21412</v>
      </c>
      <c r="N2071" s="802" t="s">
        <v>20749</v>
      </c>
      <c r="O2071" s="802" t="s">
        <v>21413</v>
      </c>
      <c r="P2071" s="807" t="s">
        <v>21414</v>
      </c>
    </row>
    <row r="2072" spans="1:16" s="341" customFormat="1" ht="25.5" customHeight="1">
      <c r="A2072" s="806" t="s">
        <v>110</v>
      </c>
      <c r="B2072" s="800" t="s">
        <v>38</v>
      </c>
      <c r="C2072" s="800" t="s">
        <v>7738</v>
      </c>
      <c r="D2072" s="800" t="s">
        <v>21410</v>
      </c>
      <c r="E2072" s="801">
        <v>43041</v>
      </c>
      <c r="F2072" s="800" t="s">
        <v>2053</v>
      </c>
      <c r="G2072" s="800" t="s">
        <v>21411</v>
      </c>
      <c r="H2072" s="800" t="s">
        <v>10404</v>
      </c>
      <c r="I2072" s="800" t="s">
        <v>10404</v>
      </c>
      <c r="J2072" s="800" t="s">
        <v>10664</v>
      </c>
      <c r="K2072" s="800">
        <v>2</v>
      </c>
      <c r="L2072" s="802" t="s">
        <v>10398</v>
      </c>
      <c r="M2072" s="802" t="s">
        <v>21415</v>
      </c>
      <c r="N2072" s="802" t="s">
        <v>21416</v>
      </c>
      <c r="O2072" s="802" t="s">
        <v>21413</v>
      </c>
      <c r="P2072" s="807" t="s">
        <v>21414</v>
      </c>
    </row>
    <row r="2073" spans="1:16" s="341" customFormat="1" ht="25.5" customHeight="1">
      <c r="A2073" s="806" t="s">
        <v>110</v>
      </c>
      <c r="B2073" s="800" t="s">
        <v>38</v>
      </c>
      <c r="C2073" s="800" t="s">
        <v>7738</v>
      </c>
      <c r="D2073" s="800" t="s">
        <v>21417</v>
      </c>
      <c r="E2073" s="801">
        <v>43041</v>
      </c>
      <c r="F2073" s="800" t="s">
        <v>2053</v>
      </c>
      <c r="G2073" s="800" t="s">
        <v>21418</v>
      </c>
      <c r="H2073" s="800" t="s">
        <v>10404</v>
      </c>
      <c r="I2073" s="800" t="s">
        <v>10404</v>
      </c>
      <c r="J2073" s="800" t="s">
        <v>10405</v>
      </c>
      <c r="K2073" s="800">
        <v>1</v>
      </c>
      <c r="L2073" s="802" t="s">
        <v>10398</v>
      </c>
      <c r="M2073" s="802" t="s">
        <v>32</v>
      </c>
      <c r="N2073" s="802" t="s">
        <v>21419</v>
      </c>
      <c r="O2073" s="802" t="s">
        <v>21420</v>
      </c>
      <c r="P2073" s="807" t="s">
        <v>21421</v>
      </c>
    </row>
    <row r="2074" spans="1:16" s="341" customFormat="1" ht="25.5" customHeight="1">
      <c r="A2074" s="806" t="s">
        <v>110</v>
      </c>
      <c r="B2074" s="800" t="s">
        <v>38</v>
      </c>
      <c r="C2074" s="800" t="s">
        <v>7738</v>
      </c>
      <c r="D2074" s="800" t="s">
        <v>21422</v>
      </c>
      <c r="E2074" s="801">
        <v>43038</v>
      </c>
      <c r="F2074" s="800" t="s">
        <v>21423</v>
      </c>
      <c r="G2074" s="800" t="s">
        <v>21424</v>
      </c>
      <c r="H2074" s="800" t="s">
        <v>10396</v>
      </c>
      <c r="I2074" s="800" t="s">
        <v>10396</v>
      </c>
      <c r="J2074" s="800" t="s">
        <v>10397</v>
      </c>
      <c r="K2074" s="800">
        <v>1</v>
      </c>
      <c r="L2074" s="802" t="s">
        <v>10398</v>
      </c>
      <c r="M2074" s="802" t="s">
        <v>21425</v>
      </c>
      <c r="N2074" s="802" t="s">
        <v>20570</v>
      </c>
      <c r="O2074" s="802" t="s">
        <v>21426</v>
      </c>
      <c r="P2074" s="807" t="s">
        <v>21427</v>
      </c>
    </row>
    <row r="2075" spans="1:16" s="341" customFormat="1" ht="25.5" customHeight="1">
      <c r="A2075" s="806" t="s">
        <v>110</v>
      </c>
      <c r="B2075" s="800" t="s">
        <v>38</v>
      </c>
      <c r="C2075" s="800" t="s">
        <v>7738</v>
      </c>
      <c r="D2075" s="800" t="s">
        <v>21428</v>
      </c>
      <c r="E2075" s="801">
        <v>43039</v>
      </c>
      <c r="F2075" s="800" t="s">
        <v>14377</v>
      </c>
      <c r="G2075" s="800" t="s">
        <v>21429</v>
      </c>
      <c r="H2075" s="800" t="s">
        <v>10531</v>
      </c>
      <c r="I2075" s="800" t="s">
        <v>10531</v>
      </c>
      <c r="J2075" s="800" t="s">
        <v>10397</v>
      </c>
      <c r="K2075" s="800">
        <v>1</v>
      </c>
      <c r="L2075" s="802" t="s">
        <v>10398</v>
      </c>
      <c r="M2075" s="802" t="s">
        <v>21430</v>
      </c>
      <c r="N2075" s="802" t="s">
        <v>21431</v>
      </c>
      <c r="O2075" s="802" t="s">
        <v>21432</v>
      </c>
      <c r="P2075" s="807" t="s">
        <v>21433</v>
      </c>
    </row>
    <row r="2076" spans="1:16" s="341" customFormat="1" ht="25.5" customHeight="1">
      <c r="A2076" s="806" t="s">
        <v>110</v>
      </c>
      <c r="B2076" s="800" t="s">
        <v>38</v>
      </c>
      <c r="C2076" s="800" t="s">
        <v>7738</v>
      </c>
      <c r="D2076" s="800" t="s">
        <v>21434</v>
      </c>
      <c r="E2076" s="801">
        <v>43039</v>
      </c>
      <c r="F2076" s="800" t="s">
        <v>21435</v>
      </c>
      <c r="G2076" s="800" t="s">
        <v>21436</v>
      </c>
      <c r="H2076" s="800" t="s">
        <v>10531</v>
      </c>
      <c r="I2076" s="800" t="s">
        <v>10531</v>
      </c>
      <c r="J2076" s="800" t="s">
        <v>10397</v>
      </c>
      <c r="K2076" s="800">
        <v>1</v>
      </c>
      <c r="L2076" s="802" t="s">
        <v>10398</v>
      </c>
      <c r="M2076" s="802" t="s">
        <v>21437</v>
      </c>
      <c r="N2076" s="802" t="s">
        <v>12532</v>
      </c>
      <c r="O2076" s="802" t="s">
        <v>21438</v>
      </c>
      <c r="P2076" s="807" t="s">
        <v>21439</v>
      </c>
    </row>
    <row r="2077" spans="1:16" s="341" customFormat="1" ht="25.5" customHeight="1">
      <c r="A2077" s="806" t="s">
        <v>110</v>
      </c>
      <c r="B2077" s="800" t="s">
        <v>38</v>
      </c>
      <c r="C2077" s="800" t="s">
        <v>7738</v>
      </c>
      <c r="D2077" s="800" t="s">
        <v>21440</v>
      </c>
      <c r="E2077" s="801">
        <v>43040</v>
      </c>
      <c r="F2077" s="800" t="s">
        <v>21441</v>
      </c>
      <c r="G2077" s="800" t="s">
        <v>21442</v>
      </c>
      <c r="H2077" s="800" t="s">
        <v>10396</v>
      </c>
      <c r="I2077" s="800" t="s">
        <v>10396</v>
      </c>
      <c r="J2077" s="800" t="s">
        <v>10397</v>
      </c>
      <c r="K2077" s="800">
        <v>1</v>
      </c>
      <c r="L2077" s="802" t="s">
        <v>10398</v>
      </c>
      <c r="M2077" s="802" t="s">
        <v>21443</v>
      </c>
      <c r="N2077" s="802" t="s">
        <v>21444</v>
      </c>
      <c r="O2077" s="802" t="s">
        <v>21445</v>
      </c>
      <c r="P2077" s="807" t="s">
        <v>21446</v>
      </c>
    </row>
    <row r="2078" spans="1:16" s="341" customFormat="1" ht="25.5" customHeight="1">
      <c r="A2078" s="806" t="s">
        <v>110</v>
      </c>
      <c r="B2078" s="800" t="s">
        <v>38</v>
      </c>
      <c r="C2078" s="800" t="s">
        <v>7738</v>
      </c>
      <c r="D2078" s="800" t="s">
        <v>21447</v>
      </c>
      <c r="E2078" s="801">
        <v>43041</v>
      </c>
      <c r="F2078" s="800" t="s">
        <v>21448</v>
      </c>
      <c r="G2078" s="800" t="s">
        <v>32</v>
      </c>
      <c r="H2078" s="800" t="s">
        <v>10433</v>
      </c>
      <c r="I2078" s="800" t="s">
        <v>10433</v>
      </c>
      <c r="J2078" s="800" t="s">
        <v>10397</v>
      </c>
      <c r="K2078" s="800">
        <v>1</v>
      </c>
      <c r="L2078" s="802" t="s">
        <v>10398</v>
      </c>
      <c r="M2078" s="802" t="s">
        <v>32</v>
      </c>
      <c r="N2078" s="802" t="s">
        <v>21449</v>
      </c>
      <c r="O2078" s="802" t="s">
        <v>21450</v>
      </c>
      <c r="P2078" s="807" t="s">
        <v>32</v>
      </c>
    </row>
    <row r="2079" spans="1:16" s="341" customFormat="1" ht="25.5" customHeight="1">
      <c r="A2079" s="806" t="s">
        <v>110</v>
      </c>
      <c r="B2079" s="800" t="s">
        <v>38</v>
      </c>
      <c r="C2079" s="800" t="s">
        <v>7738</v>
      </c>
      <c r="D2079" s="800" t="s">
        <v>21451</v>
      </c>
      <c r="E2079" s="801">
        <v>43041</v>
      </c>
      <c r="F2079" s="800" t="s">
        <v>21452</v>
      </c>
      <c r="G2079" s="800" t="s">
        <v>21453</v>
      </c>
      <c r="H2079" s="800" t="s">
        <v>10433</v>
      </c>
      <c r="I2079" s="800" t="s">
        <v>10433</v>
      </c>
      <c r="J2079" s="800" t="s">
        <v>4342</v>
      </c>
      <c r="K2079" s="800">
        <v>1</v>
      </c>
      <c r="L2079" s="802" t="s">
        <v>10398</v>
      </c>
      <c r="M2079" s="802" t="s">
        <v>21454</v>
      </c>
      <c r="N2079" s="802" t="s">
        <v>11467</v>
      </c>
      <c r="O2079" s="802" t="s">
        <v>21455</v>
      </c>
      <c r="P2079" s="807" t="s">
        <v>21456</v>
      </c>
    </row>
    <row r="2080" spans="1:16" s="341" customFormat="1" ht="25.5" customHeight="1">
      <c r="A2080" s="806" t="s">
        <v>110</v>
      </c>
      <c r="B2080" s="800" t="s">
        <v>38</v>
      </c>
      <c r="C2080" s="800" t="s">
        <v>7738</v>
      </c>
      <c r="D2080" s="800" t="s">
        <v>21457</v>
      </c>
      <c r="E2080" s="801">
        <v>43041</v>
      </c>
      <c r="F2080" s="800" t="s">
        <v>21458</v>
      </c>
      <c r="G2080" s="800" t="s">
        <v>21459</v>
      </c>
      <c r="H2080" s="800" t="s">
        <v>10531</v>
      </c>
      <c r="I2080" s="800" t="s">
        <v>10531</v>
      </c>
      <c r="J2080" s="800" t="s">
        <v>4342</v>
      </c>
      <c r="K2080" s="800">
        <v>1</v>
      </c>
      <c r="L2080" s="802" t="s">
        <v>10398</v>
      </c>
      <c r="M2080" s="802" t="s">
        <v>21460</v>
      </c>
      <c r="N2080" s="802" t="s">
        <v>20659</v>
      </c>
      <c r="O2080" s="802" t="s">
        <v>21461</v>
      </c>
      <c r="P2080" s="807" t="s">
        <v>32</v>
      </c>
    </row>
    <row r="2081" spans="1:16" s="341" customFormat="1" ht="25.5" customHeight="1">
      <c r="A2081" s="806" t="s">
        <v>110</v>
      </c>
      <c r="B2081" s="800" t="s">
        <v>38</v>
      </c>
      <c r="C2081" s="800" t="s">
        <v>7738</v>
      </c>
      <c r="D2081" s="800" t="s">
        <v>21462</v>
      </c>
      <c r="E2081" s="801">
        <v>43041</v>
      </c>
      <c r="F2081" s="800" t="s">
        <v>21463</v>
      </c>
      <c r="G2081" s="800" t="s">
        <v>21464</v>
      </c>
      <c r="H2081" s="800" t="s">
        <v>10396</v>
      </c>
      <c r="I2081" s="800" t="s">
        <v>10396</v>
      </c>
      <c r="J2081" s="800" t="s">
        <v>10397</v>
      </c>
      <c r="K2081" s="800">
        <v>1</v>
      </c>
      <c r="L2081" s="802" t="s">
        <v>10605</v>
      </c>
      <c r="M2081" s="802" t="s">
        <v>21465</v>
      </c>
      <c r="N2081" s="802" t="s">
        <v>21466</v>
      </c>
      <c r="O2081" s="802" t="s">
        <v>21467</v>
      </c>
      <c r="P2081" s="807" t="s">
        <v>21468</v>
      </c>
    </row>
    <row r="2082" spans="1:16" s="341" customFormat="1" ht="25.5" customHeight="1">
      <c r="A2082" s="806" t="s">
        <v>110</v>
      </c>
      <c r="B2082" s="800" t="s">
        <v>38</v>
      </c>
      <c r="C2082" s="800" t="s">
        <v>7738</v>
      </c>
      <c r="D2082" s="800" t="s">
        <v>21469</v>
      </c>
      <c r="E2082" s="801">
        <v>43042</v>
      </c>
      <c r="F2082" s="800" t="s">
        <v>21470</v>
      </c>
      <c r="G2082" s="800" t="s">
        <v>21471</v>
      </c>
      <c r="H2082" s="800" t="s">
        <v>10433</v>
      </c>
      <c r="I2082" s="800" t="s">
        <v>10433</v>
      </c>
      <c r="J2082" s="800" t="s">
        <v>4342</v>
      </c>
      <c r="K2082" s="800">
        <v>1</v>
      </c>
      <c r="L2082" s="802" t="s">
        <v>10398</v>
      </c>
      <c r="M2082" s="802" t="s">
        <v>21472</v>
      </c>
      <c r="N2082" s="802" t="s">
        <v>21473</v>
      </c>
      <c r="O2082" s="802" t="s">
        <v>21474</v>
      </c>
      <c r="P2082" s="807" t="s">
        <v>21475</v>
      </c>
    </row>
    <row r="2083" spans="1:16" s="341" customFormat="1" ht="25.5" customHeight="1">
      <c r="A2083" s="806" t="s">
        <v>110</v>
      </c>
      <c r="B2083" s="800" t="s">
        <v>38</v>
      </c>
      <c r="C2083" s="800" t="s">
        <v>7738</v>
      </c>
      <c r="D2083" s="800" t="s">
        <v>21476</v>
      </c>
      <c r="E2083" s="801">
        <v>43042</v>
      </c>
      <c r="F2083" s="800" t="s">
        <v>21470</v>
      </c>
      <c r="G2083" s="800" t="s">
        <v>21477</v>
      </c>
      <c r="H2083" s="800" t="s">
        <v>10433</v>
      </c>
      <c r="I2083" s="800" t="s">
        <v>10433</v>
      </c>
      <c r="J2083" s="800" t="s">
        <v>4342</v>
      </c>
      <c r="K2083" s="800">
        <v>1</v>
      </c>
      <c r="L2083" s="802" t="s">
        <v>10398</v>
      </c>
      <c r="M2083" s="802" t="s">
        <v>21478</v>
      </c>
      <c r="N2083" s="802" t="s">
        <v>21479</v>
      </c>
      <c r="O2083" s="802" t="s">
        <v>21480</v>
      </c>
      <c r="P2083" s="807" t="s">
        <v>21481</v>
      </c>
    </row>
    <row r="2084" spans="1:16" s="341" customFormat="1" ht="25.5" customHeight="1">
      <c r="A2084" s="806" t="s">
        <v>110</v>
      </c>
      <c r="B2084" s="800" t="s">
        <v>38</v>
      </c>
      <c r="C2084" s="800" t="s">
        <v>7738</v>
      </c>
      <c r="D2084" s="800" t="s">
        <v>21482</v>
      </c>
      <c r="E2084" s="801">
        <v>43041</v>
      </c>
      <c r="F2084" s="800" t="s">
        <v>21470</v>
      </c>
      <c r="G2084" s="800" t="s">
        <v>32</v>
      </c>
      <c r="H2084" s="800" t="s">
        <v>10396</v>
      </c>
      <c r="I2084" s="800" t="s">
        <v>10396</v>
      </c>
      <c r="J2084" s="800" t="s">
        <v>4342</v>
      </c>
      <c r="K2084" s="800">
        <v>1</v>
      </c>
      <c r="L2084" s="802" t="s">
        <v>10398</v>
      </c>
      <c r="M2084" s="802" t="s">
        <v>21483</v>
      </c>
      <c r="N2084" s="802" t="s">
        <v>21484</v>
      </c>
      <c r="O2084" s="802" t="s">
        <v>21485</v>
      </c>
      <c r="P2084" s="807" t="s">
        <v>32</v>
      </c>
    </row>
    <row r="2085" spans="1:16" s="341" customFormat="1" ht="25.5" customHeight="1">
      <c r="A2085" s="806" t="s">
        <v>110</v>
      </c>
      <c r="B2085" s="800" t="s">
        <v>38</v>
      </c>
      <c r="C2085" s="800" t="s">
        <v>7738</v>
      </c>
      <c r="D2085" s="800" t="s">
        <v>21486</v>
      </c>
      <c r="E2085" s="801">
        <v>43042</v>
      </c>
      <c r="F2085" s="800" t="s">
        <v>21470</v>
      </c>
      <c r="G2085" s="800" t="s">
        <v>21487</v>
      </c>
      <c r="H2085" s="800" t="s">
        <v>10433</v>
      </c>
      <c r="I2085" s="800" t="s">
        <v>10433</v>
      </c>
      <c r="J2085" s="800" t="s">
        <v>4342</v>
      </c>
      <c r="K2085" s="800">
        <v>1</v>
      </c>
      <c r="L2085" s="802" t="s">
        <v>10398</v>
      </c>
      <c r="M2085" s="802" t="s">
        <v>21488</v>
      </c>
      <c r="N2085" s="802" t="s">
        <v>21489</v>
      </c>
      <c r="O2085" s="802" t="s">
        <v>21490</v>
      </c>
      <c r="P2085" s="807" t="s">
        <v>32</v>
      </c>
    </row>
    <row r="2086" spans="1:16" s="341" customFormat="1" ht="25.5" customHeight="1">
      <c r="A2086" s="806" t="s">
        <v>110</v>
      </c>
      <c r="B2086" s="800" t="s">
        <v>38</v>
      </c>
      <c r="C2086" s="800" t="s">
        <v>7738</v>
      </c>
      <c r="D2086" s="800" t="s">
        <v>21491</v>
      </c>
      <c r="E2086" s="801">
        <v>43042</v>
      </c>
      <c r="F2086" s="800" t="s">
        <v>21470</v>
      </c>
      <c r="G2086" s="800" t="s">
        <v>21492</v>
      </c>
      <c r="H2086" s="800" t="s">
        <v>10396</v>
      </c>
      <c r="I2086" s="800" t="s">
        <v>10396</v>
      </c>
      <c r="J2086" s="800" t="s">
        <v>10397</v>
      </c>
      <c r="K2086" s="800">
        <v>1</v>
      </c>
      <c r="L2086" s="802" t="s">
        <v>10398</v>
      </c>
      <c r="M2086" s="802" t="s">
        <v>21493</v>
      </c>
      <c r="N2086" s="802" t="s">
        <v>12551</v>
      </c>
      <c r="O2086" s="802" t="s">
        <v>21494</v>
      </c>
      <c r="P2086" s="807" t="s">
        <v>32</v>
      </c>
    </row>
    <row r="2087" spans="1:16" s="341" customFormat="1" ht="25.5" customHeight="1">
      <c r="A2087" s="806" t="s">
        <v>110</v>
      </c>
      <c r="B2087" s="800" t="s">
        <v>38</v>
      </c>
      <c r="C2087" s="800" t="s">
        <v>7738</v>
      </c>
      <c r="D2087" s="800" t="s">
        <v>21495</v>
      </c>
      <c r="E2087" s="801">
        <v>43042</v>
      </c>
      <c r="F2087" s="800" t="s">
        <v>21496</v>
      </c>
      <c r="G2087" s="800" t="s">
        <v>21497</v>
      </c>
      <c r="H2087" s="800" t="s">
        <v>10396</v>
      </c>
      <c r="I2087" s="800" t="s">
        <v>10396</v>
      </c>
      <c r="J2087" s="800" t="s">
        <v>10664</v>
      </c>
      <c r="K2087" s="800">
        <v>1</v>
      </c>
      <c r="L2087" s="802" t="s">
        <v>10398</v>
      </c>
      <c r="M2087" s="802" t="s">
        <v>21498</v>
      </c>
      <c r="N2087" s="802" t="s">
        <v>21499</v>
      </c>
      <c r="O2087" s="802" t="s">
        <v>21500</v>
      </c>
      <c r="P2087" s="807" t="s">
        <v>21501</v>
      </c>
    </row>
    <row r="2088" spans="1:16" s="341" customFormat="1" ht="25.5" customHeight="1">
      <c r="A2088" s="806" t="s">
        <v>110</v>
      </c>
      <c r="B2088" s="800" t="s">
        <v>38</v>
      </c>
      <c r="C2088" s="800" t="s">
        <v>7738</v>
      </c>
      <c r="D2088" s="800" t="s">
        <v>21502</v>
      </c>
      <c r="E2088" s="801">
        <v>43044</v>
      </c>
      <c r="F2088" s="800" t="s">
        <v>21503</v>
      </c>
      <c r="G2088" s="800" t="s">
        <v>21504</v>
      </c>
      <c r="H2088" s="800" t="s">
        <v>10531</v>
      </c>
      <c r="I2088" s="800" t="s">
        <v>10531</v>
      </c>
      <c r="J2088" s="800" t="s">
        <v>10397</v>
      </c>
      <c r="K2088" s="800">
        <v>1</v>
      </c>
      <c r="L2088" s="802" t="s">
        <v>10398</v>
      </c>
      <c r="M2088" s="802" t="s">
        <v>21505</v>
      </c>
      <c r="N2088" s="802" t="s">
        <v>21506</v>
      </c>
      <c r="O2088" s="802" t="s">
        <v>21507</v>
      </c>
      <c r="P2088" s="807" t="s">
        <v>21508</v>
      </c>
    </row>
    <row r="2089" spans="1:16" s="341" customFormat="1" ht="25.5" customHeight="1">
      <c r="A2089" s="806" t="s">
        <v>110</v>
      </c>
      <c r="B2089" s="800" t="s">
        <v>38</v>
      </c>
      <c r="C2089" s="800" t="s">
        <v>7738</v>
      </c>
      <c r="D2089" s="800" t="s">
        <v>21509</v>
      </c>
      <c r="E2089" s="801">
        <v>43042</v>
      </c>
      <c r="F2089" s="800" t="s">
        <v>21510</v>
      </c>
      <c r="G2089" s="800" t="s">
        <v>21511</v>
      </c>
      <c r="H2089" s="800" t="s">
        <v>10396</v>
      </c>
      <c r="I2089" s="800" t="s">
        <v>10396</v>
      </c>
      <c r="J2089" s="800" t="s">
        <v>10397</v>
      </c>
      <c r="K2089" s="800">
        <v>1</v>
      </c>
      <c r="L2089" s="802" t="s">
        <v>10398</v>
      </c>
      <c r="M2089" s="802" t="s">
        <v>21512</v>
      </c>
      <c r="N2089" s="802" t="s">
        <v>13219</v>
      </c>
      <c r="O2089" s="802" t="s">
        <v>21513</v>
      </c>
      <c r="P2089" s="807" t="s">
        <v>32</v>
      </c>
    </row>
    <row r="2090" spans="1:16" s="341" customFormat="1" ht="25.5" customHeight="1">
      <c r="A2090" s="806" t="s">
        <v>110</v>
      </c>
      <c r="B2090" s="800" t="s">
        <v>38</v>
      </c>
      <c r="C2090" s="800" t="s">
        <v>7738</v>
      </c>
      <c r="D2090" s="800" t="s">
        <v>21514</v>
      </c>
      <c r="E2090" s="801">
        <v>43042</v>
      </c>
      <c r="F2090" s="800" t="s">
        <v>21510</v>
      </c>
      <c r="G2090" s="800" t="s">
        <v>21515</v>
      </c>
      <c r="H2090" s="800" t="s">
        <v>10396</v>
      </c>
      <c r="I2090" s="800" t="s">
        <v>10396</v>
      </c>
      <c r="J2090" s="800" t="s">
        <v>10397</v>
      </c>
      <c r="K2090" s="800">
        <v>1</v>
      </c>
      <c r="L2090" s="802" t="s">
        <v>10398</v>
      </c>
      <c r="M2090" s="802" t="s">
        <v>21516</v>
      </c>
      <c r="N2090" s="802" t="s">
        <v>21517</v>
      </c>
      <c r="O2090" s="802" t="s">
        <v>21518</v>
      </c>
      <c r="P2090" s="807" t="s">
        <v>21519</v>
      </c>
    </row>
    <row r="2091" spans="1:16" s="341" customFormat="1" ht="25.5" customHeight="1">
      <c r="A2091" s="806" t="s">
        <v>110</v>
      </c>
      <c r="B2091" s="800" t="s">
        <v>38</v>
      </c>
      <c r="C2091" s="800" t="s">
        <v>7738</v>
      </c>
      <c r="D2091" s="800" t="s">
        <v>21520</v>
      </c>
      <c r="E2091" s="801">
        <v>43042</v>
      </c>
      <c r="F2091" s="800" t="s">
        <v>21510</v>
      </c>
      <c r="G2091" s="800" t="s">
        <v>21521</v>
      </c>
      <c r="H2091" s="800" t="s">
        <v>10396</v>
      </c>
      <c r="I2091" s="800" t="s">
        <v>10396</v>
      </c>
      <c r="J2091" s="800" t="s">
        <v>10397</v>
      </c>
      <c r="K2091" s="800">
        <v>1</v>
      </c>
      <c r="L2091" s="802" t="s">
        <v>10398</v>
      </c>
      <c r="M2091" s="802" t="s">
        <v>21522</v>
      </c>
      <c r="N2091" s="802" t="s">
        <v>13777</v>
      </c>
      <c r="O2091" s="802" t="s">
        <v>21523</v>
      </c>
      <c r="P2091" s="807" t="s">
        <v>21524</v>
      </c>
    </row>
    <row r="2092" spans="1:16" s="341" customFormat="1" ht="25.5" customHeight="1">
      <c r="A2092" s="806" t="s">
        <v>110</v>
      </c>
      <c r="B2092" s="800" t="s">
        <v>38</v>
      </c>
      <c r="C2092" s="800" t="s">
        <v>7738</v>
      </c>
      <c r="D2092" s="800" t="s">
        <v>21525</v>
      </c>
      <c r="E2092" s="801">
        <v>43042</v>
      </c>
      <c r="F2092" s="800" t="s">
        <v>21526</v>
      </c>
      <c r="G2092" s="800" t="s">
        <v>21527</v>
      </c>
      <c r="H2092" s="800" t="s">
        <v>10433</v>
      </c>
      <c r="I2092" s="800" t="s">
        <v>10433</v>
      </c>
      <c r="J2092" s="800" t="s">
        <v>10397</v>
      </c>
      <c r="K2092" s="800">
        <v>1</v>
      </c>
      <c r="L2092" s="802" t="s">
        <v>10398</v>
      </c>
      <c r="M2092" s="802" t="s">
        <v>21528</v>
      </c>
      <c r="N2092" s="802" t="s">
        <v>13700</v>
      </c>
      <c r="O2092" s="802" t="s">
        <v>15739</v>
      </c>
      <c r="P2092" s="807" t="s">
        <v>21529</v>
      </c>
    </row>
    <row r="2093" spans="1:16" s="341" customFormat="1" ht="25.5" customHeight="1">
      <c r="A2093" s="806" t="s">
        <v>110</v>
      </c>
      <c r="B2093" s="800" t="s">
        <v>38</v>
      </c>
      <c r="C2093" s="800" t="s">
        <v>7738</v>
      </c>
      <c r="D2093" s="800" t="s">
        <v>21530</v>
      </c>
      <c r="E2093" s="801">
        <v>43042</v>
      </c>
      <c r="F2093" s="800" t="s">
        <v>21531</v>
      </c>
      <c r="G2093" s="800" t="s">
        <v>21532</v>
      </c>
      <c r="H2093" s="800" t="s">
        <v>10433</v>
      </c>
      <c r="I2093" s="800" t="s">
        <v>10433</v>
      </c>
      <c r="J2093" s="800" t="s">
        <v>10397</v>
      </c>
      <c r="K2093" s="800">
        <v>1</v>
      </c>
      <c r="L2093" s="802" t="s">
        <v>10398</v>
      </c>
      <c r="M2093" s="802" t="s">
        <v>21533</v>
      </c>
      <c r="N2093" s="802" t="s">
        <v>19039</v>
      </c>
      <c r="O2093" s="802" t="s">
        <v>21534</v>
      </c>
      <c r="P2093" s="807" t="s">
        <v>21535</v>
      </c>
    </row>
    <row r="2094" spans="1:16" s="341" customFormat="1" ht="25.5" customHeight="1">
      <c r="A2094" s="806" t="s">
        <v>110</v>
      </c>
      <c r="B2094" s="800" t="s">
        <v>38</v>
      </c>
      <c r="C2094" s="800" t="s">
        <v>7738</v>
      </c>
      <c r="D2094" s="800" t="s">
        <v>21536</v>
      </c>
      <c r="E2094" s="801">
        <v>43042</v>
      </c>
      <c r="F2094" s="800" t="s">
        <v>21167</v>
      </c>
      <c r="G2094" s="800" t="s">
        <v>21537</v>
      </c>
      <c r="H2094" s="800" t="s">
        <v>10396</v>
      </c>
      <c r="I2094" s="800" t="s">
        <v>10396</v>
      </c>
      <c r="J2094" s="800" t="s">
        <v>10397</v>
      </c>
      <c r="K2094" s="800">
        <v>1</v>
      </c>
      <c r="L2094" s="802" t="s">
        <v>10398</v>
      </c>
      <c r="M2094" s="802" t="s">
        <v>21538</v>
      </c>
      <c r="N2094" s="802" t="s">
        <v>21539</v>
      </c>
      <c r="O2094" s="802" t="s">
        <v>21540</v>
      </c>
      <c r="P2094" s="807" t="s">
        <v>32</v>
      </c>
    </row>
    <row r="2095" spans="1:16" s="341" customFormat="1" ht="25.5" customHeight="1">
      <c r="A2095" s="806" t="s">
        <v>110</v>
      </c>
      <c r="B2095" s="800" t="s">
        <v>38</v>
      </c>
      <c r="C2095" s="800" t="s">
        <v>7738</v>
      </c>
      <c r="D2095" s="800" t="s">
        <v>21541</v>
      </c>
      <c r="E2095" s="801">
        <v>43042</v>
      </c>
      <c r="F2095" s="800" t="s">
        <v>32</v>
      </c>
      <c r="G2095" s="800" t="s">
        <v>32</v>
      </c>
      <c r="H2095" s="800" t="s">
        <v>10396</v>
      </c>
      <c r="I2095" s="800" t="s">
        <v>10396</v>
      </c>
      <c r="J2095" s="800" t="s">
        <v>10397</v>
      </c>
      <c r="K2095" s="800">
        <v>1</v>
      </c>
      <c r="L2095" s="802" t="s">
        <v>10398</v>
      </c>
      <c r="M2095" s="802" t="s">
        <v>21542</v>
      </c>
      <c r="N2095" s="802" t="s">
        <v>11383</v>
      </c>
      <c r="O2095" s="802" t="s">
        <v>21543</v>
      </c>
      <c r="P2095" s="807" t="s">
        <v>32</v>
      </c>
    </row>
    <row r="2096" spans="1:16" s="341" customFormat="1" ht="25.5" customHeight="1">
      <c r="A2096" s="806" t="s">
        <v>110</v>
      </c>
      <c r="B2096" s="800" t="s">
        <v>38</v>
      </c>
      <c r="C2096" s="800" t="s">
        <v>7738</v>
      </c>
      <c r="D2096" s="800" t="s">
        <v>21544</v>
      </c>
      <c r="E2096" s="801">
        <v>43042</v>
      </c>
      <c r="F2096" s="800" t="s">
        <v>21545</v>
      </c>
      <c r="G2096" s="800" t="s">
        <v>21546</v>
      </c>
      <c r="H2096" s="800" t="s">
        <v>10433</v>
      </c>
      <c r="I2096" s="800" t="s">
        <v>10433</v>
      </c>
      <c r="J2096" s="800" t="s">
        <v>10397</v>
      </c>
      <c r="K2096" s="800">
        <v>1</v>
      </c>
      <c r="L2096" s="802" t="s">
        <v>10398</v>
      </c>
      <c r="M2096" s="802" t="s">
        <v>21547</v>
      </c>
      <c r="N2096" s="802" t="s">
        <v>21548</v>
      </c>
      <c r="O2096" s="802" t="s">
        <v>21549</v>
      </c>
      <c r="P2096" s="807" t="s">
        <v>21550</v>
      </c>
    </row>
    <row r="2097" spans="1:16" s="341" customFormat="1" ht="25.5" customHeight="1">
      <c r="A2097" s="806" t="s">
        <v>110</v>
      </c>
      <c r="B2097" s="800" t="s">
        <v>38</v>
      </c>
      <c r="C2097" s="800" t="s">
        <v>7738</v>
      </c>
      <c r="D2097" s="800" t="s">
        <v>21551</v>
      </c>
      <c r="E2097" s="801">
        <v>43042</v>
      </c>
      <c r="F2097" s="800" t="s">
        <v>21167</v>
      </c>
      <c r="G2097" s="800" t="s">
        <v>21552</v>
      </c>
      <c r="H2097" s="800" t="s">
        <v>10531</v>
      </c>
      <c r="I2097" s="800" t="s">
        <v>10531</v>
      </c>
      <c r="J2097" s="800" t="s">
        <v>10397</v>
      </c>
      <c r="K2097" s="800">
        <v>1</v>
      </c>
      <c r="L2097" s="802" t="s">
        <v>10398</v>
      </c>
      <c r="M2097" s="802" t="s">
        <v>21553</v>
      </c>
      <c r="N2097" s="802" t="s">
        <v>16724</v>
      </c>
      <c r="O2097" s="802" t="s">
        <v>21554</v>
      </c>
      <c r="P2097" s="807" t="s">
        <v>21555</v>
      </c>
    </row>
    <row r="2098" spans="1:16" s="341" customFormat="1" ht="25.5" customHeight="1">
      <c r="A2098" s="806" t="s">
        <v>110</v>
      </c>
      <c r="B2098" s="800" t="s">
        <v>38</v>
      </c>
      <c r="C2098" s="800" t="s">
        <v>7738</v>
      </c>
      <c r="D2098" s="800" t="s">
        <v>21556</v>
      </c>
      <c r="E2098" s="801">
        <v>43042</v>
      </c>
      <c r="F2098" s="800" t="s">
        <v>32</v>
      </c>
      <c r="G2098" s="800" t="s">
        <v>32</v>
      </c>
      <c r="H2098" s="800" t="s">
        <v>10531</v>
      </c>
      <c r="I2098" s="800" t="s">
        <v>10531</v>
      </c>
      <c r="J2098" s="800" t="s">
        <v>10397</v>
      </c>
      <c r="K2098" s="800">
        <v>1</v>
      </c>
      <c r="L2098" s="802" t="s">
        <v>10398</v>
      </c>
      <c r="M2098" s="802" t="s">
        <v>21557</v>
      </c>
      <c r="N2098" s="802" t="s">
        <v>13037</v>
      </c>
      <c r="O2098" s="802" t="s">
        <v>21558</v>
      </c>
      <c r="P2098" s="807" t="s">
        <v>32</v>
      </c>
    </row>
    <row r="2099" spans="1:16" s="341" customFormat="1" ht="25.5" customHeight="1">
      <c r="A2099" s="806" t="s">
        <v>110</v>
      </c>
      <c r="B2099" s="800" t="s">
        <v>38</v>
      </c>
      <c r="C2099" s="800" t="s">
        <v>7738</v>
      </c>
      <c r="D2099" s="800" t="s">
        <v>21559</v>
      </c>
      <c r="E2099" s="801">
        <v>43042</v>
      </c>
      <c r="F2099" s="800" t="s">
        <v>21560</v>
      </c>
      <c r="G2099" s="800" t="s">
        <v>21561</v>
      </c>
      <c r="H2099" s="800" t="s">
        <v>10433</v>
      </c>
      <c r="I2099" s="800" t="s">
        <v>10433</v>
      </c>
      <c r="J2099" s="800" t="s">
        <v>10397</v>
      </c>
      <c r="K2099" s="800">
        <v>1</v>
      </c>
      <c r="L2099" s="802" t="s">
        <v>10398</v>
      </c>
      <c r="M2099" s="802" t="s">
        <v>21562</v>
      </c>
      <c r="N2099" s="802" t="s">
        <v>10484</v>
      </c>
      <c r="O2099" s="802" t="s">
        <v>21563</v>
      </c>
      <c r="P2099" s="807" t="s">
        <v>32</v>
      </c>
    </row>
    <row r="2100" spans="1:16" s="341" customFormat="1" ht="25.5" customHeight="1">
      <c r="A2100" s="806" t="s">
        <v>110</v>
      </c>
      <c r="B2100" s="800" t="s">
        <v>38</v>
      </c>
      <c r="C2100" s="800" t="s">
        <v>7738</v>
      </c>
      <c r="D2100" s="800" t="s">
        <v>21564</v>
      </c>
      <c r="E2100" s="801">
        <v>43042</v>
      </c>
      <c r="F2100" s="800" t="s">
        <v>21565</v>
      </c>
      <c r="G2100" s="800" t="s">
        <v>21566</v>
      </c>
      <c r="H2100" s="800" t="s">
        <v>10531</v>
      </c>
      <c r="I2100" s="800" t="s">
        <v>10531</v>
      </c>
      <c r="J2100" s="800" t="s">
        <v>4342</v>
      </c>
      <c r="K2100" s="800">
        <v>1</v>
      </c>
      <c r="L2100" s="802" t="s">
        <v>10398</v>
      </c>
      <c r="M2100" s="802" t="s">
        <v>21567</v>
      </c>
      <c r="N2100" s="802" t="s">
        <v>21568</v>
      </c>
      <c r="O2100" s="802" t="s">
        <v>21569</v>
      </c>
      <c r="P2100" s="807" t="s">
        <v>21570</v>
      </c>
    </row>
    <row r="2101" spans="1:16" s="341" customFormat="1" ht="25.5" customHeight="1">
      <c r="A2101" s="806" t="s">
        <v>110</v>
      </c>
      <c r="B2101" s="800" t="s">
        <v>38</v>
      </c>
      <c r="C2101" s="800" t="s">
        <v>7738</v>
      </c>
      <c r="D2101" s="800" t="s">
        <v>21571</v>
      </c>
      <c r="E2101" s="801">
        <v>43042</v>
      </c>
      <c r="F2101" s="800" t="s">
        <v>21572</v>
      </c>
      <c r="G2101" s="800" t="s">
        <v>21573</v>
      </c>
      <c r="H2101" s="800" t="s">
        <v>10433</v>
      </c>
      <c r="I2101" s="800" t="s">
        <v>10433</v>
      </c>
      <c r="J2101" s="800" t="s">
        <v>4342</v>
      </c>
      <c r="K2101" s="800">
        <v>1</v>
      </c>
      <c r="L2101" s="802" t="s">
        <v>10398</v>
      </c>
      <c r="M2101" s="802" t="s">
        <v>21574</v>
      </c>
      <c r="N2101" s="802" t="s">
        <v>21575</v>
      </c>
      <c r="O2101" s="802" t="s">
        <v>21576</v>
      </c>
      <c r="P2101" s="807" t="s">
        <v>32</v>
      </c>
    </row>
    <row r="2102" spans="1:16" s="341" customFormat="1" ht="25.5" customHeight="1">
      <c r="A2102" s="806" t="s">
        <v>110</v>
      </c>
      <c r="B2102" s="800" t="s">
        <v>38</v>
      </c>
      <c r="C2102" s="800" t="s">
        <v>7738</v>
      </c>
      <c r="D2102" s="800" t="s">
        <v>21577</v>
      </c>
      <c r="E2102" s="801">
        <v>43042</v>
      </c>
      <c r="F2102" s="800" t="s">
        <v>21578</v>
      </c>
      <c r="G2102" s="800" t="s">
        <v>21579</v>
      </c>
      <c r="H2102" s="800" t="s">
        <v>10531</v>
      </c>
      <c r="I2102" s="800" t="s">
        <v>10531</v>
      </c>
      <c r="J2102" s="800" t="s">
        <v>10397</v>
      </c>
      <c r="K2102" s="800">
        <v>1</v>
      </c>
      <c r="L2102" s="802" t="s">
        <v>10398</v>
      </c>
      <c r="M2102" s="802" t="s">
        <v>21580</v>
      </c>
      <c r="N2102" s="802" t="s">
        <v>21581</v>
      </c>
      <c r="O2102" s="802" t="s">
        <v>21582</v>
      </c>
      <c r="P2102" s="807" t="s">
        <v>21583</v>
      </c>
    </row>
    <row r="2103" spans="1:16" s="341" customFormat="1" ht="25.5" customHeight="1">
      <c r="A2103" s="806" t="s">
        <v>110</v>
      </c>
      <c r="B2103" s="800" t="s">
        <v>38</v>
      </c>
      <c r="C2103" s="800" t="s">
        <v>7738</v>
      </c>
      <c r="D2103" s="800" t="s">
        <v>21584</v>
      </c>
      <c r="E2103" s="801">
        <v>43042</v>
      </c>
      <c r="F2103" s="800" t="s">
        <v>21565</v>
      </c>
      <c r="G2103" s="800" t="s">
        <v>21585</v>
      </c>
      <c r="H2103" s="800" t="s">
        <v>10531</v>
      </c>
      <c r="I2103" s="800" t="s">
        <v>10531</v>
      </c>
      <c r="J2103" s="800" t="s">
        <v>4342</v>
      </c>
      <c r="K2103" s="800">
        <v>1</v>
      </c>
      <c r="L2103" s="802" t="s">
        <v>10398</v>
      </c>
      <c r="M2103" s="802" t="s">
        <v>21586</v>
      </c>
      <c r="N2103" s="802" t="s">
        <v>12328</v>
      </c>
      <c r="O2103" s="802" t="s">
        <v>21587</v>
      </c>
      <c r="P2103" s="807" t="s">
        <v>21588</v>
      </c>
    </row>
    <row r="2104" spans="1:16" s="341" customFormat="1" ht="25.5" customHeight="1">
      <c r="A2104" s="806" t="s">
        <v>110</v>
      </c>
      <c r="B2104" s="800" t="s">
        <v>38</v>
      </c>
      <c r="C2104" s="800" t="s">
        <v>7738</v>
      </c>
      <c r="D2104" s="800" t="s">
        <v>21589</v>
      </c>
      <c r="E2104" s="801">
        <v>43042</v>
      </c>
      <c r="F2104" s="800" t="s">
        <v>21565</v>
      </c>
      <c r="G2104" s="800" t="s">
        <v>21590</v>
      </c>
      <c r="H2104" s="800" t="s">
        <v>10433</v>
      </c>
      <c r="I2104" s="800" t="s">
        <v>10433</v>
      </c>
      <c r="J2104" s="800" t="s">
        <v>4342</v>
      </c>
      <c r="K2104" s="800">
        <v>1</v>
      </c>
      <c r="L2104" s="802" t="s">
        <v>10398</v>
      </c>
      <c r="M2104" s="802" t="s">
        <v>21591</v>
      </c>
      <c r="N2104" s="802" t="s">
        <v>21592</v>
      </c>
      <c r="O2104" s="802" t="s">
        <v>21593</v>
      </c>
      <c r="P2104" s="807" t="s">
        <v>21594</v>
      </c>
    </row>
    <row r="2105" spans="1:16" s="341" customFormat="1" ht="25.5" customHeight="1">
      <c r="A2105" s="806" t="s">
        <v>110</v>
      </c>
      <c r="B2105" s="800" t="s">
        <v>38</v>
      </c>
      <c r="C2105" s="800" t="s">
        <v>7738</v>
      </c>
      <c r="D2105" s="800" t="s">
        <v>21595</v>
      </c>
      <c r="E2105" s="801">
        <v>43043</v>
      </c>
      <c r="F2105" s="800" t="s">
        <v>21596</v>
      </c>
      <c r="G2105" s="800" t="s">
        <v>21597</v>
      </c>
      <c r="H2105" s="800" t="s">
        <v>10433</v>
      </c>
      <c r="I2105" s="800" t="s">
        <v>10433</v>
      </c>
      <c r="J2105" s="800" t="s">
        <v>4342</v>
      </c>
      <c r="K2105" s="800">
        <v>1</v>
      </c>
      <c r="L2105" s="802" t="s">
        <v>10398</v>
      </c>
      <c r="M2105" s="802" t="s">
        <v>21598</v>
      </c>
      <c r="N2105" s="802" t="s">
        <v>10808</v>
      </c>
      <c r="O2105" s="802" t="s">
        <v>21599</v>
      </c>
      <c r="P2105" s="807" t="s">
        <v>21600</v>
      </c>
    </row>
    <row r="2106" spans="1:16" s="341" customFormat="1" ht="25.5" customHeight="1">
      <c r="A2106" s="806" t="s">
        <v>110</v>
      </c>
      <c r="B2106" s="800" t="s">
        <v>38</v>
      </c>
      <c r="C2106" s="800" t="s">
        <v>7738</v>
      </c>
      <c r="D2106" s="800" t="s">
        <v>21601</v>
      </c>
      <c r="E2106" s="801">
        <v>43042</v>
      </c>
      <c r="F2106" s="800" t="s">
        <v>21602</v>
      </c>
      <c r="G2106" s="800" t="s">
        <v>21603</v>
      </c>
      <c r="H2106" s="800" t="s">
        <v>10396</v>
      </c>
      <c r="I2106" s="800" t="s">
        <v>10396</v>
      </c>
      <c r="J2106" s="800" t="s">
        <v>10397</v>
      </c>
      <c r="K2106" s="800">
        <v>1</v>
      </c>
      <c r="L2106" s="802" t="s">
        <v>10398</v>
      </c>
      <c r="M2106" s="802"/>
      <c r="N2106" s="802" t="s">
        <v>21604</v>
      </c>
      <c r="O2106" s="802" t="s">
        <v>21605</v>
      </c>
      <c r="P2106" s="807" t="s">
        <v>32</v>
      </c>
    </row>
    <row r="2107" spans="1:16" s="341" customFormat="1" ht="25.5" customHeight="1">
      <c r="A2107" s="806" t="s">
        <v>110</v>
      </c>
      <c r="B2107" s="800" t="s">
        <v>38</v>
      </c>
      <c r="C2107" s="800" t="s">
        <v>7738</v>
      </c>
      <c r="D2107" s="800" t="s">
        <v>21606</v>
      </c>
      <c r="E2107" s="801">
        <v>43042</v>
      </c>
      <c r="F2107" s="800" t="s">
        <v>21572</v>
      </c>
      <c r="G2107" s="800" t="s">
        <v>21607</v>
      </c>
      <c r="H2107" s="800" t="s">
        <v>10531</v>
      </c>
      <c r="I2107" s="800" t="s">
        <v>10531</v>
      </c>
      <c r="J2107" s="800" t="s">
        <v>10397</v>
      </c>
      <c r="K2107" s="800">
        <v>1</v>
      </c>
      <c r="L2107" s="802" t="s">
        <v>10398</v>
      </c>
      <c r="M2107" s="802" t="s">
        <v>21608</v>
      </c>
      <c r="N2107" s="802" t="s">
        <v>18354</v>
      </c>
      <c r="O2107" s="802" t="s">
        <v>21609</v>
      </c>
      <c r="P2107" s="807" t="s">
        <v>21610</v>
      </c>
    </row>
    <row r="2108" spans="1:16" s="341" customFormat="1" ht="25.5" customHeight="1">
      <c r="A2108" s="806" t="s">
        <v>110</v>
      </c>
      <c r="B2108" s="800" t="s">
        <v>38</v>
      </c>
      <c r="C2108" s="800" t="s">
        <v>7738</v>
      </c>
      <c r="D2108" s="800" t="s">
        <v>21611</v>
      </c>
      <c r="E2108" s="801">
        <v>43042</v>
      </c>
      <c r="F2108" s="800" t="s">
        <v>21572</v>
      </c>
      <c r="G2108" s="800" t="s">
        <v>21612</v>
      </c>
      <c r="H2108" s="800" t="s">
        <v>10531</v>
      </c>
      <c r="I2108" s="800" t="s">
        <v>10531</v>
      </c>
      <c r="J2108" s="800" t="s">
        <v>10397</v>
      </c>
      <c r="K2108" s="800">
        <v>1</v>
      </c>
      <c r="L2108" s="802" t="s">
        <v>10398</v>
      </c>
      <c r="M2108" s="802" t="s">
        <v>21613</v>
      </c>
      <c r="N2108" s="802" t="s">
        <v>11739</v>
      </c>
      <c r="O2108" s="802" t="s">
        <v>21614</v>
      </c>
      <c r="P2108" s="807" t="s">
        <v>32</v>
      </c>
    </row>
    <row r="2109" spans="1:16" s="341" customFormat="1" ht="25.5" customHeight="1">
      <c r="A2109" s="806" t="s">
        <v>110</v>
      </c>
      <c r="B2109" s="800" t="s">
        <v>38</v>
      </c>
      <c r="C2109" s="800" t="s">
        <v>7738</v>
      </c>
      <c r="D2109" s="800" t="s">
        <v>21615</v>
      </c>
      <c r="E2109" s="801">
        <v>43042</v>
      </c>
      <c r="F2109" s="800" t="s">
        <v>21572</v>
      </c>
      <c r="G2109" s="800" t="s">
        <v>21616</v>
      </c>
      <c r="H2109" s="800" t="s">
        <v>10531</v>
      </c>
      <c r="I2109" s="800" t="s">
        <v>10531</v>
      </c>
      <c r="J2109" s="800" t="s">
        <v>10397</v>
      </c>
      <c r="K2109" s="800">
        <v>1</v>
      </c>
      <c r="L2109" s="802" t="s">
        <v>10398</v>
      </c>
      <c r="M2109" s="802" t="s">
        <v>21617</v>
      </c>
      <c r="N2109" s="802" t="s">
        <v>17049</v>
      </c>
      <c r="O2109" s="802" t="s">
        <v>21618</v>
      </c>
      <c r="P2109" s="807" t="s">
        <v>32</v>
      </c>
    </row>
    <row r="2110" spans="1:16" s="341" customFormat="1" ht="25.5" customHeight="1">
      <c r="A2110" s="806" t="s">
        <v>110</v>
      </c>
      <c r="B2110" s="800" t="s">
        <v>38</v>
      </c>
      <c r="C2110" s="800" t="s">
        <v>7738</v>
      </c>
      <c r="D2110" s="800" t="s">
        <v>21619</v>
      </c>
      <c r="E2110" s="801">
        <v>43042</v>
      </c>
      <c r="F2110" s="800" t="s">
        <v>21572</v>
      </c>
      <c r="G2110" s="800" t="s">
        <v>21620</v>
      </c>
      <c r="H2110" s="800" t="s">
        <v>10396</v>
      </c>
      <c r="I2110" s="800" t="s">
        <v>10396</v>
      </c>
      <c r="J2110" s="800" t="s">
        <v>10397</v>
      </c>
      <c r="K2110" s="800">
        <v>1</v>
      </c>
      <c r="L2110" s="802" t="s">
        <v>10398</v>
      </c>
      <c r="M2110" s="802" t="s">
        <v>21621</v>
      </c>
      <c r="N2110" s="802" t="s">
        <v>21622</v>
      </c>
      <c r="O2110" s="802" t="s">
        <v>21623</v>
      </c>
      <c r="P2110" s="807" t="s">
        <v>32</v>
      </c>
    </row>
    <row r="2111" spans="1:16" s="341" customFormat="1" ht="25.5" customHeight="1">
      <c r="A2111" s="806" t="s">
        <v>110</v>
      </c>
      <c r="B2111" s="800" t="s">
        <v>38</v>
      </c>
      <c r="C2111" s="800" t="s">
        <v>7738</v>
      </c>
      <c r="D2111" s="800" t="s">
        <v>21624</v>
      </c>
      <c r="E2111" s="801">
        <v>43042</v>
      </c>
      <c r="F2111" s="800" t="s">
        <v>21572</v>
      </c>
      <c r="G2111" s="800" t="s">
        <v>21625</v>
      </c>
      <c r="H2111" s="800" t="s">
        <v>10531</v>
      </c>
      <c r="I2111" s="800" t="s">
        <v>10531</v>
      </c>
      <c r="J2111" s="800" t="s">
        <v>10397</v>
      </c>
      <c r="K2111" s="800">
        <v>1</v>
      </c>
      <c r="L2111" s="802" t="s">
        <v>10398</v>
      </c>
      <c r="M2111" s="802" t="s">
        <v>21626</v>
      </c>
      <c r="N2111" s="802" t="s">
        <v>14602</v>
      </c>
      <c r="O2111" s="802" t="s">
        <v>21627</v>
      </c>
      <c r="P2111" s="807" t="s">
        <v>21628</v>
      </c>
    </row>
    <row r="2112" spans="1:16" s="341" customFormat="1" ht="25.5" customHeight="1">
      <c r="A2112" s="806" t="s">
        <v>110</v>
      </c>
      <c r="B2112" s="800" t="s">
        <v>38</v>
      </c>
      <c r="C2112" s="800" t="s">
        <v>7738</v>
      </c>
      <c r="D2112" s="800" t="s">
        <v>21629</v>
      </c>
      <c r="E2112" s="801">
        <v>43042</v>
      </c>
      <c r="F2112" s="800" t="s">
        <v>21572</v>
      </c>
      <c r="G2112" s="800" t="s">
        <v>21630</v>
      </c>
      <c r="H2112" s="800" t="s">
        <v>10531</v>
      </c>
      <c r="I2112" s="800" t="s">
        <v>10531</v>
      </c>
      <c r="J2112" s="800" t="s">
        <v>10397</v>
      </c>
      <c r="K2112" s="800">
        <v>1</v>
      </c>
      <c r="L2112" s="802" t="s">
        <v>10398</v>
      </c>
      <c r="M2112" s="802" t="s">
        <v>21631</v>
      </c>
      <c r="N2112" s="802" t="s">
        <v>14602</v>
      </c>
      <c r="O2112" s="802" t="s">
        <v>21623</v>
      </c>
      <c r="P2112" s="807" t="s">
        <v>32</v>
      </c>
    </row>
    <row r="2113" spans="1:16" s="341" customFormat="1" ht="25.5" customHeight="1">
      <c r="A2113" s="806" t="s">
        <v>110</v>
      </c>
      <c r="B2113" s="800" t="s">
        <v>38</v>
      </c>
      <c r="C2113" s="800" t="s">
        <v>7738</v>
      </c>
      <c r="D2113" s="800" t="s">
        <v>21632</v>
      </c>
      <c r="E2113" s="801">
        <v>43042</v>
      </c>
      <c r="F2113" s="800" t="s">
        <v>21572</v>
      </c>
      <c r="G2113" s="800" t="s">
        <v>21633</v>
      </c>
      <c r="H2113" s="800" t="s">
        <v>10404</v>
      </c>
      <c r="I2113" s="800" t="s">
        <v>10404</v>
      </c>
      <c r="J2113" s="800" t="s">
        <v>10405</v>
      </c>
      <c r="K2113" s="800">
        <v>1</v>
      </c>
      <c r="L2113" s="802" t="s">
        <v>10398</v>
      </c>
      <c r="M2113" s="802" t="s">
        <v>21634</v>
      </c>
      <c r="N2113" s="802" t="s">
        <v>11834</v>
      </c>
      <c r="O2113" s="802" t="s">
        <v>21635</v>
      </c>
      <c r="P2113" s="807" t="s">
        <v>21636</v>
      </c>
    </row>
    <row r="2114" spans="1:16" s="341" customFormat="1" ht="25.5" customHeight="1">
      <c r="A2114" s="806" t="s">
        <v>110</v>
      </c>
      <c r="B2114" s="800" t="s">
        <v>38</v>
      </c>
      <c r="C2114" s="800" t="s">
        <v>7738</v>
      </c>
      <c r="D2114" s="800" t="s">
        <v>21637</v>
      </c>
      <c r="E2114" s="801">
        <v>43042</v>
      </c>
      <c r="F2114" s="800" t="s">
        <v>21572</v>
      </c>
      <c r="G2114" s="800" t="s">
        <v>21638</v>
      </c>
      <c r="H2114" s="800" t="s">
        <v>10531</v>
      </c>
      <c r="I2114" s="800" t="s">
        <v>10531</v>
      </c>
      <c r="J2114" s="800" t="s">
        <v>10397</v>
      </c>
      <c r="K2114" s="800">
        <v>1</v>
      </c>
      <c r="L2114" s="802" t="s">
        <v>10398</v>
      </c>
      <c r="M2114" s="802" t="s">
        <v>32</v>
      </c>
      <c r="N2114" s="802" t="s">
        <v>16344</v>
      </c>
      <c r="O2114" s="802" t="s">
        <v>21639</v>
      </c>
      <c r="P2114" s="807" t="s">
        <v>32</v>
      </c>
    </row>
    <row r="2115" spans="1:16" s="341" customFormat="1" ht="25.5" customHeight="1">
      <c r="A2115" s="806" t="s">
        <v>110</v>
      </c>
      <c r="B2115" s="800" t="s">
        <v>38</v>
      </c>
      <c r="C2115" s="800" t="s">
        <v>7738</v>
      </c>
      <c r="D2115" s="800" t="s">
        <v>21640</v>
      </c>
      <c r="E2115" s="801">
        <v>43042</v>
      </c>
      <c r="F2115" s="800" t="s">
        <v>21572</v>
      </c>
      <c r="G2115" s="800" t="s">
        <v>21565</v>
      </c>
      <c r="H2115" s="800" t="s">
        <v>10396</v>
      </c>
      <c r="I2115" s="800" t="s">
        <v>10396</v>
      </c>
      <c r="J2115" s="800" t="s">
        <v>10397</v>
      </c>
      <c r="K2115" s="800">
        <v>1</v>
      </c>
      <c r="L2115" s="802" t="s">
        <v>10398</v>
      </c>
      <c r="M2115" s="802" t="s">
        <v>32</v>
      </c>
      <c r="N2115" s="802" t="s">
        <v>17237</v>
      </c>
      <c r="O2115" s="802" t="s">
        <v>21641</v>
      </c>
      <c r="P2115" s="807" t="s">
        <v>32</v>
      </c>
    </row>
    <row r="2116" spans="1:16" s="341" customFormat="1" ht="25.5" customHeight="1">
      <c r="A2116" s="806" t="s">
        <v>110</v>
      </c>
      <c r="B2116" s="800" t="s">
        <v>38</v>
      </c>
      <c r="C2116" s="800" t="s">
        <v>7738</v>
      </c>
      <c r="D2116" s="800" t="s">
        <v>21642</v>
      </c>
      <c r="E2116" s="801">
        <v>43042</v>
      </c>
      <c r="F2116" s="800" t="s">
        <v>21572</v>
      </c>
      <c r="G2116" s="800" t="s">
        <v>21643</v>
      </c>
      <c r="H2116" s="800" t="s">
        <v>10396</v>
      </c>
      <c r="I2116" s="800" t="s">
        <v>10396</v>
      </c>
      <c r="J2116" s="800" t="s">
        <v>10397</v>
      </c>
      <c r="K2116" s="800">
        <v>1</v>
      </c>
      <c r="L2116" s="802" t="s">
        <v>10398</v>
      </c>
      <c r="M2116" s="802" t="s">
        <v>21644</v>
      </c>
      <c r="N2116" s="802" t="s">
        <v>21645</v>
      </c>
      <c r="O2116" s="802" t="s">
        <v>14109</v>
      </c>
      <c r="P2116" s="807" t="s">
        <v>32</v>
      </c>
    </row>
    <row r="2117" spans="1:16" s="341" customFormat="1" ht="25.5" customHeight="1">
      <c r="A2117" s="806" t="s">
        <v>110</v>
      </c>
      <c r="B2117" s="800" t="s">
        <v>38</v>
      </c>
      <c r="C2117" s="800" t="s">
        <v>7738</v>
      </c>
      <c r="D2117" s="800" t="s">
        <v>21646</v>
      </c>
      <c r="E2117" s="801">
        <v>43042</v>
      </c>
      <c r="F2117" s="800" t="s">
        <v>21572</v>
      </c>
      <c r="G2117" s="800" t="s">
        <v>21647</v>
      </c>
      <c r="H2117" s="800" t="s">
        <v>10396</v>
      </c>
      <c r="I2117" s="800" t="s">
        <v>10396</v>
      </c>
      <c r="J2117" s="800" t="s">
        <v>10397</v>
      </c>
      <c r="K2117" s="800">
        <v>1</v>
      </c>
      <c r="L2117" s="802" t="s">
        <v>10398</v>
      </c>
      <c r="M2117" s="802" t="s">
        <v>21648</v>
      </c>
      <c r="N2117" s="802" t="s">
        <v>21649</v>
      </c>
      <c r="O2117" s="802" t="s">
        <v>21650</v>
      </c>
      <c r="P2117" s="807" t="s">
        <v>21651</v>
      </c>
    </row>
    <row r="2118" spans="1:16" s="341" customFormat="1" ht="25.5" customHeight="1">
      <c r="A2118" s="806" t="s">
        <v>110</v>
      </c>
      <c r="B2118" s="800" t="s">
        <v>38</v>
      </c>
      <c r="C2118" s="800" t="s">
        <v>7738</v>
      </c>
      <c r="D2118" s="800" t="s">
        <v>21652</v>
      </c>
      <c r="E2118" s="801">
        <v>43042</v>
      </c>
      <c r="F2118" s="800" t="s">
        <v>21572</v>
      </c>
      <c r="G2118" s="800" t="s">
        <v>21653</v>
      </c>
      <c r="H2118" s="800" t="s">
        <v>10531</v>
      </c>
      <c r="I2118" s="800" t="s">
        <v>10531</v>
      </c>
      <c r="J2118" s="800" t="s">
        <v>10397</v>
      </c>
      <c r="K2118" s="800">
        <v>1</v>
      </c>
      <c r="L2118" s="802" t="s">
        <v>10398</v>
      </c>
      <c r="M2118" s="802" t="s">
        <v>21654</v>
      </c>
      <c r="N2118" s="802" t="s">
        <v>21655</v>
      </c>
      <c r="O2118" s="802" t="s">
        <v>21656</v>
      </c>
      <c r="P2118" s="807" t="s">
        <v>21657</v>
      </c>
    </row>
    <row r="2119" spans="1:16" s="341" customFormat="1" ht="25.5" customHeight="1">
      <c r="A2119" s="806" t="s">
        <v>110</v>
      </c>
      <c r="B2119" s="800" t="s">
        <v>38</v>
      </c>
      <c r="C2119" s="800" t="s">
        <v>7738</v>
      </c>
      <c r="D2119" s="800" t="s">
        <v>21658</v>
      </c>
      <c r="E2119" s="801">
        <v>43042</v>
      </c>
      <c r="F2119" s="800" t="s">
        <v>21572</v>
      </c>
      <c r="G2119" s="800" t="s">
        <v>21565</v>
      </c>
      <c r="H2119" s="800" t="s">
        <v>10404</v>
      </c>
      <c r="I2119" s="800" t="s">
        <v>10404</v>
      </c>
      <c r="J2119" s="800" t="s">
        <v>10405</v>
      </c>
      <c r="K2119" s="800">
        <v>1</v>
      </c>
      <c r="L2119" s="802" t="s">
        <v>10398</v>
      </c>
      <c r="M2119" s="802" t="s">
        <v>21659</v>
      </c>
      <c r="N2119" s="802" t="s">
        <v>21660</v>
      </c>
      <c r="O2119" s="802" t="s">
        <v>21661</v>
      </c>
      <c r="P2119" s="807" t="s">
        <v>32</v>
      </c>
    </row>
    <row r="2120" spans="1:16" s="341" customFormat="1" ht="25.5" customHeight="1">
      <c r="A2120" s="806" t="s">
        <v>110</v>
      </c>
      <c r="B2120" s="800" t="s">
        <v>38</v>
      </c>
      <c r="C2120" s="800" t="s">
        <v>7738</v>
      </c>
      <c r="D2120" s="800" t="s">
        <v>21662</v>
      </c>
      <c r="E2120" s="801">
        <v>43042</v>
      </c>
      <c r="F2120" s="800" t="s">
        <v>21572</v>
      </c>
      <c r="G2120" s="800" t="s">
        <v>21663</v>
      </c>
      <c r="H2120" s="800" t="s">
        <v>10531</v>
      </c>
      <c r="I2120" s="800" t="s">
        <v>10531</v>
      </c>
      <c r="J2120" s="800" t="s">
        <v>10397</v>
      </c>
      <c r="K2120" s="800">
        <v>1</v>
      </c>
      <c r="L2120" s="802" t="s">
        <v>10398</v>
      </c>
      <c r="M2120" s="802" t="s">
        <v>21664</v>
      </c>
      <c r="N2120" s="802" t="s">
        <v>21665</v>
      </c>
      <c r="O2120" s="802" t="s">
        <v>21666</v>
      </c>
      <c r="P2120" s="807" t="s">
        <v>21667</v>
      </c>
    </row>
    <row r="2121" spans="1:16" s="341" customFormat="1" ht="25.5" customHeight="1">
      <c r="A2121" s="806" t="s">
        <v>110</v>
      </c>
      <c r="B2121" s="800" t="s">
        <v>38</v>
      </c>
      <c r="C2121" s="800" t="s">
        <v>7738</v>
      </c>
      <c r="D2121" s="800" t="s">
        <v>21668</v>
      </c>
      <c r="E2121" s="801">
        <v>43077</v>
      </c>
      <c r="F2121" s="800" t="s">
        <v>21572</v>
      </c>
      <c r="G2121" s="800" t="s">
        <v>21669</v>
      </c>
      <c r="H2121" s="800" t="s">
        <v>10433</v>
      </c>
      <c r="I2121" s="800" t="s">
        <v>10433</v>
      </c>
      <c r="J2121" s="800" t="s">
        <v>10664</v>
      </c>
      <c r="K2121" s="800">
        <v>1</v>
      </c>
      <c r="L2121" s="802" t="s">
        <v>10398</v>
      </c>
      <c r="M2121" s="802" t="s">
        <v>21670</v>
      </c>
      <c r="N2121" s="802" t="s">
        <v>16287</v>
      </c>
      <c r="O2121" s="802" t="s">
        <v>21671</v>
      </c>
      <c r="P2121" s="807" t="s">
        <v>21672</v>
      </c>
    </row>
    <row r="2122" spans="1:16" s="341" customFormat="1" ht="25.5" customHeight="1">
      <c r="A2122" s="806" t="s">
        <v>110</v>
      </c>
      <c r="B2122" s="800" t="s">
        <v>38</v>
      </c>
      <c r="C2122" s="800" t="s">
        <v>7738</v>
      </c>
      <c r="D2122" s="800" t="s">
        <v>21673</v>
      </c>
      <c r="E2122" s="801">
        <v>43079</v>
      </c>
      <c r="F2122" s="800" t="s">
        <v>21674</v>
      </c>
      <c r="G2122" s="800" t="s">
        <v>21675</v>
      </c>
      <c r="H2122" s="800" t="s">
        <v>10396</v>
      </c>
      <c r="I2122" s="800" t="s">
        <v>10396</v>
      </c>
      <c r="J2122" s="800" t="s">
        <v>10397</v>
      </c>
      <c r="K2122" s="800">
        <v>1</v>
      </c>
      <c r="L2122" s="802" t="s">
        <v>10398</v>
      </c>
      <c r="M2122" s="802" t="s">
        <v>21676</v>
      </c>
      <c r="N2122" s="802" t="s">
        <v>21677</v>
      </c>
      <c r="O2122" s="802" t="s">
        <v>21678</v>
      </c>
      <c r="P2122" s="807" t="s">
        <v>32</v>
      </c>
    </row>
    <row r="2123" spans="1:16" s="341" customFormat="1" ht="25.5" customHeight="1">
      <c r="A2123" s="806" t="s">
        <v>110</v>
      </c>
      <c r="B2123" s="800" t="s">
        <v>38</v>
      </c>
      <c r="C2123" s="800" t="s">
        <v>7738</v>
      </c>
      <c r="D2123" s="800" t="s">
        <v>21679</v>
      </c>
      <c r="E2123" s="801">
        <v>43049</v>
      </c>
      <c r="F2123" s="800" t="s">
        <v>813</v>
      </c>
      <c r="G2123" s="800" t="s">
        <v>21680</v>
      </c>
      <c r="H2123" s="800" t="s">
        <v>10404</v>
      </c>
      <c r="I2123" s="800" t="s">
        <v>10404</v>
      </c>
      <c r="J2123" s="800" t="s">
        <v>10405</v>
      </c>
      <c r="K2123" s="800">
        <v>1</v>
      </c>
      <c r="L2123" s="802" t="s">
        <v>10398</v>
      </c>
      <c r="M2123" s="802" t="s">
        <v>21681</v>
      </c>
      <c r="N2123" s="802" t="s">
        <v>10957</v>
      </c>
      <c r="O2123" s="802" t="s">
        <v>21682</v>
      </c>
      <c r="P2123" s="807" t="s">
        <v>32</v>
      </c>
    </row>
    <row r="2124" spans="1:16" s="341" customFormat="1" ht="25.5" customHeight="1">
      <c r="A2124" s="806" t="s">
        <v>110</v>
      </c>
      <c r="B2124" s="800" t="s">
        <v>38</v>
      </c>
      <c r="C2124" s="800" t="s">
        <v>7738</v>
      </c>
      <c r="D2124" s="800" t="s">
        <v>21683</v>
      </c>
      <c r="E2124" s="801">
        <v>43049</v>
      </c>
      <c r="F2124" s="800" t="s">
        <v>813</v>
      </c>
      <c r="G2124" s="800" t="s">
        <v>21680</v>
      </c>
      <c r="H2124" s="800" t="s">
        <v>10433</v>
      </c>
      <c r="I2124" s="800" t="s">
        <v>10433</v>
      </c>
      <c r="J2124" s="800" t="s">
        <v>4342</v>
      </c>
      <c r="K2124" s="800">
        <v>1</v>
      </c>
      <c r="L2124" s="802" t="s">
        <v>10398</v>
      </c>
      <c r="M2124" s="802" t="s">
        <v>21684</v>
      </c>
      <c r="N2124" s="802" t="s">
        <v>21685</v>
      </c>
      <c r="O2124" s="802" t="s">
        <v>21686</v>
      </c>
      <c r="P2124" s="807" t="s">
        <v>21687</v>
      </c>
    </row>
    <row r="2125" spans="1:16" s="341" customFormat="1" ht="25.5" customHeight="1">
      <c r="A2125" s="806" t="s">
        <v>110</v>
      </c>
      <c r="B2125" s="800" t="s">
        <v>38</v>
      </c>
      <c r="C2125" s="800" t="s">
        <v>7738</v>
      </c>
      <c r="D2125" s="800" t="s">
        <v>21688</v>
      </c>
      <c r="E2125" s="801">
        <v>43049</v>
      </c>
      <c r="F2125" s="800" t="s">
        <v>21174</v>
      </c>
      <c r="G2125" s="800" t="s">
        <v>21689</v>
      </c>
      <c r="H2125" s="800" t="s">
        <v>10404</v>
      </c>
      <c r="I2125" s="800" t="s">
        <v>10404</v>
      </c>
      <c r="J2125" s="800" t="s">
        <v>10405</v>
      </c>
      <c r="K2125" s="800">
        <v>1</v>
      </c>
      <c r="L2125" s="802" t="s">
        <v>10398</v>
      </c>
      <c r="M2125" s="802" t="s">
        <v>21690</v>
      </c>
      <c r="N2125" s="802" t="s">
        <v>16475</v>
      </c>
      <c r="O2125" s="802" t="s">
        <v>21691</v>
      </c>
      <c r="P2125" s="807" t="s">
        <v>32</v>
      </c>
    </row>
    <row r="2126" spans="1:16" s="341" customFormat="1" ht="25.5" customHeight="1">
      <c r="A2126" s="806" t="s">
        <v>110</v>
      </c>
      <c r="B2126" s="800" t="s">
        <v>38</v>
      </c>
      <c r="C2126" s="800" t="s">
        <v>7738</v>
      </c>
      <c r="D2126" s="800" t="s">
        <v>21692</v>
      </c>
      <c r="E2126" s="801">
        <v>43041</v>
      </c>
      <c r="F2126" s="800" t="s">
        <v>11790</v>
      </c>
      <c r="G2126" s="800" t="s">
        <v>21693</v>
      </c>
      <c r="H2126" s="800" t="s">
        <v>10396</v>
      </c>
      <c r="I2126" s="800" t="s">
        <v>10396</v>
      </c>
      <c r="J2126" s="800" t="s">
        <v>10397</v>
      </c>
      <c r="K2126" s="800">
        <v>1</v>
      </c>
      <c r="L2126" s="802" t="s">
        <v>10398</v>
      </c>
      <c r="M2126" s="802" t="s">
        <v>21694</v>
      </c>
      <c r="N2126" s="802" t="s">
        <v>21695</v>
      </c>
      <c r="O2126" s="802" t="s">
        <v>21696</v>
      </c>
      <c r="P2126" s="807" t="s">
        <v>21697</v>
      </c>
    </row>
    <row r="2127" spans="1:16" s="341" customFormat="1" ht="25.5" customHeight="1">
      <c r="A2127" s="806" t="s">
        <v>110</v>
      </c>
      <c r="B2127" s="800" t="s">
        <v>38</v>
      </c>
      <c r="C2127" s="800" t="s">
        <v>7738</v>
      </c>
      <c r="D2127" s="800" t="s">
        <v>21698</v>
      </c>
      <c r="E2127" s="801">
        <v>43049</v>
      </c>
      <c r="F2127" s="800" t="s">
        <v>813</v>
      </c>
      <c r="G2127" s="800" t="s">
        <v>21699</v>
      </c>
      <c r="H2127" s="800" t="s">
        <v>10404</v>
      </c>
      <c r="I2127" s="800" t="s">
        <v>10404</v>
      </c>
      <c r="J2127" s="800" t="s">
        <v>10405</v>
      </c>
      <c r="K2127" s="800">
        <v>1</v>
      </c>
      <c r="L2127" s="802" t="s">
        <v>10398</v>
      </c>
      <c r="M2127" s="802" t="s">
        <v>21700</v>
      </c>
      <c r="N2127" s="802" t="s">
        <v>21185</v>
      </c>
      <c r="O2127" s="802" t="s">
        <v>13950</v>
      </c>
      <c r="P2127" s="807" t="s">
        <v>21362</v>
      </c>
    </row>
    <row r="2128" spans="1:16" s="341" customFormat="1" ht="25.5" customHeight="1">
      <c r="A2128" s="806" t="s">
        <v>110</v>
      </c>
      <c r="B2128" s="800" t="s">
        <v>38</v>
      </c>
      <c r="C2128" s="800" t="s">
        <v>7738</v>
      </c>
      <c r="D2128" s="800" t="s">
        <v>21701</v>
      </c>
      <c r="E2128" s="801">
        <v>43046</v>
      </c>
      <c r="F2128" s="800" t="s">
        <v>21702</v>
      </c>
      <c r="G2128" s="800" t="s">
        <v>21703</v>
      </c>
      <c r="H2128" s="800" t="s">
        <v>10433</v>
      </c>
      <c r="I2128" s="800" t="s">
        <v>10433</v>
      </c>
      <c r="J2128" s="800" t="s">
        <v>4342</v>
      </c>
      <c r="K2128" s="800">
        <v>1</v>
      </c>
      <c r="L2128" s="802" t="s">
        <v>10398</v>
      </c>
      <c r="M2128" s="802" t="s">
        <v>21704</v>
      </c>
      <c r="N2128" s="802" t="s">
        <v>21204</v>
      </c>
      <c r="O2128" s="802" t="s">
        <v>21705</v>
      </c>
      <c r="P2128" s="807" t="s">
        <v>21706</v>
      </c>
    </row>
    <row r="2129" spans="1:16" s="341" customFormat="1" ht="25.5" customHeight="1">
      <c r="A2129" s="806" t="s">
        <v>110</v>
      </c>
      <c r="B2129" s="800" t="s">
        <v>38</v>
      </c>
      <c r="C2129" s="800" t="s">
        <v>7738</v>
      </c>
      <c r="D2129" s="800" t="s">
        <v>21707</v>
      </c>
      <c r="E2129" s="801">
        <v>43046</v>
      </c>
      <c r="F2129" s="800" t="s">
        <v>21702</v>
      </c>
      <c r="G2129" s="800" t="s">
        <v>32</v>
      </c>
      <c r="H2129" s="800" t="s">
        <v>10433</v>
      </c>
      <c r="I2129" s="800" t="s">
        <v>10433</v>
      </c>
      <c r="J2129" s="800" t="s">
        <v>4342</v>
      </c>
      <c r="K2129" s="800">
        <v>1</v>
      </c>
      <c r="L2129" s="802" t="s">
        <v>10398</v>
      </c>
      <c r="M2129" s="802" t="s">
        <v>32</v>
      </c>
      <c r="N2129" s="802" t="s">
        <v>15411</v>
      </c>
      <c r="O2129" s="802" t="s">
        <v>21708</v>
      </c>
      <c r="P2129" s="807" t="s">
        <v>21709</v>
      </c>
    </row>
    <row r="2130" spans="1:16" s="341" customFormat="1" ht="25.5" customHeight="1">
      <c r="A2130" s="806" t="s">
        <v>110</v>
      </c>
      <c r="B2130" s="800" t="s">
        <v>38</v>
      </c>
      <c r="C2130" s="800" t="s">
        <v>7738</v>
      </c>
      <c r="D2130" s="800" t="s">
        <v>21710</v>
      </c>
      <c r="E2130" s="801">
        <v>43076</v>
      </c>
      <c r="F2130" s="800" t="s">
        <v>21711</v>
      </c>
      <c r="G2130" s="800" t="s">
        <v>21712</v>
      </c>
      <c r="H2130" s="800" t="s">
        <v>10396</v>
      </c>
      <c r="I2130" s="800" t="s">
        <v>10396</v>
      </c>
      <c r="J2130" s="800" t="s">
        <v>10397</v>
      </c>
      <c r="K2130" s="800">
        <v>1</v>
      </c>
      <c r="L2130" s="802" t="s">
        <v>10398</v>
      </c>
      <c r="M2130" s="802" t="s">
        <v>21713</v>
      </c>
      <c r="N2130" s="802" t="s">
        <v>10848</v>
      </c>
      <c r="O2130" s="802" t="s">
        <v>21705</v>
      </c>
      <c r="P2130" s="807" t="s">
        <v>21714</v>
      </c>
    </row>
    <row r="2131" spans="1:16" s="341" customFormat="1" ht="25.5" customHeight="1">
      <c r="A2131" s="806" t="s">
        <v>110</v>
      </c>
      <c r="B2131" s="800" t="s">
        <v>38</v>
      </c>
      <c r="C2131" s="800" t="s">
        <v>7738</v>
      </c>
      <c r="D2131" s="800" t="s">
        <v>21715</v>
      </c>
      <c r="E2131" s="801">
        <v>43046</v>
      </c>
      <c r="F2131" s="800" t="s">
        <v>21716</v>
      </c>
      <c r="G2131" s="800" t="s">
        <v>21717</v>
      </c>
      <c r="H2131" s="800" t="s">
        <v>10531</v>
      </c>
      <c r="I2131" s="800" t="s">
        <v>10531</v>
      </c>
      <c r="J2131" s="800" t="s">
        <v>10397</v>
      </c>
      <c r="K2131" s="800">
        <v>1</v>
      </c>
      <c r="L2131" s="802" t="s">
        <v>10398</v>
      </c>
      <c r="M2131" s="802" t="s">
        <v>21718</v>
      </c>
      <c r="N2131" s="802" t="s">
        <v>21719</v>
      </c>
      <c r="O2131" s="802" t="s">
        <v>21720</v>
      </c>
      <c r="P2131" s="807" t="s">
        <v>32</v>
      </c>
    </row>
    <row r="2132" spans="1:16" s="341" customFormat="1" ht="25.5" customHeight="1">
      <c r="A2132" s="806" t="s">
        <v>110</v>
      </c>
      <c r="B2132" s="800" t="s">
        <v>38</v>
      </c>
      <c r="C2132" s="800" t="s">
        <v>7738</v>
      </c>
      <c r="D2132" s="800" t="s">
        <v>21721</v>
      </c>
      <c r="E2132" s="801">
        <v>43046</v>
      </c>
      <c r="F2132" s="800" t="s">
        <v>21722</v>
      </c>
      <c r="G2132" s="800" t="s">
        <v>21723</v>
      </c>
      <c r="H2132" s="800" t="s">
        <v>10433</v>
      </c>
      <c r="I2132" s="800" t="s">
        <v>10433</v>
      </c>
      <c r="J2132" s="800" t="s">
        <v>10397</v>
      </c>
      <c r="K2132" s="800">
        <v>1</v>
      </c>
      <c r="L2132" s="802" t="s">
        <v>10398</v>
      </c>
      <c r="M2132" s="802" t="s">
        <v>21724</v>
      </c>
      <c r="N2132" s="802" t="s">
        <v>12406</v>
      </c>
      <c r="O2132" s="802" t="s">
        <v>21725</v>
      </c>
      <c r="P2132" s="807" t="s">
        <v>21726</v>
      </c>
    </row>
    <row r="2133" spans="1:16" s="341" customFormat="1" ht="25.5" customHeight="1">
      <c r="A2133" s="806" t="s">
        <v>110</v>
      </c>
      <c r="B2133" s="800" t="s">
        <v>38</v>
      </c>
      <c r="C2133" s="800" t="s">
        <v>7738</v>
      </c>
      <c r="D2133" s="800" t="s">
        <v>21727</v>
      </c>
      <c r="E2133" s="801">
        <v>43046</v>
      </c>
      <c r="F2133" s="800" t="s">
        <v>21722</v>
      </c>
      <c r="G2133" s="800" t="s">
        <v>21728</v>
      </c>
      <c r="H2133" s="800" t="s">
        <v>10404</v>
      </c>
      <c r="I2133" s="800" t="s">
        <v>10404</v>
      </c>
      <c r="J2133" s="800" t="s">
        <v>10405</v>
      </c>
      <c r="K2133" s="800">
        <v>1</v>
      </c>
      <c r="L2133" s="802" t="s">
        <v>10398</v>
      </c>
      <c r="M2133" s="802" t="s">
        <v>21729</v>
      </c>
      <c r="N2133" s="802" t="s">
        <v>12380</v>
      </c>
      <c r="O2133" s="802" t="s">
        <v>21730</v>
      </c>
      <c r="P2133" s="807" t="s">
        <v>21731</v>
      </c>
    </row>
    <row r="2134" spans="1:16" s="341" customFormat="1" ht="25.5" customHeight="1">
      <c r="A2134" s="806" t="s">
        <v>110</v>
      </c>
      <c r="B2134" s="800" t="s">
        <v>38</v>
      </c>
      <c r="C2134" s="800" t="s">
        <v>7738</v>
      </c>
      <c r="D2134" s="800" t="s">
        <v>21732</v>
      </c>
      <c r="E2134" s="801">
        <v>43076</v>
      </c>
      <c r="F2134" s="800" t="s">
        <v>21733</v>
      </c>
      <c r="G2134" s="800" t="s">
        <v>21734</v>
      </c>
      <c r="H2134" s="800" t="s">
        <v>10531</v>
      </c>
      <c r="I2134" s="800" t="s">
        <v>10531</v>
      </c>
      <c r="J2134" s="800" t="s">
        <v>10397</v>
      </c>
      <c r="K2134" s="800">
        <v>1</v>
      </c>
      <c r="L2134" s="802" t="s">
        <v>10398</v>
      </c>
      <c r="M2134" s="802" t="s">
        <v>21735</v>
      </c>
      <c r="N2134" s="802" t="s">
        <v>21736</v>
      </c>
      <c r="O2134" s="802" t="s">
        <v>21737</v>
      </c>
      <c r="P2134" s="807" t="s">
        <v>21738</v>
      </c>
    </row>
    <row r="2135" spans="1:16" s="341" customFormat="1" ht="25.5" customHeight="1">
      <c r="A2135" s="806" t="s">
        <v>110</v>
      </c>
      <c r="B2135" s="800" t="s">
        <v>38</v>
      </c>
      <c r="C2135" s="800" t="s">
        <v>7738</v>
      </c>
      <c r="D2135" s="800" t="s">
        <v>21739</v>
      </c>
      <c r="E2135" s="801">
        <v>43046</v>
      </c>
      <c r="F2135" s="800" t="s">
        <v>21733</v>
      </c>
      <c r="G2135" s="800" t="s">
        <v>21740</v>
      </c>
      <c r="H2135" s="800" t="s">
        <v>10404</v>
      </c>
      <c r="I2135" s="800" t="s">
        <v>10404</v>
      </c>
      <c r="J2135" s="800" t="s">
        <v>10405</v>
      </c>
      <c r="K2135" s="800">
        <v>1</v>
      </c>
      <c r="L2135" s="802" t="s">
        <v>10398</v>
      </c>
      <c r="M2135" s="802" t="s">
        <v>21741</v>
      </c>
      <c r="N2135" s="802" t="s">
        <v>21742</v>
      </c>
      <c r="O2135" s="802" t="s">
        <v>21743</v>
      </c>
      <c r="P2135" s="807" t="s">
        <v>21744</v>
      </c>
    </row>
    <row r="2136" spans="1:16" s="341" customFormat="1" ht="25.5" customHeight="1">
      <c r="A2136" s="806" t="s">
        <v>110</v>
      </c>
      <c r="B2136" s="800" t="s">
        <v>38</v>
      </c>
      <c r="C2136" s="800" t="s">
        <v>7738</v>
      </c>
      <c r="D2136" s="800" t="s">
        <v>21745</v>
      </c>
      <c r="E2136" s="801">
        <v>43046</v>
      </c>
      <c r="F2136" s="800" t="s">
        <v>21733</v>
      </c>
      <c r="G2136" s="800" t="s">
        <v>21746</v>
      </c>
      <c r="H2136" s="800" t="s">
        <v>10531</v>
      </c>
      <c r="I2136" s="800" t="s">
        <v>10531</v>
      </c>
      <c r="J2136" s="800" t="s">
        <v>10397</v>
      </c>
      <c r="K2136" s="800">
        <v>1</v>
      </c>
      <c r="L2136" s="802" t="s">
        <v>10398</v>
      </c>
      <c r="M2136" s="802" t="s">
        <v>21747</v>
      </c>
      <c r="N2136" s="802" t="s">
        <v>11474</v>
      </c>
      <c r="O2136" s="802" t="s">
        <v>21748</v>
      </c>
      <c r="P2136" s="807" t="s">
        <v>21749</v>
      </c>
    </row>
    <row r="2137" spans="1:16" s="341" customFormat="1" ht="25.5" customHeight="1">
      <c r="A2137" s="806" t="s">
        <v>110</v>
      </c>
      <c r="B2137" s="800" t="s">
        <v>38</v>
      </c>
      <c r="C2137" s="800" t="s">
        <v>7738</v>
      </c>
      <c r="D2137" s="800" t="s">
        <v>21750</v>
      </c>
      <c r="E2137" s="801">
        <v>43046</v>
      </c>
      <c r="F2137" s="800" t="s">
        <v>813</v>
      </c>
      <c r="G2137" s="800" t="s">
        <v>21751</v>
      </c>
      <c r="H2137" s="800" t="s">
        <v>10531</v>
      </c>
      <c r="I2137" s="800" t="s">
        <v>10531</v>
      </c>
      <c r="J2137" s="800" t="s">
        <v>10397</v>
      </c>
      <c r="K2137" s="800">
        <v>1</v>
      </c>
      <c r="L2137" s="802" t="s">
        <v>10398</v>
      </c>
      <c r="M2137" s="802" t="s">
        <v>21752</v>
      </c>
      <c r="N2137" s="802" t="s">
        <v>19002</v>
      </c>
      <c r="O2137" s="802" t="s">
        <v>20002</v>
      </c>
      <c r="P2137" s="807" t="s">
        <v>21753</v>
      </c>
    </row>
    <row r="2138" spans="1:16" s="341" customFormat="1" ht="25.5" customHeight="1">
      <c r="A2138" s="806" t="s">
        <v>110</v>
      </c>
      <c r="B2138" s="800" t="s">
        <v>38</v>
      </c>
      <c r="C2138" s="800" t="s">
        <v>7738</v>
      </c>
      <c r="D2138" s="800" t="s">
        <v>21754</v>
      </c>
      <c r="E2138" s="801">
        <v>43046</v>
      </c>
      <c r="F2138" s="800" t="s">
        <v>21755</v>
      </c>
      <c r="G2138" s="800" t="s">
        <v>21756</v>
      </c>
      <c r="H2138" s="800" t="s">
        <v>10531</v>
      </c>
      <c r="I2138" s="800" t="s">
        <v>10531</v>
      </c>
      <c r="J2138" s="800" t="s">
        <v>10397</v>
      </c>
      <c r="K2138" s="800">
        <v>1</v>
      </c>
      <c r="L2138" s="802" t="s">
        <v>10398</v>
      </c>
      <c r="M2138" s="802" t="s">
        <v>21757</v>
      </c>
      <c r="N2138" s="802" t="s">
        <v>21758</v>
      </c>
      <c r="O2138" s="802" t="s">
        <v>21759</v>
      </c>
      <c r="P2138" s="807" t="s">
        <v>32</v>
      </c>
    </row>
    <row r="2139" spans="1:16" s="341" customFormat="1" ht="25.5" customHeight="1">
      <c r="A2139" s="806" t="s">
        <v>110</v>
      </c>
      <c r="B2139" s="800" t="s">
        <v>38</v>
      </c>
      <c r="C2139" s="800" t="s">
        <v>7738</v>
      </c>
      <c r="D2139" s="800" t="s">
        <v>21760</v>
      </c>
      <c r="E2139" s="801">
        <v>43046</v>
      </c>
      <c r="F2139" s="800" t="s">
        <v>813</v>
      </c>
      <c r="G2139" s="800" t="s">
        <v>21761</v>
      </c>
      <c r="H2139" s="800" t="s">
        <v>10396</v>
      </c>
      <c r="I2139" s="800" t="s">
        <v>10396</v>
      </c>
      <c r="J2139" s="800" t="s">
        <v>10397</v>
      </c>
      <c r="K2139" s="800">
        <v>1</v>
      </c>
      <c r="L2139" s="802" t="s">
        <v>10398</v>
      </c>
      <c r="M2139" s="802" t="s">
        <v>21762</v>
      </c>
      <c r="N2139" s="802" t="s">
        <v>21763</v>
      </c>
      <c r="O2139" s="802" t="s">
        <v>21764</v>
      </c>
      <c r="P2139" s="807" t="s">
        <v>21765</v>
      </c>
    </row>
    <row r="2140" spans="1:16" s="341" customFormat="1" ht="25.5" customHeight="1">
      <c r="A2140" s="806" t="s">
        <v>110</v>
      </c>
      <c r="B2140" s="800" t="s">
        <v>38</v>
      </c>
      <c r="C2140" s="800" t="s">
        <v>7738</v>
      </c>
      <c r="D2140" s="800" t="s">
        <v>21766</v>
      </c>
      <c r="E2140" s="801">
        <v>43046</v>
      </c>
      <c r="F2140" s="800" t="s">
        <v>813</v>
      </c>
      <c r="G2140" s="800" t="s">
        <v>21767</v>
      </c>
      <c r="H2140" s="800" t="s">
        <v>10531</v>
      </c>
      <c r="I2140" s="800" t="s">
        <v>10531</v>
      </c>
      <c r="J2140" s="800" t="s">
        <v>10397</v>
      </c>
      <c r="K2140" s="800">
        <v>3</v>
      </c>
      <c r="L2140" s="802" t="s">
        <v>10398</v>
      </c>
      <c r="M2140" s="802" t="s">
        <v>21768</v>
      </c>
      <c r="N2140" s="802" t="s">
        <v>21769</v>
      </c>
      <c r="O2140" s="802" t="s">
        <v>21770</v>
      </c>
      <c r="P2140" s="807" t="s">
        <v>21771</v>
      </c>
    </row>
    <row r="2141" spans="1:16" s="341" customFormat="1" ht="25.5" customHeight="1">
      <c r="A2141" s="806" t="s">
        <v>110</v>
      </c>
      <c r="B2141" s="800" t="s">
        <v>38</v>
      </c>
      <c r="C2141" s="800" t="s">
        <v>7738</v>
      </c>
      <c r="D2141" s="800" t="s">
        <v>21766</v>
      </c>
      <c r="E2141" s="801">
        <v>43046</v>
      </c>
      <c r="F2141" s="800" t="s">
        <v>813</v>
      </c>
      <c r="G2141" s="800" t="s">
        <v>21767</v>
      </c>
      <c r="H2141" s="800" t="s">
        <v>10531</v>
      </c>
      <c r="I2141" s="800" t="s">
        <v>10531</v>
      </c>
      <c r="J2141" s="800" t="s">
        <v>10397</v>
      </c>
      <c r="K2141" s="800">
        <v>3</v>
      </c>
      <c r="L2141" s="802" t="s">
        <v>10398</v>
      </c>
      <c r="M2141" s="802" t="s">
        <v>21772</v>
      </c>
      <c r="N2141" s="802" t="s">
        <v>21773</v>
      </c>
      <c r="O2141" s="802" t="s">
        <v>21774</v>
      </c>
      <c r="P2141" s="807" t="s">
        <v>21771</v>
      </c>
    </row>
    <row r="2142" spans="1:16" s="341" customFormat="1" ht="25.5" customHeight="1">
      <c r="A2142" s="806" t="s">
        <v>110</v>
      </c>
      <c r="B2142" s="800" t="s">
        <v>38</v>
      </c>
      <c r="C2142" s="800" t="s">
        <v>7738</v>
      </c>
      <c r="D2142" s="800" t="s">
        <v>21766</v>
      </c>
      <c r="E2142" s="801">
        <v>43046</v>
      </c>
      <c r="F2142" s="800" t="s">
        <v>813</v>
      </c>
      <c r="G2142" s="800" t="s">
        <v>21767</v>
      </c>
      <c r="H2142" s="800" t="s">
        <v>10531</v>
      </c>
      <c r="I2142" s="800" t="s">
        <v>10531</v>
      </c>
      <c r="J2142" s="800" t="s">
        <v>10397</v>
      </c>
      <c r="K2142" s="800">
        <v>3</v>
      </c>
      <c r="L2142" s="802" t="s">
        <v>10398</v>
      </c>
      <c r="M2142" s="802"/>
      <c r="N2142" s="802" t="s">
        <v>21775</v>
      </c>
      <c r="O2142" s="802" t="s">
        <v>21770</v>
      </c>
      <c r="P2142" s="807" t="s">
        <v>21771</v>
      </c>
    </row>
    <row r="2143" spans="1:16" s="341" customFormat="1" ht="25.5" customHeight="1">
      <c r="A2143" s="806" t="s">
        <v>110</v>
      </c>
      <c r="B2143" s="800" t="s">
        <v>38</v>
      </c>
      <c r="C2143" s="800" t="s">
        <v>7738</v>
      </c>
      <c r="D2143" s="800" t="s">
        <v>21776</v>
      </c>
      <c r="E2143" s="801">
        <v>43046</v>
      </c>
      <c r="F2143" s="800" t="s">
        <v>813</v>
      </c>
      <c r="G2143" s="800" t="s">
        <v>21777</v>
      </c>
      <c r="H2143" s="800" t="s">
        <v>10531</v>
      </c>
      <c r="I2143" s="800" t="s">
        <v>10531</v>
      </c>
      <c r="J2143" s="800" t="s">
        <v>10397</v>
      </c>
      <c r="K2143" s="800">
        <v>1</v>
      </c>
      <c r="L2143" s="802" t="s">
        <v>10398</v>
      </c>
      <c r="M2143" s="802" t="s">
        <v>21778</v>
      </c>
      <c r="N2143" s="802" t="s">
        <v>10945</v>
      </c>
      <c r="O2143" s="802" t="s">
        <v>21779</v>
      </c>
      <c r="P2143" s="807" t="s">
        <v>21780</v>
      </c>
    </row>
    <row r="2144" spans="1:16" s="341" customFormat="1" ht="25.5" customHeight="1">
      <c r="A2144" s="806" t="s">
        <v>110</v>
      </c>
      <c r="B2144" s="800" t="s">
        <v>38</v>
      </c>
      <c r="C2144" s="800" t="s">
        <v>7738</v>
      </c>
      <c r="D2144" s="800" t="s">
        <v>21781</v>
      </c>
      <c r="E2144" s="801">
        <v>43046</v>
      </c>
      <c r="F2144" s="800" t="s">
        <v>6204</v>
      </c>
      <c r="G2144" s="800" t="s">
        <v>21782</v>
      </c>
      <c r="H2144" s="800" t="s">
        <v>10396</v>
      </c>
      <c r="I2144" s="800" t="s">
        <v>10396</v>
      </c>
      <c r="J2144" s="800" t="s">
        <v>10397</v>
      </c>
      <c r="K2144" s="800">
        <v>1</v>
      </c>
      <c r="L2144" s="802" t="s">
        <v>10398</v>
      </c>
      <c r="M2144" s="802" t="s">
        <v>21783</v>
      </c>
      <c r="N2144" s="802" t="s">
        <v>21784</v>
      </c>
      <c r="O2144" s="802" t="s">
        <v>21785</v>
      </c>
      <c r="P2144" s="807" t="s">
        <v>32</v>
      </c>
    </row>
    <row r="2145" spans="1:16" s="341" customFormat="1" ht="25.5" customHeight="1">
      <c r="A2145" s="806" t="s">
        <v>110</v>
      </c>
      <c r="B2145" s="800" t="s">
        <v>38</v>
      </c>
      <c r="C2145" s="800" t="s">
        <v>7738</v>
      </c>
      <c r="D2145" s="800" t="s">
        <v>21786</v>
      </c>
      <c r="E2145" s="801">
        <v>43046</v>
      </c>
      <c r="F2145" s="800" t="s">
        <v>813</v>
      </c>
      <c r="G2145" s="800" t="s">
        <v>21787</v>
      </c>
      <c r="H2145" s="800" t="s">
        <v>10531</v>
      </c>
      <c r="I2145" s="800" t="s">
        <v>10531</v>
      </c>
      <c r="J2145" s="800" t="s">
        <v>10397</v>
      </c>
      <c r="K2145" s="800">
        <v>1</v>
      </c>
      <c r="L2145" s="802" t="s">
        <v>10398</v>
      </c>
      <c r="M2145" s="802" t="s">
        <v>21788</v>
      </c>
      <c r="N2145" s="802" t="s">
        <v>21789</v>
      </c>
      <c r="O2145" s="802" t="s">
        <v>21790</v>
      </c>
      <c r="P2145" s="807" t="s">
        <v>21791</v>
      </c>
    </row>
    <row r="2146" spans="1:16" s="341" customFormat="1" ht="25.5" customHeight="1">
      <c r="A2146" s="806" t="s">
        <v>110</v>
      </c>
      <c r="B2146" s="800" t="s">
        <v>38</v>
      </c>
      <c r="C2146" s="800" t="s">
        <v>7738</v>
      </c>
      <c r="D2146" s="800" t="s">
        <v>21792</v>
      </c>
      <c r="E2146" s="801">
        <v>43046</v>
      </c>
      <c r="F2146" s="800" t="s">
        <v>813</v>
      </c>
      <c r="G2146" s="800" t="s">
        <v>21793</v>
      </c>
      <c r="H2146" s="800" t="s">
        <v>10396</v>
      </c>
      <c r="I2146" s="800" t="s">
        <v>10396</v>
      </c>
      <c r="J2146" s="800" t="s">
        <v>10397</v>
      </c>
      <c r="K2146" s="800">
        <v>1</v>
      </c>
      <c r="L2146" s="802" t="s">
        <v>10398</v>
      </c>
      <c r="M2146" s="802" t="s">
        <v>21794</v>
      </c>
      <c r="N2146" s="802" t="s">
        <v>12729</v>
      </c>
      <c r="O2146" s="802" t="s">
        <v>21795</v>
      </c>
      <c r="P2146" s="807" t="s">
        <v>21796</v>
      </c>
    </row>
    <row r="2147" spans="1:16" s="341" customFormat="1" ht="25.5" customHeight="1">
      <c r="A2147" s="806" t="s">
        <v>110</v>
      </c>
      <c r="B2147" s="800" t="s">
        <v>38</v>
      </c>
      <c r="C2147" s="800" t="s">
        <v>7738</v>
      </c>
      <c r="D2147" s="800" t="s">
        <v>21797</v>
      </c>
      <c r="E2147" s="801">
        <v>43077</v>
      </c>
      <c r="F2147" s="800" t="s">
        <v>21798</v>
      </c>
      <c r="G2147" s="800" t="s">
        <v>21799</v>
      </c>
      <c r="H2147" s="800" t="s">
        <v>10396</v>
      </c>
      <c r="I2147" s="800" t="s">
        <v>10396</v>
      </c>
      <c r="J2147" s="800" t="s">
        <v>10397</v>
      </c>
      <c r="K2147" s="800">
        <v>1</v>
      </c>
      <c r="L2147" s="802" t="s">
        <v>10398</v>
      </c>
      <c r="M2147" s="802" t="s">
        <v>21800</v>
      </c>
      <c r="N2147" s="802" t="s">
        <v>11010</v>
      </c>
      <c r="O2147" s="802" t="s">
        <v>21801</v>
      </c>
      <c r="P2147" s="807" t="s">
        <v>21802</v>
      </c>
    </row>
    <row r="2148" spans="1:16" s="341" customFormat="1" ht="25.5" customHeight="1">
      <c r="A2148" s="806" t="s">
        <v>110</v>
      </c>
      <c r="B2148" s="800" t="s">
        <v>38</v>
      </c>
      <c r="C2148" s="800" t="s">
        <v>7738</v>
      </c>
      <c r="D2148" s="800" t="s">
        <v>21803</v>
      </c>
      <c r="E2148" s="801">
        <v>43047</v>
      </c>
      <c r="F2148" s="800" t="s">
        <v>21804</v>
      </c>
      <c r="G2148" s="800" t="s">
        <v>21805</v>
      </c>
      <c r="H2148" s="800" t="s">
        <v>10531</v>
      </c>
      <c r="I2148" s="800" t="s">
        <v>10531</v>
      </c>
      <c r="J2148" s="800" t="s">
        <v>10397</v>
      </c>
      <c r="K2148" s="800">
        <v>1</v>
      </c>
      <c r="L2148" s="802" t="s">
        <v>10398</v>
      </c>
      <c r="M2148" s="802" t="s">
        <v>21806</v>
      </c>
      <c r="N2148" s="802" t="s">
        <v>16464</v>
      </c>
      <c r="O2148" s="802" t="s">
        <v>21807</v>
      </c>
      <c r="P2148" s="807" t="s">
        <v>21808</v>
      </c>
    </row>
    <row r="2149" spans="1:16" s="341" customFormat="1" ht="25.5" customHeight="1">
      <c r="A2149" s="806" t="s">
        <v>110</v>
      </c>
      <c r="B2149" s="800" t="s">
        <v>38</v>
      </c>
      <c r="C2149" s="800" t="s">
        <v>7738</v>
      </c>
      <c r="D2149" s="800" t="s">
        <v>21809</v>
      </c>
      <c r="E2149" s="801">
        <v>43077</v>
      </c>
      <c r="F2149" s="800" t="s">
        <v>21804</v>
      </c>
      <c r="G2149" s="800" t="s">
        <v>21810</v>
      </c>
      <c r="H2149" s="800" t="s">
        <v>10433</v>
      </c>
      <c r="I2149" s="800" t="s">
        <v>10433</v>
      </c>
      <c r="J2149" s="800" t="s">
        <v>10397</v>
      </c>
      <c r="K2149" s="800">
        <v>1</v>
      </c>
      <c r="L2149" s="802" t="s">
        <v>10398</v>
      </c>
      <c r="M2149" s="802" t="s">
        <v>21811</v>
      </c>
      <c r="N2149" s="802" t="s">
        <v>21812</v>
      </c>
      <c r="O2149" s="802" t="s">
        <v>21813</v>
      </c>
      <c r="P2149" s="807" t="s">
        <v>32</v>
      </c>
    </row>
    <row r="2150" spans="1:16" s="341" customFormat="1" ht="25.5" customHeight="1">
      <c r="A2150" s="806" t="s">
        <v>110</v>
      </c>
      <c r="B2150" s="800" t="s">
        <v>38</v>
      </c>
      <c r="C2150" s="800" t="s">
        <v>7738</v>
      </c>
      <c r="D2150" s="800" t="s">
        <v>21814</v>
      </c>
      <c r="E2150" s="801">
        <v>43047</v>
      </c>
      <c r="F2150" s="800" t="s">
        <v>21804</v>
      </c>
      <c r="G2150" s="800" t="s">
        <v>21815</v>
      </c>
      <c r="H2150" s="800" t="s">
        <v>10433</v>
      </c>
      <c r="I2150" s="800" t="s">
        <v>10433</v>
      </c>
      <c r="J2150" s="800" t="s">
        <v>10397</v>
      </c>
      <c r="K2150" s="800">
        <v>1</v>
      </c>
      <c r="L2150" s="802" t="s">
        <v>10398</v>
      </c>
      <c r="M2150" s="802" t="s">
        <v>21816</v>
      </c>
      <c r="N2150" s="802" t="s">
        <v>21817</v>
      </c>
      <c r="O2150" s="802" t="s">
        <v>21818</v>
      </c>
      <c r="P2150" s="807" t="s">
        <v>21819</v>
      </c>
    </row>
    <row r="2151" spans="1:16" s="341" customFormat="1" ht="25.5" customHeight="1">
      <c r="A2151" s="806" t="s">
        <v>110</v>
      </c>
      <c r="B2151" s="800" t="s">
        <v>38</v>
      </c>
      <c r="C2151" s="800" t="s">
        <v>7738</v>
      </c>
      <c r="D2151" s="800" t="s">
        <v>21820</v>
      </c>
      <c r="E2151" s="801">
        <v>43047</v>
      </c>
      <c r="F2151" s="800" t="s">
        <v>21804</v>
      </c>
      <c r="G2151" s="800" t="s">
        <v>21821</v>
      </c>
      <c r="H2151" s="800" t="s">
        <v>10433</v>
      </c>
      <c r="I2151" s="800" t="s">
        <v>10433</v>
      </c>
      <c r="J2151" s="800" t="s">
        <v>4342</v>
      </c>
      <c r="K2151" s="800">
        <v>1</v>
      </c>
      <c r="L2151" s="802" t="s">
        <v>10398</v>
      </c>
      <c r="M2151" s="802" t="s">
        <v>21822</v>
      </c>
      <c r="N2151" s="802" t="s">
        <v>10435</v>
      </c>
      <c r="O2151" s="802" t="s">
        <v>21823</v>
      </c>
      <c r="P2151" s="807" t="s">
        <v>21824</v>
      </c>
    </row>
    <row r="2152" spans="1:16" s="341" customFormat="1" ht="25.5" customHeight="1">
      <c r="A2152" s="806" t="s">
        <v>110</v>
      </c>
      <c r="B2152" s="800" t="s">
        <v>38</v>
      </c>
      <c r="C2152" s="800" t="s">
        <v>7738</v>
      </c>
      <c r="D2152" s="800" t="s">
        <v>21825</v>
      </c>
      <c r="E2152" s="801">
        <v>43047</v>
      </c>
      <c r="F2152" s="800" t="s">
        <v>21826</v>
      </c>
      <c r="G2152" s="800" t="s">
        <v>21827</v>
      </c>
      <c r="H2152" s="800" t="s">
        <v>10396</v>
      </c>
      <c r="I2152" s="800" t="s">
        <v>10396</v>
      </c>
      <c r="J2152" s="800" t="s">
        <v>10397</v>
      </c>
      <c r="K2152" s="800">
        <v>1</v>
      </c>
      <c r="L2152" s="802" t="s">
        <v>10398</v>
      </c>
      <c r="M2152" s="802" t="s">
        <v>21828</v>
      </c>
      <c r="N2152" s="802" t="s">
        <v>11399</v>
      </c>
      <c r="O2152" s="802" t="s">
        <v>21829</v>
      </c>
      <c r="P2152" s="807" t="s">
        <v>21826</v>
      </c>
    </row>
    <row r="2153" spans="1:16" s="341" customFormat="1" ht="25.5" customHeight="1">
      <c r="A2153" s="806" t="s">
        <v>110</v>
      </c>
      <c r="B2153" s="800" t="s">
        <v>38</v>
      </c>
      <c r="C2153" s="800" t="s">
        <v>7738</v>
      </c>
      <c r="D2153" s="800" t="s">
        <v>21830</v>
      </c>
      <c r="E2153" s="801">
        <v>43047</v>
      </c>
      <c r="F2153" s="800" t="s">
        <v>21831</v>
      </c>
      <c r="G2153" s="800" t="s">
        <v>21832</v>
      </c>
      <c r="H2153" s="800" t="s">
        <v>10433</v>
      </c>
      <c r="I2153" s="800" t="s">
        <v>10433</v>
      </c>
      <c r="J2153" s="800" t="s">
        <v>4342</v>
      </c>
      <c r="K2153" s="800">
        <v>1</v>
      </c>
      <c r="L2153" s="802" t="s">
        <v>10398</v>
      </c>
      <c r="M2153" s="802" t="s">
        <v>21833</v>
      </c>
      <c r="N2153" s="802" t="s">
        <v>12191</v>
      </c>
      <c r="O2153" s="802" t="s">
        <v>21834</v>
      </c>
      <c r="P2153" s="807" t="s">
        <v>21835</v>
      </c>
    </row>
    <row r="2154" spans="1:16" s="341" customFormat="1" ht="25.5" customHeight="1">
      <c r="A2154" s="806" t="s">
        <v>110</v>
      </c>
      <c r="B2154" s="800" t="s">
        <v>38</v>
      </c>
      <c r="C2154" s="800" t="s">
        <v>7738</v>
      </c>
      <c r="D2154" s="800" t="s">
        <v>21836</v>
      </c>
      <c r="E2154" s="801">
        <v>43047</v>
      </c>
      <c r="F2154" s="800" t="s">
        <v>21831</v>
      </c>
      <c r="G2154" s="800" t="s">
        <v>21837</v>
      </c>
      <c r="H2154" s="800" t="s">
        <v>10396</v>
      </c>
      <c r="I2154" s="800" t="s">
        <v>10396</v>
      </c>
      <c r="J2154" s="800" t="s">
        <v>10397</v>
      </c>
      <c r="K2154" s="800">
        <v>1</v>
      </c>
      <c r="L2154" s="802" t="s">
        <v>10398</v>
      </c>
      <c r="M2154" s="802" t="s">
        <v>21838</v>
      </c>
      <c r="N2154" s="802" t="s">
        <v>13009</v>
      </c>
      <c r="O2154" s="802" t="s">
        <v>21839</v>
      </c>
      <c r="P2154" s="807" t="s">
        <v>21840</v>
      </c>
    </row>
    <row r="2155" spans="1:16" s="341" customFormat="1" ht="25.5" customHeight="1">
      <c r="A2155" s="806" t="s">
        <v>110</v>
      </c>
      <c r="B2155" s="800" t="s">
        <v>38</v>
      </c>
      <c r="C2155" s="800" t="s">
        <v>7738</v>
      </c>
      <c r="D2155" s="800" t="s">
        <v>21841</v>
      </c>
      <c r="E2155" s="801">
        <v>43047</v>
      </c>
      <c r="F2155" s="800" t="s">
        <v>21831</v>
      </c>
      <c r="G2155" s="800" t="s">
        <v>21842</v>
      </c>
      <c r="H2155" s="800" t="s">
        <v>10433</v>
      </c>
      <c r="I2155" s="800" t="s">
        <v>10433</v>
      </c>
      <c r="J2155" s="800" t="s">
        <v>4342</v>
      </c>
      <c r="K2155" s="800">
        <v>1</v>
      </c>
      <c r="L2155" s="802" t="s">
        <v>10398</v>
      </c>
      <c r="M2155" s="802" t="s">
        <v>21843</v>
      </c>
      <c r="N2155" s="802" t="s">
        <v>14977</v>
      </c>
      <c r="O2155" s="802" t="s">
        <v>21844</v>
      </c>
      <c r="P2155" s="807" t="s">
        <v>21845</v>
      </c>
    </row>
    <row r="2156" spans="1:16" s="341" customFormat="1" ht="25.5" customHeight="1">
      <c r="A2156" s="806" t="s">
        <v>110</v>
      </c>
      <c r="B2156" s="800" t="s">
        <v>38</v>
      </c>
      <c r="C2156" s="800" t="s">
        <v>7738</v>
      </c>
      <c r="D2156" s="800" t="s">
        <v>21846</v>
      </c>
      <c r="E2156" s="801">
        <v>43047</v>
      </c>
      <c r="F2156" s="800" t="s">
        <v>21847</v>
      </c>
      <c r="G2156" s="800" t="s">
        <v>21848</v>
      </c>
      <c r="H2156" s="800" t="s">
        <v>10433</v>
      </c>
      <c r="I2156" s="800" t="s">
        <v>10433</v>
      </c>
      <c r="J2156" s="800" t="s">
        <v>4342</v>
      </c>
      <c r="K2156" s="800">
        <v>1</v>
      </c>
      <c r="L2156" s="802" t="s">
        <v>10398</v>
      </c>
      <c r="M2156" s="802" t="s">
        <v>21849</v>
      </c>
      <c r="N2156" s="802" t="s">
        <v>21850</v>
      </c>
      <c r="O2156" s="802" t="s">
        <v>21851</v>
      </c>
      <c r="P2156" s="807" t="s">
        <v>32</v>
      </c>
    </row>
    <row r="2157" spans="1:16" s="341" customFormat="1" ht="25.5" customHeight="1">
      <c r="A2157" s="806" t="s">
        <v>110</v>
      </c>
      <c r="B2157" s="800" t="s">
        <v>38</v>
      </c>
      <c r="C2157" s="800" t="s">
        <v>7738</v>
      </c>
      <c r="D2157" s="800" t="s">
        <v>21852</v>
      </c>
      <c r="E2157" s="801">
        <v>43047</v>
      </c>
      <c r="F2157" s="800" t="s">
        <v>21831</v>
      </c>
      <c r="G2157" s="800" t="s">
        <v>21853</v>
      </c>
      <c r="H2157" s="800" t="s">
        <v>10396</v>
      </c>
      <c r="I2157" s="800" t="s">
        <v>10396</v>
      </c>
      <c r="J2157" s="800" t="s">
        <v>10397</v>
      </c>
      <c r="K2157" s="800">
        <v>1</v>
      </c>
      <c r="L2157" s="802" t="s">
        <v>10398</v>
      </c>
      <c r="M2157" s="802" t="s">
        <v>21854</v>
      </c>
      <c r="N2157" s="802" t="s">
        <v>21855</v>
      </c>
      <c r="O2157" s="802" t="s">
        <v>18785</v>
      </c>
      <c r="P2157" s="807" t="s">
        <v>21856</v>
      </c>
    </row>
    <row r="2158" spans="1:16" s="341" customFormat="1" ht="25.5" customHeight="1">
      <c r="A2158" s="806" t="s">
        <v>110</v>
      </c>
      <c r="B2158" s="800" t="s">
        <v>38</v>
      </c>
      <c r="C2158" s="800" t="s">
        <v>7738</v>
      </c>
      <c r="D2158" s="800" t="s">
        <v>21857</v>
      </c>
      <c r="E2158" s="801">
        <v>43047</v>
      </c>
      <c r="F2158" s="800" t="s">
        <v>21858</v>
      </c>
      <c r="G2158" s="800" t="s">
        <v>21859</v>
      </c>
      <c r="H2158" s="800" t="s">
        <v>10531</v>
      </c>
      <c r="I2158" s="800" t="s">
        <v>10531</v>
      </c>
      <c r="J2158" s="800" t="s">
        <v>10397</v>
      </c>
      <c r="K2158" s="800">
        <v>1</v>
      </c>
      <c r="L2158" s="802" t="s">
        <v>10398</v>
      </c>
      <c r="M2158" s="802" t="s">
        <v>21860</v>
      </c>
      <c r="N2158" s="802" t="s">
        <v>21861</v>
      </c>
      <c r="O2158" s="802" t="s">
        <v>21862</v>
      </c>
      <c r="P2158" s="807" t="s">
        <v>21863</v>
      </c>
    </row>
    <row r="2159" spans="1:16" s="341" customFormat="1" ht="25.5" customHeight="1">
      <c r="A2159" s="806" t="s">
        <v>110</v>
      </c>
      <c r="B2159" s="800" t="s">
        <v>38</v>
      </c>
      <c r="C2159" s="800" t="s">
        <v>7738</v>
      </c>
      <c r="D2159" s="800" t="s">
        <v>21864</v>
      </c>
      <c r="E2159" s="801">
        <v>43047</v>
      </c>
      <c r="F2159" s="800" t="s">
        <v>21865</v>
      </c>
      <c r="G2159" s="800" t="s">
        <v>21866</v>
      </c>
      <c r="H2159" s="800" t="s">
        <v>10396</v>
      </c>
      <c r="I2159" s="800" t="s">
        <v>10396</v>
      </c>
      <c r="J2159" s="800" t="s">
        <v>10397</v>
      </c>
      <c r="K2159" s="800">
        <v>1</v>
      </c>
      <c r="L2159" s="802" t="s">
        <v>10398</v>
      </c>
      <c r="M2159" s="802" t="s">
        <v>21867</v>
      </c>
      <c r="N2159" s="802" t="s">
        <v>21868</v>
      </c>
      <c r="O2159" s="802" t="s">
        <v>21869</v>
      </c>
      <c r="P2159" s="807" t="s">
        <v>21870</v>
      </c>
    </row>
    <row r="2160" spans="1:16" s="341" customFormat="1" ht="25.5" customHeight="1">
      <c r="A2160" s="806" t="s">
        <v>110</v>
      </c>
      <c r="B2160" s="800" t="s">
        <v>38</v>
      </c>
      <c r="C2160" s="800" t="s">
        <v>7738</v>
      </c>
      <c r="D2160" s="800" t="s">
        <v>21871</v>
      </c>
      <c r="E2160" s="801">
        <v>43047</v>
      </c>
      <c r="F2160" s="800" t="s">
        <v>21872</v>
      </c>
      <c r="G2160" s="800" t="s">
        <v>21873</v>
      </c>
      <c r="H2160" s="800" t="s">
        <v>10531</v>
      </c>
      <c r="I2160" s="800" t="s">
        <v>10531</v>
      </c>
      <c r="J2160" s="800" t="s">
        <v>4342</v>
      </c>
      <c r="K2160" s="800">
        <v>1</v>
      </c>
      <c r="L2160" s="802" t="s">
        <v>10398</v>
      </c>
      <c r="M2160" s="802" t="s">
        <v>21874</v>
      </c>
      <c r="N2160" s="802" t="s">
        <v>16859</v>
      </c>
      <c r="O2160" s="802" t="s">
        <v>21875</v>
      </c>
      <c r="P2160" s="807" t="s">
        <v>32</v>
      </c>
    </row>
    <row r="2161" spans="1:16" s="341" customFormat="1" ht="25.5" customHeight="1">
      <c r="A2161" s="806" t="s">
        <v>110</v>
      </c>
      <c r="B2161" s="800" t="s">
        <v>38</v>
      </c>
      <c r="C2161" s="800" t="s">
        <v>7738</v>
      </c>
      <c r="D2161" s="800" t="s">
        <v>21876</v>
      </c>
      <c r="E2161" s="801">
        <v>43047</v>
      </c>
      <c r="F2161" s="800" t="s">
        <v>21877</v>
      </c>
      <c r="G2161" s="800" t="s">
        <v>21878</v>
      </c>
      <c r="H2161" s="800" t="s">
        <v>10433</v>
      </c>
      <c r="I2161" s="800" t="s">
        <v>10433</v>
      </c>
      <c r="J2161" s="800" t="s">
        <v>4342</v>
      </c>
      <c r="K2161" s="800">
        <v>1</v>
      </c>
      <c r="L2161" s="802" t="s">
        <v>10398</v>
      </c>
      <c r="M2161" s="802" t="s">
        <v>21879</v>
      </c>
      <c r="N2161" s="802" t="s">
        <v>21880</v>
      </c>
      <c r="O2161" s="802" t="s">
        <v>21881</v>
      </c>
      <c r="P2161" s="807" t="s">
        <v>21882</v>
      </c>
    </row>
    <row r="2162" spans="1:16" s="341" customFormat="1" ht="25.5" customHeight="1">
      <c r="A2162" s="806" t="s">
        <v>110</v>
      </c>
      <c r="B2162" s="800" t="s">
        <v>38</v>
      </c>
      <c r="C2162" s="800" t="s">
        <v>7738</v>
      </c>
      <c r="D2162" s="800" t="s">
        <v>21883</v>
      </c>
      <c r="E2162" s="801">
        <v>43047</v>
      </c>
      <c r="F2162" s="800" t="s">
        <v>21884</v>
      </c>
      <c r="G2162" s="800" t="s">
        <v>21885</v>
      </c>
      <c r="H2162" s="800" t="s">
        <v>10531</v>
      </c>
      <c r="I2162" s="800" t="s">
        <v>10531</v>
      </c>
      <c r="J2162" s="800" t="s">
        <v>10397</v>
      </c>
      <c r="K2162" s="800">
        <v>1</v>
      </c>
      <c r="L2162" s="802" t="s">
        <v>10398</v>
      </c>
      <c r="M2162" s="802" t="s">
        <v>21886</v>
      </c>
      <c r="N2162" s="802" t="s">
        <v>21887</v>
      </c>
      <c r="O2162" s="802" t="s">
        <v>21888</v>
      </c>
      <c r="P2162" s="807" t="s">
        <v>21889</v>
      </c>
    </row>
    <row r="2163" spans="1:16" s="341" customFormat="1" ht="25.5" customHeight="1">
      <c r="A2163" s="806" t="s">
        <v>110</v>
      </c>
      <c r="B2163" s="800" t="s">
        <v>38</v>
      </c>
      <c r="C2163" s="800" t="s">
        <v>7738</v>
      </c>
      <c r="D2163" s="800" t="s">
        <v>21890</v>
      </c>
      <c r="E2163" s="801">
        <v>43046</v>
      </c>
      <c r="F2163" s="800" t="s">
        <v>21891</v>
      </c>
      <c r="G2163" s="800" t="s">
        <v>21892</v>
      </c>
      <c r="H2163" s="800" t="s">
        <v>10531</v>
      </c>
      <c r="I2163" s="800" t="s">
        <v>10531</v>
      </c>
      <c r="J2163" s="800" t="s">
        <v>10397</v>
      </c>
      <c r="K2163" s="800">
        <v>1</v>
      </c>
      <c r="L2163" s="802" t="s">
        <v>10398</v>
      </c>
      <c r="M2163" s="802" t="s">
        <v>21893</v>
      </c>
      <c r="N2163" s="802" t="s">
        <v>21894</v>
      </c>
      <c r="O2163" s="802" t="s">
        <v>21895</v>
      </c>
      <c r="P2163" s="807" t="s">
        <v>32</v>
      </c>
    </row>
    <row r="2164" spans="1:16" s="341" customFormat="1" ht="25.5" customHeight="1">
      <c r="A2164" s="806" t="s">
        <v>110</v>
      </c>
      <c r="B2164" s="800" t="s">
        <v>38</v>
      </c>
      <c r="C2164" s="800" t="s">
        <v>7738</v>
      </c>
      <c r="D2164" s="800" t="s">
        <v>21896</v>
      </c>
      <c r="E2164" s="801">
        <v>43046</v>
      </c>
      <c r="F2164" s="800" t="s">
        <v>21897</v>
      </c>
      <c r="G2164" s="800" t="s">
        <v>21898</v>
      </c>
      <c r="H2164" s="800" t="s">
        <v>10531</v>
      </c>
      <c r="I2164" s="800" t="s">
        <v>10531</v>
      </c>
      <c r="J2164" s="800" t="s">
        <v>10397</v>
      </c>
      <c r="K2164" s="800">
        <v>1</v>
      </c>
      <c r="L2164" s="802" t="s">
        <v>10398</v>
      </c>
      <c r="M2164" s="802" t="s">
        <v>21899</v>
      </c>
      <c r="N2164" s="802" t="s">
        <v>21900</v>
      </c>
      <c r="O2164" s="802" t="s">
        <v>21901</v>
      </c>
      <c r="P2164" s="807" t="s">
        <v>21902</v>
      </c>
    </row>
    <row r="2165" spans="1:16" s="341" customFormat="1" ht="25.5" customHeight="1">
      <c r="A2165" s="806" t="s">
        <v>110</v>
      </c>
      <c r="B2165" s="800" t="s">
        <v>38</v>
      </c>
      <c r="C2165" s="800" t="s">
        <v>7738</v>
      </c>
      <c r="D2165" s="800" t="s">
        <v>21903</v>
      </c>
      <c r="E2165" s="801">
        <v>43052</v>
      </c>
      <c r="F2165" s="800" t="s">
        <v>21858</v>
      </c>
      <c r="G2165" s="800" t="s">
        <v>21904</v>
      </c>
      <c r="H2165" s="800" t="s">
        <v>10433</v>
      </c>
      <c r="I2165" s="800" t="s">
        <v>10433</v>
      </c>
      <c r="J2165" s="800" t="s">
        <v>10397</v>
      </c>
      <c r="K2165" s="800">
        <v>1</v>
      </c>
      <c r="L2165" s="802" t="s">
        <v>10398</v>
      </c>
      <c r="M2165" s="802" t="s">
        <v>21905</v>
      </c>
      <c r="N2165" s="802" t="s">
        <v>21906</v>
      </c>
      <c r="O2165" s="802" t="s">
        <v>21907</v>
      </c>
      <c r="P2165" s="807" t="s">
        <v>21908</v>
      </c>
    </row>
    <row r="2166" spans="1:16" s="341" customFormat="1" ht="25.5" customHeight="1">
      <c r="A2166" s="806" t="s">
        <v>110</v>
      </c>
      <c r="B2166" s="800" t="s">
        <v>38</v>
      </c>
      <c r="C2166" s="800" t="s">
        <v>7738</v>
      </c>
      <c r="D2166" s="800" t="s">
        <v>21909</v>
      </c>
      <c r="E2166" s="801">
        <v>43082</v>
      </c>
      <c r="F2166" s="800" t="s">
        <v>3666</v>
      </c>
      <c r="G2166" s="800" t="s">
        <v>21910</v>
      </c>
      <c r="H2166" s="800" t="s">
        <v>10404</v>
      </c>
      <c r="I2166" s="800" t="s">
        <v>10404</v>
      </c>
      <c r="J2166" s="800" t="s">
        <v>10405</v>
      </c>
      <c r="K2166" s="800">
        <v>1</v>
      </c>
      <c r="L2166" s="802" t="s">
        <v>10398</v>
      </c>
      <c r="M2166" s="802" t="s">
        <v>21911</v>
      </c>
      <c r="N2166" s="802" t="s">
        <v>21912</v>
      </c>
      <c r="O2166" s="802" t="s">
        <v>21913</v>
      </c>
      <c r="P2166" s="807" t="s">
        <v>21914</v>
      </c>
    </row>
    <row r="2167" spans="1:16" s="341" customFormat="1" ht="25.5" customHeight="1">
      <c r="A2167" s="806" t="s">
        <v>110</v>
      </c>
      <c r="B2167" s="800" t="s">
        <v>38</v>
      </c>
      <c r="C2167" s="800" t="s">
        <v>7738</v>
      </c>
      <c r="D2167" s="800" t="s">
        <v>21915</v>
      </c>
      <c r="E2167" s="801">
        <v>43082</v>
      </c>
      <c r="F2167" s="800" t="s">
        <v>3666</v>
      </c>
      <c r="G2167" s="800" t="s">
        <v>21916</v>
      </c>
      <c r="H2167" s="800" t="s">
        <v>10396</v>
      </c>
      <c r="I2167" s="800" t="s">
        <v>10396</v>
      </c>
      <c r="J2167" s="800" t="s">
        <v>10397</v>
      </c>
      <c r="K2167" s="800">
        <v>1</v>
      </c>
      <c r="L2167" s="802" t="s">
        <v>10398</v>
      </c>
      <c r="M2167" s="802" t="s">
        <v>21917</v>
      </c>
      <c r="N2167" s="802" t="s">
        <v>21918</v>
      </c>
      <c r="O2167" s="802" t="s">
        <v>21919</v>
      </c>
      <c r="P2167" s="807" t="s">
        <v>21920</v>
      </c>
    </row>
    <row r="2168" spans="1:16" s="341" customFormat="1" ht="25.5" customHeight="1">
      <c r="A2168" s="806" t="s">
        <v>110</v>
      </c>
      <c r="B2168" s="800" t="s">
        <v>38</v>
      </c>
      <c r="C2168" s="800" t="s">
        <v>7738</v>
      </c>
      <c r="D2168" s="800" t="s">
        <v>21921</v>
      </c>
      <c r="E2168" s="801">
        <v>43052</v>
      </c>
      <c r="F2168" s="800" t="s">
        <v>21922</v>
      </c>
      <c r="G2168" s="800" t="s">
        <v>21923</v>
      </c>
      <c r="H2168" s="800" t="s">
        <v>10396</v>
      </c>
      <c r="I2168" s="800" t="s">
        <v>10396</v>
      </c>
      <c r="J2168" s="800" t="s">
        <v>10397</v>
      </c>
      <c r="K2168" s="800">
        <v>1</v>
      </c>
      <c r="L2168" s="802" t="s">
        <v>10398</v>
      </c>
      <c r="M2168" s="802" t="s">
        <v>21924</v>
      </c>
      <c r="N2168" s="802" t="s">
        <v>21925</v>
      </c>
      <c r="O2168" s="802" t="s">
        <v>21926</v>
      </c>
      <c r="P2168" s="807" t="s">
        <v>21927</v>
      </c>
    </row>
    <row r="2169" spans="1:16" s="341" customFormat="1" ht="25.5" customHeight="1">
      <c r="A2169" s="806" t="s">
        <v>110</v>
      </c>
      <c r="B2169" s="800" t="s">
        <v>38</v>
      </c>
      <c r="C2169" s="800" t="s">
        <v>7738</v>
      </c>
      <c r="D2169" s="800" t="s">
        <v>21928</v>
      </c>
      <c r="E2169" s="801">
        <v>43052</v>
      </c>
      <c r="F2169" s="800" t="s">
        <v>21922</v>
      </c>
      <c r="G2169" s="800" t="s">
        <v>21929</v>
      </c>
      <c r="H2169" s="800" t="s">
        <v>10531</v>
      </c>
      <c r="I2169" s="800" t="s">
        <v>10531</v>
      </c>
      <c r="J2169" s="800" t="s">
        <v>10397</v>
      </c>
      <c r="K2169" s="800">
        <v>1</v>
      </c>
      <c r="L2169" s="802" t="s">
        <v>10398</v>
      </c>
      <c r="M2169" s="802" t="s">
        <v>21930</v>
      </c>
      <c r="N2169" s="802" t="s">
        <v>21931</v>
      </c>
      <c r="O2169" s="802" t="s">
        <v>21932</v>
      </c>
      <c r="P2169" s="807" t="s">
        <v>32</v>
      </c>
    </row>
    <row r="2170" spans="1:16" s="341" customFormat="1" ht="25.5" customHeight="1">
      <c r="A2170" s="806" t="s">
        <v>110</v>
      </c>
      <c r="B2170" s="800" t="s">
        <v>38</v>
      </c>
      <c r="C2170" s="800" t="s">
        <v>7738</v>
      </c>
      <c r="D2170" s="800" t="s">
        <v>21933</v>
      </c>
      <c r="E2170" s="801">
        <v>43047</v>
      </c>
      <c r="F2170" s="800" t="s">
        <v>21934</v>
      </c>
      <c r="G2170" s="800" t="s">
        <v>21935</v>
      </c>
      <c r="H2170" s="800" t="s">
        <v>10433</v>
      </c>
      <c r="I2170" s="800" t="s">
        <v>10433</v>
      </c>
      <c r="J2170" s="800" t="s">
        <v>10664</v>
      </c>
      <c r="K2170" s="800">
        <v>1</v>
      </c>
      <c r="L2170" s="802" t="s">
        <v>10398</v>
      </c>
      <c r="M2170" s="802" t="s">
        <v>21936</v>
      </c>
      <c r="N2170" s="802" t="s">
        <v>21937</v>
      </c>
      <c r="O2170" s="802" t="s">
        <v>21938</v>
      </c>
      <c r="P2170" s="807" t="s">
        <v>21939</v>
      </c>
    </row>
    <row r="2171" spans="1:16" s="341" customFormat="1" ht="25.5" customHeight="1">
      <c r="A2171" s="806" t="s">
        <v>110</v>
      </c>
      <c r="B2171" s="800" t="s">
        <v>38</v>
      </c>
      <c r="C2171" s="800" t="s">
        <v>7738</v>
      </c>
      <c r="D2171" s="800" t="s">
        <v>21940</v>
      </c>
      <c r="E2171" s="801">
        <v>43047</v>
      </c>
      <c r="F2171" s="800" t="s">
        <v>21941</v>
      </c>
      <c r="G2171" s="800" t="s">
        <v>21942</v>
      </c>
      <c r="H2171" s="800" t="s">
        <v>10531</v>
      </c>
      <c r="I2171" s="800" t="s">
        <v>10531</v>
      </c>
      <c r="J2171" s="800" t="s">
        <v>10664</v>
      </c>
      <c r="K2171" s="800">
        <v>1</v>
      </c>
      <c r="L2171" s="802" t="s">
        <v>10398</v>
      </c>
      <c r="M2171" s="802" t="s">
        <v>21943</v>
      </c>
      <c r="N2171" s="802" t="s">
        <v>12206</v>
      </c>
      <c r="O2171" s="802" t="s">
        <v>21944</v>
      </c>
      <c r="P2171" s="807" t="s">
        <v>21945</v>
      </c>
    </row>
    <row r="2172" spans="1:16" s="341" customFormat="1" ht="25.5" customHeight="1">
      <c r="A2172" s="806" t="s">
        <v>110</v>
      </c>
      <c r="B2172" s="800" t="s">
        <v>38</v>
      </c>
      <c r="C2172" s="800" t="s">
        <v>7738</v>
      </c>
      <c r="D2172" s="800" t="s">
        <v>21946</v>
      </c>
      <c r="E2172" s="801">
        <v>43047</v>
      </c>
      <c r="F2172" s="800" t="s">
        <v>21941</v>
      </c>
      <c r="G2172" s="800" t="s">
        <v>21947</v>
      </c>
      <c r="H2172" s="800" t="s">
        <v>10396</v>
      </c>
      <c r="I2172" s="800" t="s">
        <v>10396</v>
      </c>
      <c r="J2172" s="800" t="s">
        <v>10664</v>
      </c>
      <c r="K2172" s="800">
        <v>1</v>
      </c>
      <c r="L2172" s="802" t="s">
        <v>10398</v>
      </c>
      <c r="M2172" s="802" t="s">
        <v>21948</v>
      </c>
      <c r="N2172" s="802" t="s">
        <v>11970</v>
      </c>
      <c r="O2172" s="802" t="s">
        <v>21949</v>
      </c>
      <c r="P2172" s="807" t="s">
        <v>21950</v>
      </c>
    </row>
    <row r="2173" spans="1:16" s="341" customFormat="1" ht="25.5" customHeight="1">
      <c r="A2173" s="806" t="s">
        <v>110</v>
      </c>
      <c r="B2173" s="800" t="s">
        <v>38</v>
      </c>
      <c r="C2173" s="800" t="s">
        <v>7738</v>
      </c>
      <c r="D2173" s="800" t="s">
        <v>21951</v>
      </c>
      <c r="E2173" s="801">
        <v>43047</v>
      </c>
      <c r="F2173" s="800" t="s">
        <v>21941</v>
      </c>
      <c r="G2173" s="800" t="s">
        <v>21952</v>
      </c>
      <c r="H2173" s="800" t="s">
        <v>10433</v>
      </c>
      <c r="I2173" s="800" t="s">
        <v>10433</v>
      </c>
      <c r="J2173" s="800" t="s">
        <v>10664</v>
      </c>
      <c r="K2173" s="800">
        <v>1</v>
      </c>
      <c r="L2173" s="802" t="s">
        <v>10398</v>
      </c>
      <c r="M2173" s="802" t="s">
        <v>21953</v>
      </c>
      <c r="N2173" s="802" t="s">
        <v>21954</v>
      </c>
      <c r="O2173" s="802" t="s">
        <v>21955</v>
      </c>
      <c r="P2173" s="807" t="s">
        <v>21956</v>
      </c>
    </row>
    <row r="2174" spans="1:16" s="341" customFormat="1" ht="25.5" customHeight="1">
      <c r="A2174" s="806" t="s">
        <v>110</v>
      </c>
      <c r="B2174" s="800" t="s">
        <v>38</v>
      </c>
      <c r="C2174" s="800" t="s">
        <v>7738</v>
      </c>
      <c r="D2174" s="800" t="s">
        <v>21957</v>
      </c>
      <c r="E2174" s="801">
        <v>43047</v>
      </c>
      <c r="F2174" s="800" t="s">
        <v>21958</v>
      </c>
      <c r="G2174" s="800" t="s">
        <v>21959</v>
      </c>
      <c r="H2174" s="800" t="s">
        <v>10404</v>
      </c>
      <c r="I2174" s="800" t="s">
        <v>10404</v>
      </c>
      <c r="J2174" s="800" t="s">
        <v>10664</v>
      </c>
      <c r="K2174" s="800">
        <v>1</v>
      </c>
      <c r="L2174" s="802" t="s">
        <v>10398</v>
      </c>
      <c r="M2174" s="802" t="s">
        <v>21960</v>
      </c>
      <c r="N2174" s="802" t="s">
        <v>12532</v>
      </c>
      <c r="O2174" s="802" t="s">
        <v>21961</v>
      </c>
      <c r="P2174" s="807" t="s">
        <v>21962</v>
      </c>
    </row>
    <row r="2175" spans="1:16" s="341" customFormat="1" ht="25.5" customHeight="1">
      <c r="A2175" s="806" t="s">
        <v>110</v>
      </c>
      <c r="B2175" s="800" t="s">
        <v>38</v>
      </c>
      <c r="C2175" s="800" t="s">
        <v>7738</v>
      </c>
      <c r="D2175" s="800" t="s">
        <v>21963</v>
      </c>
      <c r="E2175" s="801">
        <v>43047</v>
      </c>
      <c r="F2175" s="800" t="s">
        <v>21958</v>
      </c>
      <c r="G2175" s="800" t="s">
        <v>21964</v>
      </c>
      <c r="H2175" s="800" t="s">
        <v>10396</v>
      </c>
      <c r="I2175" s="800" t="s">
        <v>10396</v>
      </c>
      <c r="J2175" s="800" t="s">
        <v>10397</v>
      </c>
      <c r="K2175" s="800">
        <v>1</v>
      </c>
      <c r="L2175" s="802" t="s">
        <v>10398</v>
      </c>
      <c r="M2175" s="802" t="s">
        <v>21965</v>
      </c>
      <c r="N2175" s="802" t="s">
        <v>11281</v>
      </c>
      <c r="O2175" s="802" t="s">
        <v>21966</v>
      </c>
      <c r="P2175" s="807" t="s">
        <v>21967</v>
      </c>
    </row>
    <row r="2176" spans="1:16" s="341" customFormat="1" ht="25.5" customHeight="1">
      <c r="A2176" s="806" t="s">
        <v>110</v>
      </c>
      <c r="B2176" s="800" t="s">
        <v>38</v>
      </c>
      <c r="C2176" s="800" t="s">
        <v>7738</v>
      </c>
      <c r="D2176" s="800" t="s">
        <v>21968</v>
      </c>
      <c r="E2176" s="801">
        <v>43047</v>
      </c>
      <c r="F2176" s="800" t="s">
        <v>21958</v>
      </c>
      <c r="G2176" s="800" t="s">
        <v>21969</v>
      </c>
      <c r="H2176" s="800" t="s">
        <v>10396</v>
      </c>
      <c r="I2176" s="800" t="s">
        <v>10396</v>
      </c>
      <c r="J2176" s="800" t="s">
        <v>10397</v>
      </c>
      <c r="K2176" s="800">
        <v>1</v>
      </c>
      <c r="L2176" s="802" t="s">
        <v>10398</v>
      </c>
      <c r="M2176" s="802" t="s">
        <v>21970</v>
      </c>
      <c r="N2176" s="802" t="s">
        <v>14977</v>
      </c>
      <c r="O2176" s="802" t="s">
        <v>21971</v>
      </c>
      <c r="P2176" s="807" t="s">
        <v>21972</v>
      </c>
    </row>
    <row r="2177" spans="1:16" s="341" customFormat="1" ht="25.5" customHeight="1">
      <c r="A2177" s="806" t="s">
        <v>110</v>
      </c>
      <c r="B2177" s="800" t="s">
        <v>38</v>
      </c>
      <c r="C2177" s="800" t="s">
        <v>7738</v>
      </c>
      <c r="D2177" s="800" t="s">
        <v>21973</v>
      </c>
      <c r="E2177" s="801">
        <v>43047</v>
      </c>
      <c r="F2177" s="800" t="s">
        <v>21958</v>
      </c>
      <c r="G2177" s="800" t="s">
        <v>21974</v>
      </c>
      <c r="H2177" s="800" t="s">
        <v>10531</v>
      </c>
      <c r="I2177" s="800" t="s">
        <v>10531</v>
      </c>
      <c r="J2177" s="800" t="s">
        <v>10664</v>
      </c>
      <c r="K2177" s="800">
        <v>1</v>
      </c>
      <c r="L2177" s="802" t="s">
        <v>10398</v>
      </c>
      <c r="M2177" s="802" t="s">
        <v>21975</v>
      </c>
      <c r="N2177" s="802" t="s">
        <v>21976</v>
      </c>
      <c r="O2177" s="802" t="s">
        <v>21977</v>
      </c>
      <c r="P2177" s="807" t="s">
        <v>21978</v>
      </c>
    </row>
    <row r="2178" spans="1:16" s="341" customFormat="1" ht="25.5" customHeight="1">
      <c r="A2178" s="806" t="s">
        <v>110</v>
      </c>
      <c r="B2178" s="800" t="s">
        <v>38</v>
      </c>
      <c r="C2178" s="800" t="s">
        <v>7738</v>
      </c>
      <c r="D2178" s="800" t="s">
        <v>21979</v>
      </c>
      <c r="E2178" s="801">
        <v>43047</v>
      </c>
      <c r="F2178" s="800" t="s">
        <v>21958</v>
      </c>
      <c r="G2178" s="800" t="s">
        <v>21980</v>
      </c>
      <c r="H2178" s="800" t="s">
        <v>10404</v>
      </c>
      <c r="I2178" s="800" t="s">
        <v>10404</v>
      </c>
      <c r="J2178" s="800" t="s">
        <v>10664</v>
      </c>
      <c r="K2178" s="800">
        <v>1</v>
      </c>
      <c r="L2178" s="802" t="s">
        <v>10398</v>
      </c>
      <c r="M2178" s="802" t="s">
        <v>21981</v>
      </c>
      <c r="N2178" s="802" t="s">
        <v>21982</v>
      </c>
      <c r="O2178" s="802" t="s">
        <v>21983</v>
      </c>
      <c r="P2178" s="807" t="s">
        <v>21984</v>
      </c>
    </row>
    <row r="2179" spans="1:16" s="341" customFormat="1" ht="25.5" customHeight="1">
      <c r="A2179" s="806" t="s">
        <v>110</v>
      </c>
      <c r="B2179" s="800" t="s">
        <v>38</v>
      </c>
      <c r="C2179" s="800" t="s">
        <v>7738</v>
      </c>
      <c r="D2179" s="800" t="s">
        <v>21985</v>
      </c>
      <c r="E2179" s="801">
        <v>43047</v>
      </c>
      <c r="F2179" s="800" t="s">
        <v>21958</v>
      </c>
      <c r="G2179" s="800" t="s">
        <v>21986</v>
      </c>
      <c r="H2179" s="800" t="s">
        <v>10433</v>
      </c>
      <c r="I2179" s="800" t="s">
        <v>10433</v>
      </c>
      <c r="J2179" s="800" t="s">
        <v>10397</v>
      </c>
      <c r="K2179" s="800">
        <v>1</v>
      </c>
      <c r="L2179" s="802" t="s">
        <v>10398</v>
      </c>
      <c r="M2179" s="802" t="s">
        <v>21987</v>
      </c>
      <c r="N2179" s="802" t="s">
        <v>14330</v>
      </c>
      <c r="O2179" s="802" t="s">
        <v>21988</v>
      </c>
      <c r="P2179" s="807" t="s">
        <v>21989</v>
      </c>
    </row>
    <row r="2180" spans="1:16" s="341" customFormat="1" ht="25.5" customHeight="1">
      <c r="A2180" s="806" t="s">
        <v>110</v>
      </c>
      <c r="B2180" s="800" t="s">
        <v>38</v>
      </c>
      <c r="C2180" s="800" t="s">
        <v>7738</v>
      </c>
      <c r="D2180" s="800" t="s">
        <v>21990</v>
      </c>
      <c r="E2180" s="801">
        <v>43047</v>
      </c>
      <c r="F2180" s="800" t="s">
        <v>21958</v>
      </c>
      <c r="G2180" s="800" t="s">
        <v>21991</v>
      </c>
      <c r="H2180" s="800" t="s">
        <v>10433</v>
      </c>
      <c r="I2180" s="800" t="s">
        <v>10433</v>
      </c>
      <c r="J2180" s="800" t="s">
        <v>10397</v>
      </c>
      <c r="K2180" s="800">
        <v>1</v>
      </c>
      <c r="L2180" s="802" t="s">
        <v>10398</v>
      </c>
      <c r="M2180" s="802" t="s">
        <v>21992</v>
      </c>
      <c r="N2180" s="802" t="s">
        <v>16012</v>
      </c>
      <c r="O2180" s="802" t="s">
        <v>21993</v>
      </c>
      <c r="P2180" s="807" t="s">
        <v>21994</v>
      </c>
    </row>
    <row r="2181" spans="1:16" s="341" customFormat="1" ht="25.5" customHeight="1">
      <c r="A2181" s="806" t="s">
        <v>110</v>
      </c>
      <c r="B2181" s="800" t="s">
        <v>38</v>
      </c>
      <c r="C2181" s="800" t="s">
        <v>7738</v>
      </c>
      <c r="D2181" s="800" t="s">
        <v>21995</v>
      </c>
      <c r="E2181" s="801">
        <v>43047</v>
      </c>
      <c r="F2181" s="800" t="s">
        <v>21941</v>
      </c>
      <c r="G2181" s="800" t="s">
        <v>21996</v>
      </c>
      <c r="H2181" s="800" t="s">
        <v>10404</v>
      </c>
      <c r="I2181" s="800" t="s">
        <v>10404</v>
      </c>
      <c r="J2181" s="800" t="s">
        <v>10664</v>
      </c>
      <c r="K2181" s="800">
        <v>1</v>
      </c>
      <c r="L2181" s="802" t="s">
        <v>10398</v>
      </c>
      <c r="M2181" s="802" t="s">
        <v>21997</v>
      </c>
      <c r="N2181" s="802" t="s">
        <v>11822</v>
      </c>
      <c r="O2181" s="802" t="s">
        <v>21998</v>
      </c>
      <c r="P2181" s="807" t="s">
        <v>21999</v>
      </c>
    </row>
    <row r="2182" spans="1:16" s="341" customFormat="1" ht="25.5" customHeight="1">
      <c r="A2182" s="806" t="s">
        <v>110</v>
      </c>
      <c r="B2182" s="800" t="s">
        <v>38</v>
      </c>
      <c r="C2182" s="800" t="s">
        <v>7738</v>
      </c>
      <c r="D2182" s="800" t="s">
        <v>22000</v>
      </c>
      <c r="E2182" s="801">
        <v>43052</v>
      </c>
      <c r="F2182" s="800" t="s">
        <v>22001</v>
      </c>
      <c r="G2182" s="800" t="s">
        <v>22002</v>
      </c>
      <c r="H2182" s="800" t="s">
        <v>10396</v>
      </c>
      <c r="I2182" s="800" t="s">
        <v>10396</v>
      </c>
      <c r="J2182" s="800" t="s">
        <v>10397</v>
      </c>
      <c r="K2182" s="800">
        <v>1</v>
      </c>
      <c r="L2182" s="802" t="s">
        <v>10398</v>
      </c>
      <c r="M2182" s="802" t="s">
        <v>22003</v>
      </c>
      <c r="N2182" s="802" t="s">
        <v>22004</v>
      </c>
      <c r="O2182" s="802" t="s">
        <v>22005</v>
      </c>
      <c r="P2182" s="807" t="s">
        <v>22006</v>
      </c>
    </row>
    <row r="2183" spans="1:16" s="341" customFormat="1" ht="25.5" customHeight="1">
      <c r="A2183" s="806" t="s">
        <v>110</v>
      </c>
      <c r="B2183" s="800" t="s">
        <v>38</v>
      </c>
      <c r="C2183" s="800" t="s">
        <v>7738</v>
      </c>
      <c r="D2183" s="800" t="s">
        <v>22007</v>
      </c>
      <c r="E2183" s="801">
        <v>43052</v>
      </c>
      <c r="F2183" s="800" t="s">
        <v>22008</v>
      </c>
      <c r="G2183" s="800" t="s">
        <v>22009</v>
      </c>
      <c r="H2183" s="800" t="s">
        <v>10396</v>
      </c>
      <c r="I2183" s="800" t="s">
        <v>10396</v>
      </c>
      <c r="J2183" s="800" t="s">
        <v>10397</v>
      </c>
      <c r="K2183" s="800">
        <v>1</v>
      </c>
      <c r="L2183" s="802" t="s">
        <v>10605</v>
      </c>
      <c r="M2183" s="802" t="s">
        <v>32</v>
      </c>
      <c r="N2183" s="802" t="s">
        <v>22010</v>
      </c>
      <c r="O2183" s="802" t="s">
        <v>22011</v>
      </c>
      <c r="P2183" s="807" t="s">
        <v>32</v>
      </c>
    </row>
    <row r="2184" spans="1:16" s="341" customFormat="1" ht="25.5" customHeight="1">
      <c r="A2184" s="806" t="s">
        <v>110</v>
      </c>
      <c r="B2184" s="800" t="s">
        <v>38</v>
      </c>
      <c r="C2184" s="800" t="s">
        <v>7738</v>
      </c>
      <c r="D2184" s="800" t="s">
        <v>22012</v>
      </c>
      <c r="E2184" s="801">
        <v>43052</v>
      </c>
      <c r="F2184" s="800" t="s">
        <v>22013</v>
      </c>
      <c r="G2184" s="800" t="s">
        <v>22014</v>
      </c>
      <c r="H2184" s="800" t="s">
        <v>10404</v>
      </c>
      <c r="I2184" s="800" t="s">
        <v>10404</v>
      </c>
      <c r="J2184" s="800" t="s">
        <v>10405</v>
      </c>
      <c r="K2184" s="800">
        <v>1</v>
      </c>
      <c r="L2184" s="802" t="s">
        <v>10398</v>
      </c>
      <c r="M2184" s="802" t="s">
        <v>22015</v>
      </c>
      <c r="N2184" s="802" t="s">
        <v>22016</v>
      </c>
      <c r="O2184" s="802" t="s">
        <v>22017</v>
      </c>
      <c r="P2184" s="807" t="s">
        <v>32</v>
      </c>
    </row>
    <row r="2185" spans="1:16" s="341" customFormat="1" ht="25.5" customHeight="1">
      <c r="A2185" s="806" t="s">
        <v>110</v>
      </c>
      <c r="B2185" s="800" t="s">
        <v>38</v>
      </c>
      <c r="C2185" s="800" t="s">
        <v>7738</v>
      </c>
      <c r="D2185" s="800" t="s">
        <v>22018</v>
      </c>
      <c r="E2185" s="801">
        <v>43052</v>
      </c>
      <c r="F2185" s="800" t="s">
        <v>22013</v>
      </c>
      <c r="G2185" s="800" t="s">
        <v>22019</v>
      </c>
      <c r="H2185" s="800" t="s">
        <v>10396</v>
      </c>
      <c r="I2185" s="800" t="s">
        <v>10396</v>
      </c>
      <c r="J2185" s="800" t="s">
        <v>10405</v>
      </c>
      <c r="K2185" s="800">
        <v>1</v>
      </c>
      <c r="L2185" s="802" t="s">
        <v>10398</v>
      </c>
      <c r="M2185" s="802" t="s">
        <v>22020</v>
      </c>
      <c r="N2185" s="802" t="s">
        <v>22021</v>
      </c>
      <c r="O2185" s="802" t="s">
        <v>22022</v>
      </c>
      <c r="P2185" s="807" t="s">
        <v>22023</v>
      </c>
    </row>
    <row r="2186" spans="1:16" s="341" customFormat="1" ht="25.5" customHeight="1">
      <c r="A2186" s="806" t="s">
        <v>110</v>
      </c>
      <c r="B2186" s="800" t="s">
        <v>38</v>
      </c>
      <c r="C2186" s="800" t="s">
        <v>7738</v>
      </c>
      <c r="D2186" s="800" t="s">
        <v>22024</v>
      </c>
      <c r="E2186" s="801">
        <v>43052</v>
      </c>
      <c r="F2186" s="800" t="s">
        <v>22013</v>
      </c>
      <c r="G2186" s="800" t="s">
        <v>22025</v>
      </c>
      <c r="H2186" s="800" t="s">
        <v>10404</v>
      </c>
      <c r="I2186" s="800" t="s">
        <v>10404</v>
      </c>
      <c r="J2186" s="800" t="s">
        <v>10405</v>
      </c>
      <c r="K2186" s="800">
        <v>1</v>
      </c>
      <c r="L2186" s="802" t="s">
        <v>10398</v>
      </c>
      <c r="M2186" s="802" t="s">
        <v>22026</v>
      </c>
      <c r="N2186" s="802" t="s">
        <v>22027</v>
      </c>
      <c r="O2186" s="802" t="s">
        <v>22028</v>
      </c>
      <c r="P2186" s="807" t="s">
        <v>22029</v>
      </c>
    </row>
    <row r="2187" spans="1:16" s="341" customFormat="1" ht="25.5" customHeight="1">
      <c r="A2187" s="806" t="s">
        <v>110</v>
      </c>
      <c r="B2187" s="800" t="s">
        <v>38</v>
      </c>
      <c r="C2187" s="800" t="s">
        <v>7738</v>
      </c>
      <c r="D2187" s="800" t="s">
        <v>22030</v>
      </c>
      <c r="E2187" s="801">
        <v>43052</v>
      </c>
      <c r="F2187" s="800" t="s">
        <v>22031</v>
      </c>
      <c r="G2187" s="800" t="s">
        <v>22032</v>
      </c>
      <c r="H2187" s="800" t="s">
        <v>10531</v>
      </c>
      <c r="I2187" s="800" t="s">
        <v>10531</v>
      </c>
      <c r="J2187" s="800" t="s">
        <v>10397</v>
      </c>
      <c r="K2187" s="800">
        <v>1</v>
      </c>
      <c r="L2187" s="802" t="s">
        <v>10398</v>
      </c>
      <c r="M2187" s="802" t="s">
        <v>22033</v>
      </c>
      <c r="N2187" s="802" t="s">
        <v>11964</v>
      </c>
      <c r="O2187" s="802" t="s">
        <v>22034</v>
      </c>
      <c r="P2187" s="807" t="s">
        <v>32</v>
      </c>
    </row>
    <row r="2188" spans="1:16" s="341" customFormat="1" ht="25.5" customHeight="1">
      <c r="A2188" s="806" t="s">
        <v>110</v>
      </c>
      <c r="B2188" s="800" t="s">
        <v>38</v>
      </c>
      <c r="C2188" s="800" t="s">
        <v>7738</v>
      </c>
      <c r="D2188" s="800" t="s">
        <v>22035</v>
      </c>
      <c r="E2188" s="801">
        <v>43052</v>
      </c>
      <c r="F2188" s="800" t="s">
        <v>22031</v>
      </c>
      <c r="G2188" s="800" t="s">
        <v>22036</v>
      </c>
      <c r="H2188" s="800" t="s">
        <v>10531</v>
      </c>
      <c r="I2188" s="800" t="s">
        <v>10531</v>
      </c>
      <c r="J2188" s="800" t="s">
        <v>10397</v>
      </c>
      <c r="K2188" s="800">
        <v>1</v>
      </c>
      <c r="L2188" s="802" t="s">
        <v>10398</v>
      </c>
      <c r="M2188" s="802" t="s">
        <v>22037</v>
      </c>
      <c r="N2188" s="802" t="s">
        <v>21398</v>
      </c>
      <c r="O2188" s="802" t="s">
        <v>22038</v>
      </c>
      <c r="P2188" s="807" t="s">
        <v>32</v>
      </c>
    </row>
    <row r="2189" spans="1:16" s="341" customFormat="1" ht="25.5" customHeight="1">
      <c r="A2189" s="806" t="s">
        <v>110</v>
      </c>
      <c r="B2189" s="800" t="s">
        <v>38</v>
      </c>
      <c r="C2189" s="800" t="s">
        <v>7738</v>
      </c>
      <c r="D2189" s="800" t="s">
        <v>22039</v>
      </c>
      <c r="E2189" s="801">
        <v>43082</v>
      </c>
      <c r="F2189" s="800" t="s">
        <v>22031</v>
      </c>
      <c r="G2189" s="800" t="s">
        <v>22040</v>
      </c>
      <c r="H2189" s="800" t="s">
        <v>10433</v>
      </c>
      <c r="I2189" s="800" t="s">
        <v>10433</v>
      </c>
      <c r="J2189" s="800" t="s">
        <v>10447</v>
      </c>
      <c r="K2189" s="800">
        <v>1</v>
      </c>
      <c r="L2189" s="802" t="s">
        <v>10398</v>
      </c>
      <c r="M2189" s="802" t="s">
        <v>22041</v>
      </c>
      <c r="N2189" s="802" t="s">
        <v>19922</v>
      </c>
      <c r="O2189" s="802" t="s">
        <v>22042</v>
      </c>
      <c r="P2189" s="807" t="s">
        <v>22043</v>
      </c>
    </row>
    <row r="2190" spans="1:16" s="341" customFormat="1" ht="25.5" customHeight="1">
      <c r="A2190" s="806" t="s">
        <v>110</v>
      </c>
      <c r="B2190" s="800" t="s">
        <v>38</v>
      </c>
      <c r="C2190" s="800" t="s">
        <v>7738</v>
      </c>
      <c r="D2190" s="800" t="s">
        <v>22044</v>
      </c>
      <c r="E2190" s="801">
        <v>43049</v>
      </c>
      <c r="F2190" s="800" t="s">
        <v>22045</v>
      </c>
      <c r="G2190" s="800" t="s">
        <v>22046</v>
      </c>
      <c r="H2190" s="800" t="s">
        <v>10396</v>
      </c>
      <c r="I2190" s="800" t="s">
        <v>10396</v>
      </c>
      <c r="J2190" s="800" t="s">
        <v>10397</v>
      </c>
      <c r="K2190" s="800">
        <v>1</v>
      </c>
      <c r="L2190" s="802" t="s">
        <v>10398</v>
      </c>
      <c r="M2190" s="802" t="s">
        <v>22047</v>
      </c>
      <c r="N2190" s="802" t="s">
        <v>22048</v>
      </c>
      <c r="O2190" s="802" t="s">
        <v>22049</v>
      </c>
      <c r="P2190" s="807" t="s">
        <v>22050</v>
      </c>
    </row>
    <row r="2191" spans="1:16" s="341" customFormat="1" ht="25.5" customHeight="1">
      <c r="A2191" s="806" t="s">
        <v>110</v>
      </c>
      <c r="B2191" s="800" t="s">
        <v>38</v>
      </c>
      <c r="C2191" s="800" t="s">
        <v>7738</v>
      </c>
      <c r="D2191" s="800" t="s">
        <v>22051</v>
      </c>
      <c r="E2191" s="801">
        <v>43049</v>
      </c>
      <c r="F2191" s="800" t="s">
        <v>22045</v>
      </c>
      <c r="G2191" s="800" t="s">
        <v>22052</v>
      </c>
      <c r="H2191" s="800" t="s">
        <v>10396</v>
      </c>
      <c r="I2191" s="800" t="s">
        <v>10396</v>
      </c>
      <c r="J2191" s="800" t="s">
        <v>10397</v>
      </c>
      <c r="K2191" s="800">
        <v>1</v>
      </c>
      <c r="L2191" s="802" t="s">
        <v>10398</v>
      </c>
      <c r="M2191" s="802" t="s">
        <v>22053</v>
      </c>
      <c r="N2191" s="802" t="s">
        <v>14436</v>
      </c>
      <c r="O2191" s="802" t="s">
        <v>22054</v>
      </c>
      <c r="P2191" s="807" t="s">
        <v>22055</v>
      </c>
    </row>
    <row r="2192" spans="1:16" s="341" customFormat="1" ht="25.5" customHeight="1">
      <c r="A2192" s="806" t="s">
        <v>110</v>
      </c>
      <c r="B2192" s="800" t="s">
        <v>38</v>
      </c>
      <c r="C2192" s="800" t="s">
        <v>7738</v>
      </c>
      <c r="D2192" s="800" t="s">
        <v>22056</v>
      </c>
      <c r="E2192" s="801">
        <v>43049</v>
      </c>
      <c r="F2192" s="800" t="s">
        <v>22045</v>
      </c>
      <c r="G2192" s="800" t="s">
        <v>22057</v>
      </c>
      <c r="H2192" s="800" t="s">
        <v>10404</v>
      </c>
      <c r="I2192" s="800" t="s">
        <v>10404</v>
      </c>
      <c r="J2192" s="800" t="s">
        <v>10405</v>
      </c>
      <c r="K2192" s="800">
        <v>1</v>
      </c>
      <c r="L2192" s="802" t="s">
        <v>10398</v>
      </c>
      <c r="M2192" s="802" t="s">
        <v>22058</v>
      </c>
      <c r="N2192" s="802" t="s">
        <v>22059</v>
      </c>
      <c r="O2192" s="802" t="s">
        <v>22060</v>
      </c>
      <c r="P2192" s="807" t="s">
        <v>32</v>
      </c>
    </row>
    <row r="2193" spans="1:16" s="341" customFormat="1" ht="25.5" customHeight="1">
      <c r="A2193" s="806" t="s">
        <v>110</v>
      </c>
      <c r="B2193" s="800" t="s">
        <v>38</v>
      </c>
      <c r="C2193" s="800" t="s">
        <v>7738</v>
      </c>
      <c r="D2193" s="800" t="s">
        <v>22061</v>
      </c>
      <c r="E2193" s="801">
        <v>43049</v>
      </c>
      <c r="F2193" s="800" t="s">
        <v>22062</v>
      </c>
      <c r="G2193" s="800" t="s">
        <v>22063</v>
      </c>
      <c r="H2193" s="800" t="s">
        <v>10531</v>
      </c>
      <c r="I2193" s="800" t="s">
        <v>10531</v>
      </c>
      <c r="J2193" s="800" t="s">
        <v>10397</v>
      </c>
      <c r="K2193" s="800">
        <v>1</v>
      </c>
      <c r="L2193" s="802" t="s">
        <v>10398</v>
      </c>
      <c r="M2193" s="802" t="s">
        <v>22064</v>
      </c>
      <c r="N2193" s="802" t="s">
        <v>22065</v>
      </c>
      <c r="O2193" s="802" t="s">
        <v>22066</v>
      </c>
      <c r="P2193" s="807" t="s">
        <v>22067</v>
      </c>
    </row>
    <row r="2194" spans="1:16" s="341" customFormat="1" ht="25.5" customHeight="1">
      <c r="A2194" s="806" t="s">
        <v>110</v>
      </c>
      <c r="B2194" s="800" t="s">
        <v>38</v>
      </c>
      <c r="C2194" s="800" t="s">
        <v>7738</v>
      </c>
      <c r="D2194" s="800" t="s">
        <v>22068</v>
      </c>
      <c r="E2194" s="801">
        <v>43049</v>
      </c>
      <c r="F2194" s="800" t="s">
        <v>22062</v>
      </c>
      <c r="G2194" s="800" t="s">
        <v>22069</v>
      </c>
      <c r="H2194" s="800" t="s">
        <v>10396</v>
      </c>
      <c r="I2194" s="800" t="s">
        <v>10396</v>
      </c>
      <c r="J2194" s="800" t="s">
        <v>10397</v>
      </c>
      <c r="K2194" s="800">
        <v>1</v>
      </c>
      <c r="L2194" s="802" t="s">
        <v>10398</v>
      </c>
      <c r="M2194" s="802" t="s">
        <v>22070</v>
      </c>
      <c r="N2194" s="802" t="s">
        <v>22071</v>
      </c>
      <c r="O2194" s="802" t="s">
        <v>22072</v>
      </c>
      <c r="P2194" s="807" t="s">
        <v>22073</v>
      </c>
    </row>
    <row r="2195" spans="1:16" s="341" customFormat="1" ht="25.5" customHeight="1">
      <c r="A2195" s="806" t="s">
        <v>110</v>
      </c>
      <c r="B2195" s="800" t="s">
        <v>38</v>
      </c>
      <c r="C2195" s="800" t="s">
        <v>7738</v>
      </c>
      <c r="D2195" s="800" t="s">
        <v>22074</v>
      </c>
      <c r="E2195" s="801">
        <v>43049</v>
      </c>
      <c r="F2195" s="800" t="s">
        <v>22062</v>
      </c>
      <c r="G2195" s="800" t="s">
        <v>22075</v>
      </c>
      <c r="H2195" s="800" t="s">
        <v>10396</v>
      </c>
      <c r="I2195" s="800" t="s">
        <v>10396</v>
      </c>
      <c r="J2195" s="800" t="s">
        <v>10397</v>
      </c>
      <c r="K2195" s="800">
        <v>1</v>
      </c>
      <c r="L2195" s="802" t="s">
        <v>10398</v>
      </c>
      <c r="M2195" s="802" t="s">
        <v>22076</v>
      </c>
      <c r="N2195" s="802" t="s">
        <v>15069</v>
      </c>
      <c r="O2195" s="802" t="s">
        <v>22077</v>
      </c>
      <c r="P2195" s="807" t="s">
        <v>22078</v>
      </c>
    </row>
    <row r="2196" spans="1:16" s="341" customFormat="1" ht="25.5" customHeight="1">
      <c r="A2196" s="806" t="s">
        <v>110</v>
      </c>
      <c r="B2196" s="800" t="s">
        <v>38</v>
      </c>
      <c r="C2196" s="800" t="s">
        <v>7738</v>
      </c>
      <c r="D2196" s="800" t="s">
        <v>22079</v>
      </c>
      <c r="E2196" s="801">
        <v>43052</v>
      </c>
      <c r="F2196" s="800" t="s">
        <v>22080</v>
      </c>
      <c r="G2196" s="800" t="s">
        <v>22081</v>
      </c>
      <c r="H2196" s="800" t="s">
        <v>10531</v>
      </c>
      <c r="I2196" s="800" t="s">
        <v>10531</v>
      </c>
      <c r="J2196" s="800" t="s">
        <v>10664</v>
      </c>
      <c r="K2196" s="800">
        <v>1</v>
      </c>
      <c r="L2196" s="802" t="s">
        <v>10605</v>
      </c>
      <c r="M2196" s="802" t="s">
        <v>32</v>
      </c>
      <c r="N2196" s="802" t="s">
        <v>22082</v>
      </c>
      <c r="O2196" s="802" t="s">
        <v>22083</v>
      </c>
      <c r="P2196" s="807" t="s">
        <v>32</v>
      </c>
    </row>
    <row r="2197" spans="1:16" s="341" customFormat="1" ht="25.5" customHeight="1">
      <c r="A2197" s="806" t="s">
        <v>110</v>
      </c>
      <c r="B2197" s="800" t="s">
        <v>38</v>
      </c>
      <c r="C2197" s="800" t="s">
        <v>7738</v>
      </c>
      <c r="D2197" s="800" t="s">
        <v>22084</v>
      </c>
      <c r="E2197" s="801">
        <v>43052</v>
      </c>
      <c r="F2197" s="800" t="s">
        <v>22085</v>
      </c>
      <c r="G2197" s="800" t="s">
        <v>22086</v>
      </c>
      <c r="H2197" s="800" t="s">
        <v>10531</v>
      </c>
      <c r="I2197" s="800" t="s">
        <v>10531</v>
      </c>
      <c r="J2197" s="800" t="s">
        <v>10664</v>
      </c>
      <c r="K2197" s="800">
        <v>1</v>
      </c>
      <c r="L2197" s="802" t="s">
        <v>10398</v>
      </c>
      <c r="M2197" s="802" t="s">
        <v>22087</v>
      </c>
      <c r="N2197" s="802" t="s">
        <v>22088</v>
      </c>
      <c r="O2197" s="802" t="s">
        <v>22089</v>
      </c>
      <c r="P2197" s="807" t="s">
        <v>22090</v>
      </c>
    </row>
    <row r="2198" spans="1:16" s="341" customFormat="1" ht="25.5" customHeight="1">
      <c r="A2198" s="806" t="s">
        <v>110</v>
      </c>
      <c r="B2198" s="800" t="s">
        <v>38</v>
      </c>
      <c r="C2198" s="800" t="s">
        <v>7738</v>
      </c>
      <c r="D2198" s="800" t="s">
        <v>22091</v>
      </c>
      <c r="E2198" s="801">
        <v>43049</v>
      </c>
      <c r="F2198" s="800" t="s">
        <v>3666</v>
      </c>
      <c r="G2198" s="800" t="s">
        <v>22092</v>
      </c>
      <c r="H2198" s="800" t="s">
        <v>10396</v>
      </c>
      <c r="I2198" s="800" t="s">
        <v>10396</v>
      </c>
      <c r="J2198" s="800" t="s">
        <v>10405</v>
      </c>
      <c r="K2198" s="800">
        <v>1</v>
      </c>
      <c r="L2198" s="802" t="s">
        <v>10398</v>
      </c>
      <c r="M2198" s="802" t="s">
        <v>22093</v>
      </c>
      <c r="N2198" s="802" t="s">
        <v>22094</v>
      </c>
      <c r="O2198" s="802" t="s">
        <v>22095</v>
      </c>
      <c r="P2198" s="807" t="s">
        <v>22096</v>
      </c>
    </row>
    <row r="2199" spans="1:16" s="341" customFormat="1" ht="25.5" customHeight="1">
      <c r="A2199" s="806" t="s">
        <v>110</v>
      </c>
      <c r="B2199" s="800" t="s">
        <v>38</v>
      </c>
      <c r="C2199" s="800" t="s">
        <v>7738</v>
      </c>
      <c r="D2199" s="800" t="s">
        <v>22097</v>
      </c>
      <c r="E2199" s="801">
        <v>43042</v>
      </c>
      <c r="F2199" s="800" t="s">
        <v>22098</v>
      </c>
      <c r="G2199" s="800" t="s">
        <v>22099</v>
      </c>
      <c r="H2199" s="800" t="s">
        <v>10531</v>
      </c>
      <c r="I2199" s="800" t="s">
        <v>10531</v>
      </c>
      <c r="J2199" s="800" t="s">
        <v>10664</v>
      </c>
      <c r="K2199" s="800">
        <v>1</v>
      </c>
      <c r="L2199" s="802" t="s">
        <v>10398</v>
      </c>
      <c r="M2199" s="802" t="s">
        <v>22100</v>
      </c>
      <c r="N2199" s="802" t="s">
        <v>22101</v>
      </c>
      <c r="O2199" s="802" t="s">
        <v>22102</v>
      </c>
      <c r="P2199" s="807" t="s">
        <v>32</v>
      </c>
    </row>
    <row r="2200" spans="1:16" s="341" customFormat="1" ht="25.5" customHeight="1">
      <c r="A2200" s="806" t="s">
        <v>110</v>
      </c>
      <c r="B2200" s="800" t="s">
        <v>38</v>
      </c>
      <c r="C2200" s="800" t="s">
        <v>7738</v>
      </c>
      <c r="D2200" s="800" t="s">
        <v>22103</v>
      </c>
      <c r="E2200" s="801">
        <v>43042</v>
      </c>
      <c r="F2200" s="800" t="s">
        <v>21572</v>
      </c>
      <c r="G2200" s="800" t="s">
        <v>22104</v>
      </c>
      <c r="H2200" s="800" t="s">
        <v>10404</v>
      </c>
      <c r="I2200" s="800" t="s">
        <v>10404</v>
      </c>
      <c r="J2200" s="800" t="s">
        <v>10405</v>
      </c>
      <c r="K2200" s="800">
        <v>1</v>
      </c>
      <c r="L2200" s="802" t="s">
        <v>10398</v>
      </c>
      <c r="M2200" s="802" t="s">
        <v>22105</v>
      </c>
      <c r="N2200" s="802" t="s">
        <v>22106</v>
      </c>
      <c r="O2200" s="802" t="s">
        <v>22107</v>
      </c>
      <c r="P2200" s="807" t="s">
        <v>32</v>
      </c>
    </row>
    <row r="2201" spans="1:16" s="341" customFormat="1" ht="25.5" customHeight="1">
      <c r="A2201" s="806" t="s">
        <v>110</v>
      </c>
      <c r="B2201" s="800" t="s">
        <v>38</v>
      </c>
      <c r="C2201" s="800" t="s">
        <v>7738</v>
      </c>
      <c r="D2201" s="800" t="s">
        <v>22108</v>
      </c>
      <c r="E2201" s="801">
        <v>43039</v>
      </c>
      <c r="F2201" s="800" t="s">
        <v>7955</v>
      </c>
      <c r="G2201" s="800" t="s">
        <v>32</v>
      </c>
      <c r="H2201" s="800" t="s">
        <v>10396</v>
      </c>
      <c r="I2201" s="800" t="s">
        <v>10396</v>
      </c>
      <c r="J2201" s="800" t="s">
        <v>10397</v>
      </c>
      <c r="K2201" s="800">
        <v>1</v>
      </c>
      <c r="L2201" s="802" t="s">
        <v>10398</v>
      </c>
      <c r="M2201" s="802" t="s">
        <v>22109</v>
      </c>
      <c r="N2201" s="802" t="s">
        <v>22110</v>
      </c>
      <c r="O2201" s="802" t="s">
        <v>22111</v>
      </c>
      <c r="P2201" s="807" t="s">
        <v>32</v>
      </c>
    </row>
    <row r="2202" spans="1:16" s="341" customFormat="1" ht="25.5" customHeight="1">
      <c r="A2202" s="806" t="s">
        <v>110</v>
      </c>
      <c r="B2202" s="800" t="s">
        <v>38</v>
      </c>
      <c r="C2202" s="800" t="s">
        <v>7738</v>
      </c>
      <c r="D2202" s="800" t="s">
        <v>22112</v>
      </c>
      <c r="E2202" s="801">
        <v>43046</v>
      </c>
      <c r="F2202" s="800" t="s">
        <v>8541</v>
      </c>
      <c r="G2202" s="800" t="s">
        <v>32</v>
      </c>
      <c r="H2202" s="800" t="s">
        <v>10404</v>
      </c>
      <c r="I2202" s="800" t="s">
        <v>10404</v>
      </c>
      <c r="J2202" s="800" t="s">
        <v>10664</v>
      </c>
      <c r="K2202" s="800">
        <v>1</v>
      </c>
      <c r="L2202" s="802" t="s">
        <v>10398</v>
      </c>
      <c r="M2202" s="802" t="s">
        <v>22113</v>
      </c>
      <c r="N2202" s="802" t="s">
        <v>22114</v>
      </c>
      <c r="O2202" s="802" t="s">
        <v>22115</v>
      </c>
      <c r="P2202" s="807" t="s">
        <v>32</v>
      </c>
    </row>
    <row r="2203" spans="1:16" s="341" customFormat="1" ht="25.5" customHeight="1">
      <c r="A2203" s="806" t="s">
        <v>110</v>
      </c>
      <c r="B2203" s="800" t="s">
        <v>38</v>
      </c>
      <c r="C2203" s="800" t="s">
        <v>7738</v>
      </c>
      <c r="D2203" s="800" t="s">
        <v>22116</v>
      </c>
      <c r="E2203" s="801">
        <v>43039</v>
      </c>
      <c r="F2203" s="800" t="s">
        <v>7955</v>
      </c>
      <c r="G2203" s="800" t="s">
        <v>32</v>
      </c>
      <c r="H2203" s="800" t="s">
        <v>10396</v>
      </c>
      <c r="I2203" s="800" t="s">
        <v>10396</v>
      </c>
      <c r="J2203" s="800" t="s">
        <v>10397</v>
      </c>
      <c r="K2203" s="800">
        <v>1</v>
      </c>
      <c r="L2203" s="802" t="s">
        <v>10398</v>
      </c>
      <c r="M2203" s="802" t="s">
        <v>22117</v>
      </c>
      <c r="N2203" s="802" t="s">
        <v>22118</v>
      </c>
      <c r="O2203" s="802" t="s">
        <v>22119</v>
      </c>
      <c r="P2203" s="807" t="s">
        <v>32</v>
      </c>
    </row>
    <row r="2204" spans="1:16" s="341" customFormat="1" ht="25.5" customHeight="1">
      <c r="A2204" s="806" t="s">
        <v>110</v>
      </c>
      <c r="B2204" s="800" t="s">
        <v>38</v>
      </c>
      <c r="C2204" s="800" t="s">
        <v>7738</v>
      </c>
      <c r="D2204" s="800" t="s">
        <v>22120</v>
      </c>
      <c r="E2204" s="801">
        <v>43046</v>
      </c>
      <c r="F2204" s="800" t="s">
        <v>22121</v>
      </c>
      <c r="G2204" s="800" t="s">
        <v>32</v>
      </c>
      <c r="H2204" s="800" t="s">
        <v>10396</v>
      </c>
      <c r="I2204" s="800" t="s">
        <v>10396</v>
      </c>
      <c r="J2204" s="800" t="s">
        <v>10397</v>
      </c>
      <c r="K2204" s="800">
        <v>1</v>
      </c>
      <c r="L2204" s="802" t="s">
        <v>10398</v>
      </c>
      <c r="M2204" s="802" t="s">
        <v>22122</v>
      </c>
      <c r="N2204" s="802" t="s">
        <v>22123</v>
      </c>
      <c r="O2204" s="802" t="s">
        <v>22124</v>
      </c>
      <c r="P2204" s="807" t="s">
        <v>32</v>
      </c>
    </row>
    <row r="2205" spans="1:16" s="341" customFormat="1" ht="25.5" customHeight="1">
      <c r="A2205" s="806" t="s">
        <v>110</v>
      </c>
      <c r="B2205" s="800" t="s">
        <v>38</v>
      </c>
      <c r="C2205" s="800" t="s">
        <v>7738</v>
      </c>
      <c r="D2205" s="800" t="s">
        <v>22125</v>
      </c>
      <c r="E2205" s="801">
        <v>43046</v>
      </c>
      <c r="F2205" s="800" t="s">
        <v>22126</v>
      </c>
      <c r="G2205" s="800" t="s">
        <v>22126</v>
      </c>
      <c r="H2205" s="800" t="s">
        <v>10404</v>
      </c>
      <c r="I2205" s="800" t="s">
        <v>10404</v>
      </c>
      <c r="J2205" s="800" t="s">
        <v>10405</v>
      </c>
      <c r="K2205" s="800">
        <v>1</v>
      </c>
      <c r="L2205" s="802" t="s">
        <v>10398</v>
      </c>
      <c r="M2205" s="802" t="s">
        <v>22127</v>
      </c>
      <c r="N2205" s="802" t="s">
        <v>12286</v>
      </c>
      <c r="O2205" s="802" t="s">
        <v>22128</v>
      </c>
      <c r="P2205" s="807" t="s">
        <v>32</v>
      </c>
    </row>
    <row r="2206" spans="1:16" s="341" customFormat="1" ht="25.5" customHeight="1">
      <c r="A2206" s="806" t="s">
        <v>110</v>
      </c>
      <c r="B2206" s="800" t="s">
        <v>38</v>
      </c>
      <c r="C2206" s="800" t="s">
        <v>7738</v>
      </c>
      <c r="D2206" s="800" t="s">
        <v>22129</v>
      </c>
      <c r="E2206" s="801">
        <v>43052</v>
      </c>
      <c r="F2206" s="800" t="s">
        <v>22080</v>
      </c>
      <c r="G2206" s="800" t="s">
        <v>22130</v>
      </c>
      <c r="H2206" s="800" t="s">
        <v>10396</v>
      </c>
      <c r="I2206" s="800" t="s">
        <v>10396</v>
      </c>
      <c r="J2206" s="800" t="s">
        <v>10397</v>
      </c>
      <c r="K2206" s="800">
        <v>1</v>
      </c>
      <c r="L2206" s="802" t="s">
        <v>10398</v>
      </c>
      <c r="M2206" s="802" t="s">
        <v>22131</v>
      </c>
      <c r="N2206" s="802" t="s">
        <v>22132</v>
      </c>
      <c r="O2206" s="802" t="s">
        <v>22133</v>
      </c>
      <c r="P2206" s="807" t="s">
        <v>32</v>
      </c>
    </row>
    <row r="2207" spans="1:16" s="341" customFormat="1" ht="25.5" customHeight="1">
      <c r="A2207" s="806" t="s">
        <v>110</v>
      </c>
      <c r="B2207" s="800" t="s">
        <v>38</v>
      </c>
      <c r="C2207" s="800" t="s">
        <v>7738</v>
      </c>
      <c r="D2207" s="800" t="s">
        <v>22134</v>
      </c>
      <c r="E2207" s="801">
        <v>43052</v>
      </c>
      <c r="F2207" s="800" t="s">
        <v>22135</v>
      </c>
      <c r="G2207" s="800" t="s">
        <v>22031</v>
      </c>
      <c r="H2207" s="800" t="s">
        <v>10531</v>
      </c>
      <c r="I2207" s="800" t="s">
        <v>10531</v>
      </c>
      <c r="J2207" s="800" t="s">
        <v>10397</v>
      </c>
      <c r="K2207" s="800">
        <v>1</v>
      </c>
      <c r="L2207" s="802" t="s">
        <v>10398</v>
      </c>
      <c r="M2207" s="802" t="s">
        <v>22136</v>
      </c>
      <c r="N2207" s="802" t="s">
        <v>22137</v>
      </c>
      <c r="O2207" s="802" t="s">
        <v>22138</v>
      </c>
      <c r="P2207" s="807" t="s">
        <v>32</v>
      </c>
    </row>
    <row r="2208" spans="1:16" s="341" customFormat="1" ht="25.5" customHeight="1">
      <c r="A2208" s="806" t="s">
        <v>110</v>
      </c>
      <c r="B2208" s="800" t="s">
        <v>38</v>
      </c>
      <c r="C2208" s="800" t="s">
        <v>7738</v>
      </c>
      <c r="D2208" s="800" t="s">
        <v>22139</v>
      </c>
      <c r="E2208" s="801">
        <v>43052</v>
      </c>
      <c r="F2208" s="800" t="s">
        <v>22001</v>
      </c>
      <c r="G2208" s="800" t="s">
        <v>22140</v>
      </c>
      <c r="H2208" s="800" t="s">
        <v>10404</v>
      </c>
      <c r="I2208" s="800" t="s">
        <v>10404</v>
      </c>
      <c r="J2208" s="800" t="s">
        <v>10405</v>
      </c>
      <c r="K2208" s="800">
        <v>1</v>
      </c>
      <c r="L2208" s="802" t="s">
        <v>10398</v>
      </c>
      <c r="M2208" s="802" t="s">
        <v>22141</v>
      </c>
      <c r="N2208" s="802" t="s">
        <v>22142</v>
      </c>
      <c r="O2208" s="802" t="s">
        <v>22143</v>
      </c>
      <c r="P2208" s="807" t="s">
        <v>32</v>
      </c>
    </row>
    <row r="2209" spans="1:16" s="341" customFormat="1" ht="25.5" customHeight="1">
      <c r="A2209" s="806" t="s">
        <v>110</v>
      </c>
      <c r="B2209" s="800" t="s">
        <v>38</v>
      </c>
      <c r="C2209" s="800" t="s">
        <v>7738</v>
      </c>
      <c r="D2209" s="800" t="s">
        <v>22144</v>
      </c>
      <c r="E2209" s="801">
        <v>43049</v>
      </c>
      <c r="F2209" s="800" t="s">
        <v>3666</v>
      </c>
      <c r="G2209" s="800" t="s">
        <v>22145</v>
      </c>
      <c r="H2209" s="800" t="s">
        <v>10531</v>
      </c>
      <c r="I2209" s="800" t="s">
        <v>10531</v>
      </c>
      <c r="J2209" s="800" t="s">
        <v>10664</v>
      </c>
      <c r="K2209" s="800">
        <v>1</v>
      </c>
      <c r="L2209" s="802" t="s">
        <v>10398</v>
      </c>
      <c r="M2209" s="802" t="s">
        <v>22146</v>
      </c>
      <c r="N2209" s="802" t="s">
        <v>22147</v>
      </c>
      <c r="O2209" s="802" t="s">
        <v>22148</v>
      </c>
      <c r="P2209" s="807" t="s">
        <v>32</v>
      </c>
    </row>
    <row r="2210" spans="1:16" s="341" customFormat="1" ht="25.5" customHeight="1">
      <c r="A2210" s="806" t="s">
        <v>110</v>
      </c>
      <c r="B2210" s="800" t="s">
        <v>38</v>
      </c>
      <c r="C2210" s="800" t="s">
        <v>7738</v>
      </c>
      <c r="D2210" s="800" t="s">
        <v>22149</v>
      </c>
      <c r="E2210" s="801">
        <v>43049</v>
      </c>
      <c r="F2210" s="800" t="s">
        <v>3666</v>
      </c>
      <c r="G2210" s="800" t="s">
        <v>22150</v>
      </c>
      <c r="H2210" s="800" t="s">
        <v>10531</v>
      </c>
      <c r="I2210" s="800" t="s">
        <v>10531</v>
      </c>
      <c r="J2210" s="800" t="s">
        <v>10664</v>
      </c>
      <c r="K2210" s="800">
        <v>1</v>
      </c>
      <c r="L2210" s="802" t="s">
        <v>10398</v>
      </c>
      <c r="M2210" s="802" t="s">
        <v>22151</v>
      </c>
      <c r="N2210" s="802" t="s">
        <v>22152</v>
      </c>
      <c r="O2210" s="802" t="s">
        <v>22153</v>
      </c>
      <c r="P2210" s="807" t="s">
        <v>32</v>
      </c>
    </row>
    <row r="2211" spans="1:16" s="341" customFormat="1" ht="25.5" customHeight="1">
      <c r="A2211" s="806" t="s">
        <v>110</v>
      </c>
      <c r="B2211" s="800" t="s">
        <v>4738</v>
      </c>
      <c r="C2211" s="800" t="s">
        <v>4738</v>
      </c>
      <c r="D2211" s="800" t="s">
        <v>22154</v>
      </c>
      <c r="E2211" s="801">
        <v>43042</v>
      </c>
      <c r="F2211" s="800" t="s">
        <v>22155</v>
      </c>
      <c r="G2211" s="800" t="s">
        <v>22156</v>
      </c>
      <c r="H2211" s="800" t="s">
        <v>10396</v>
      </c>
      <c r="I2211" s="800" t="s">
        <v>10396</v>
      </c>
      <c r="J2211" s="800" t="s">
        <v>10664</v>
      </c>
      <c r="K2211" s="800">
        <v>1</v>
      </c>
      <c r="L2211" s="802" t="s">
        <v>10398</v>
      </c>
      <c r="M2211" s="802" t="s">
        <v>22157</v>
      </c>
      <c r="N2211" s="802" t="s">
        <v>22158</v>
      </c>
      <c r="O2211" s="802" t="s">
        <v>22159</v>
      </c>
      <c r="P2211" s="807" t="s">
        <v>32</v>
      </c>
    </row>
    <row r="2212" spans="1:16" s="341" customFormat="1" ht="25.5" customHeight="1">
      <c r="A2212" s="806" t="s">
        <v>110</v>
      </c>
      <c r="B2212" s="800" t="s">
        <v>4738</v>
      </c>
      <c r="C2212" s="800" t="s">
        <v>4738</v>
      </c>
      <c r="D2212" s="800" t="s">
        <v>22160</v>
      </c>
      <c r="E2212" s="801">
        <v>43042</v>
      </c>
      <c r="F2212" s="800" t="s">
        <v>10945</v>
      </c>
      <c r="G2212" s="800" t="s">
        <v>22161</v>
      </c>
      <c r="H2212" s="800" t="s">
        <v>10433</v>
      </c>
      <c r="I2212" s="800" t="s">
        <v>10433</v>
      </c>
      <c r="J2212" s="800" t="s">
        <v>10447</v>
      </c>
      <c r="K2212" s="800">
        <v>1</v>
      </c>
      <c r="L2212" s="802" t="s">
        <v>10398</v>
      </c>
      <c r="M2212" s="802" t="s">
        <v>22162</v>
      </c>
      <c r="N2212" s="802" t="s">
        <v>18519</v>
      </c>
      <c r="O2212" s="802" t="s">
        <v>22163</v>
      </c>
      <c r="P2212" s="807" t="s">
        <v>22164</v>
      </c>
    </row>
    <row r="2213" spans="1:16" s="341" customFormat="1" ht="25.5" customHeight="1">
      <c r="A2213" s="806" t="s">
        <v>110</v>
      </c>
      <c r="B2213" s="800" t="s">
        <v>4738</v>
      </c>
      <c r="C2213" s="800" t="s">
        <v>4738</v>
      </c>
      <c r="D2213" s="800" t="s">
        <v>22165</v>
      </c>
      <c r="E2213" s="801">
        <v>43042</v>
      </c>
      <c r="F2213" s="800" t="s">
        <v>1697</v>
      </c>
      <c r="G2213" s="800" t="s">
        <v>22166</v>
      </c>
      <c r="H2213" s="800" t="s">
        <v>10433</v>
      </c>
      <c r="I2213" s="800" t="s">
        <v>10433</v>
      </c>
      <c r="J2213" s="800" t="s">
        <v>10664</v>
      </c>
      <c r="K2213" s="800">
        <v>2</v>
      </c>
      <c r="L2213" s="802" t="s">
        <v>10398</v>
      </c>
      <c r="M2213" s="802" t="s">
        <v>22167</v>
      </c>
      <c r="N2213" s="802" t="s">
        <v>16069</v>
      </c>
      <c r="O2213" s="802" t="s">
        <v>22168</v>
      </c>
      <c r="P2213" s="807" t="s">
        <v>22169</v>
      </c>
    </row>
    <row r="2214" spans="1:16" s="341" customFormat="1" ht="25.5" customHeight="1">
      <c r="A2214" s="806" t="s">
        <v>110</v>
      </c>
      <c r="B2214" s="800" t="s">
        <v>4738</v>
      </c>
      <c r="C2214" s="800" t="s">
        <v>4738</v>
      </c>
      <c r="D2214" s="800" t="s">
        <v>22165</v>
      </c>
      <c r="E2214" s="801">
        <v>43042</v>
      </c>
      <c r="F2214" s="800" t="s">
        <v>1697</v>
      </c>
      <c r="G2214" s="800" t="s">
        <v>22166</v>
      </c>
      <c r="H2214" s="800" t="s">
        <v>10433</v>
      </c>
      <c r="I2214" s="800" t="s">
        <v>10433</v>
      </c>
      <c r="J2214" s="800" t="s">
        <v>10664</v>
      </c>
      <c r="K2214" s="800">
        <v>2</v>
      </c>
      <c r="L2214" s="802" t="s">
        <v>10398</v>
      </c>
      <c r="M2214" s="802" t="s">
        <v>22170</v>
      </c>
      <c r="N2214" s="802" t="s">
        <v>22171</v>
      </c>
      <c r="O2214" s="802" t="s">
        <v>22168</v>
      </c>
      <c r="P2214" s="807" t="s">
        <v>22169</v>
      </c>
    </row>
    <row r="2215" spans="1:16" s="341" customFormat="1" ht="25.5" customHeight="1">
      <c r="A2215" s="806" t="s">
        <v>110</v>
      </c>
      <c r="B2215" s="800" t="s">
        <v>4738</v>
      </c>
      <c r="C2215" s="800" t="s">
        <v>4738</v>
      </c>
      <c r="D2215" s="800" t="s">
        <v>22172</v>
      </c>
      <c r="E2215" s="801">
        <v>43042</v>
      </c>
      <c r="F2215" s="800" t="s">
        <v>1697</v>
      </c>
      <c r="G2215" s="800" t="s">
        <v>22173</v>
      </c>
      <c r="H2215" s="800" t="s">
        <v>10404</v>
      </c>
      <c r="I2215" s="800" t="s">
        <v>10404</v>
      </c>
      <c r="J2215" s="800" t="s">
        <v>10664</v>
      </c>
      <c r="K2215" s="800">
        <v>1</v>
      </c>
      <c r="L2215" s="802" t="s">
        <v>10398</v>
      </c>
      <c r="M2215" s="802" t="s">
        <v>22174</v>
      </c>
      <c r="N2215" s="802" t="s">
        <v>22175</v>
      </c>
      <c r="O2215" s="802" t="s">
        <v>22176</v>
      </c>
      <c r="P2215" s="807" t="s">
        <v>22177</v>
      </c>
    </row>
    <row r="2216" spans="1:16" s="341" customFormat="1" ht="25.5" customHeight="1">
      <c r="A2216" s="806" t="s">
        <v>110</v>
      </c>
      <c r="B2216" s="800" t="s">
        <v>4738</v>
      </c>
      <c r="C2216" s="800" t="s">
        <v>4738</v>
      </c>
      <c r="D2216" s="800" t="s">
        <v>22178</v>
      </c>
      <c r="E2216" s="801">
        <v>43042</v>
      </c>
      <c r="F2216" s="800" t="s">
        <v>1697</v>
      </c>
      <c r="G2216" s="800" t="s">
        <v>22179</v>
      </c>
      <c r="H2216" s="800" t="s">
        <v>10433</v>
      </c>
      <c r="I2216" s="800" t="s">
        <v>10433</v>
      </c>
      <c r="J2216" s="800" t="s">
        <v>10664</v>
      </c>
      <c r="K2216" s="800">
        <v>1</v>
      </c>
      <c r="L2216" s="802" t="s">
        <v>10398</v>
      </c>
      <c r="M2216" s="802" t="s">
        <v>22180</v>
      </c>
      <c r="N2216" s="802" t="s">
        <v>22181</v>
      </c>
      <c r="O2216" s="802" t="s">
        <v>22182</v>
      </c>
      <c r="P2216" s="807" t="s">
        <v>22183</v>
      </c>
    </row>
    <row r="2217" spans="1:16" s="341" customFormat="1" ht="25.5" customHeight="1">
      <c r="A2217" s="806" t="s">
        <v>110</v>
      </c>
      <c r="B2217" s="800" t="s">
        <v>4738</v>
      </c>
      <c r="C2217" s="800" t="s">
        <v>4738</v>
      </c>
      <c r="D2217" s="800" t="s">
        <v>22184</v>
      </c>
      <c r="E2217" s="801">
        <v>43042</v>
      </c>
      <c r="F2217" s="800" t="s">
        <v>22185</v>
      </c>
      <c r="G2217" s="800" t="s">
        <v>22166</v>
      </c>
      <c r="H2217" s="800" t="s">
        <v>10396</v>
      </c>
      <c r="I2217" s="800" t="s">
        <v>10396</v>
      </c>
      <c r="J2217" s="800" t="s">
        <v>10664</v>
      </c>
      <c r="K2217" s="800">
        <v>1</v>
      </c>
      <c r="L2217" s="802" t="s">
        <v>10398</v>
      </c>
      <c r="M2217" s="802" t="s">
        <v>22186</v>
      </c>
      <c r="N2217" s="802" t="s">
        <v>18938</v>
      </c>
      <c r="O2217" s="802" t="s">
        <v>22187</v>
      </c>
      <c r="P2217" s="807" t="s">
        <v>22188</v>
      </c>
    </row>
    <row r="2218" spans="1:16" s="341" customFormat="1" ht="25.5" customHeight="1">
      <c r="A2218" s="806" t="s">
        <v>110</v>
      </c>
      <c r="B2218" s="800" t="s">
        <v>4738</v>
      </c>
      <c r="C2218" s="800" t="s">
        <v>4738</v>
      </c>
      <c r="D2218" s="800" t="s">
        <v>22189</v>
      </c>
      <c r="E2218" s="801">
        <v>43042</v>
      </c>
      <c r="F2218" s="800" t="s">
        <v>22185</v>
      </c>
      <c r="G2218" s="800" t="s">
        <v>22190</v>
      </c>
      <c r="H2218" s="800" t="s">
        <v>10404</v>
      </c>
      <c r="I2218" s="800" t="s">
        <v>10404</v>
      </c>
      <c r="J2218" s="800" t="s">
        <v>10405</v>
      </c>
      <c r="K2218" s="800">
        <v>1</v>
      </c>
      <c r="L2218" s="802" t="s">
        <v>10398</v>
      </c>
      <c r="M2218" s="802" t="s">
        <v>22191</v>
      </c>
      <c r="N2218" s="802" t="s">
        <v>12557</v>
      </c>
      <c r="O2218" s="802" t="s">
        <v>22192</v>
      </c>
      <c r="P2218" s="807" t="s">
        <v>22193</v>
      </c>
    </row>
    <row r="2219" spans="1:16" s="341" customFormat="1" ht="25.5" customHeight="1">
      <c r="A2219" s="806" t="s">
        <v>110</v>
      </c>
      <c r="B2219" s="800" t="s">
        <v>4738</v>
      </c>
      <c r="C2219" s="800" t="s">
        <v>4738</v>
      </c>
      <c r="D2219" s="800" t="s">
        <v>22194</v>
      </c>
      <c r="E2219" s="801">
        <v>43042</v>
      </c>
      <c r="F2219" s="800" t="s">
        <v>22195</v>
      </c>
      <c r="G2219" s="800" t="s">
        <v>22196</v>
      </c>
      <c r="H2219" s="800" t="s">
        <v>10433</v>
      </c>
      <c r="I2219" s="800" t="s">
        <v>10433</v>
      </c>
      <c r="J2219" s="800" t="s">
        <v>10664</v>
      </c>
      <c r="K2219" s="800">
        <v>1</v>
      </c>
      <c r="L2219" s="802" t="s">
        <v>10398</v>
      </c>
      <c r="M2219" s="802" t="s">
        <v>22197</v>
      </c>
      <c r="N2219" s="802" t="s">
        <v>22198</v>
      </c>
      <c r="O2219" s="802" t="s">
        <v>22199</v>
      </c>
      <c r="P2219" s="807" t="s">
        <v>22200</v>
      </c>
    </row>
    <row r="2220" spans="1:16" s="341" customFormat="1" ht="25.5" customHeight="1">
      <c r="A2220" s="806" t="s">
        <v>110</v>
      </c>
      <c r="B2220" s="800" t="s">
        <v>4738</v>
      </c>
      <c r="C2220" s="800" t="s">
        <v>4738</v>
      </c>
      <c r="D2220" s="800" t="s">
        <v>22201</v>
      </c>
      <c r="E2220" s="801">
        <v>43042</v>
      </c>
      <c r="F2220" s="800" t="s">
        <v>22195</v>
      </c>
      <c r="G2220" s="800" t="s">
        <v>22202</v>
      </c>
      <c r="H2220" s="800" t="s">
        <v>10404</v>
      </c>
      <c r="I2220" s="800" t="s">
        <v>10404</v>
      </c>
      <c r="J2220" s="800" t="s">
        <v>10664</v>
      </c>
      <c r="K2220" s="800">
        <v>1</v>
      </c>
      <c r="L2220" s="802" t="s">
        <v>10398</v>
      </c>
      <c r="M2220" s="802" t="s">
        <v>22203</v>
      </c>
      <c r="N2220" s="802" t="s">
        <v>11364</v>
      </c>
      <c r="O2220" s="802" t="s">
        <v>22204</v>
      </c>
      <c r="P2220" s="807" t="s">
        <v>22205</v>
      </c>
    </row>
    <row r="2221" spans="1:16" s="341" customFormat="1" ht="25.5" customHeight="1">
      <c r="A2221" s="806" t="s">
        <v>110</v>
      </c>
      <c r="B2221" s="800" t="s">
        <v>4738</v>
      </c>
      <c r="C2221" s="800" t="s">
        <v>4738</v>
      </c>
      <c r="D2221" s="800" t="s">
        <v>22206</v>
      </c>
      <c r="E2221" s="801">
        <v>43042</v>
      </c>
      <c r="F2221" s="800" t="s">
        <v>22195</v>
      </c>
      <c r="G2221" s="800" t="s">
        <v>22207</v>
      </c>
      <c r="H2221" s="800" t="s">
        <v>10404</v>
      </c>
      <c r="I2221" s="800" t="s">
        <v>10404</v>
      </c>
      <c r="J2221" s="800" t="s">
        <v>10664</v>
      </c>
      <c r="K2221" s="800">
        <v>1</v>
      </c>
      <c r="L2221" s="802" t="s">
        <v>10398</v>
      </c>
      <c r="M2221" s="802" t="s">
        <v>22208</v>
      </c>
      <c r="N2221" s="802" t="s">
        <v>20028</v>
      </c>
      <c r="O2221" s="802" t="s">
        <v>22209</v>
      </c>
      <c r="P2221" s="807" t="s">
        <v>22210</v>
      </c>
    </row>
    <row r="2222" spans="1:16" s="341" customFormat="1" ht="25.5" customHeight="1">
      <c r="A2222" s="806" t="s">
        <v>110</v>
      </c>
      <c r="B2222" s="800" t="s">
        <v>4738</v>
      </c>
      <c r="C2222" s="800" t="s">
        <v>4738</v>
      </c>
      <c r="D2222" s="800" t="s">
        <v>22211</v>
      </c>
      <c r="E2222" s="801">
        <v>43042</v>
      </c>
      <c r="F2222" s="800" t="s">
        <v>22195</v>
      </c>
      <c r="G2222" s="800" t="s">
        <v>22212</v>
      </c>
      <c r="H2222" s="800" t="s">
        <v>10404</v>
      </c>
      <c r="I2222" s="800" t="s">
        <v>10404</v>
      </c>
      <c r="J2222" s="800" t="s">
        <v>10664</v>
      </c>
      <c r="K2222" s="800">
        <v>1</v>
      </c>
      <c r="L2222" s="802" t="s">
        <v>10398</v>
      </c>
      <c r="M2222" s="802" t="s">
        <v>22213</v>
      </c>
      <c r="N2222" s="802" t="s">
        <v>10922</v>
      </c>
      <c r="O2222" s="802" t="s">
        <v>22214</v>
      </c>
      <c r="P2222" s="807" t="s">
        <v>32</v>
      </c>
    </row>
    <row r="2223" spans="1:16" s="341" customFormat="1" ht="25.5" customHeight="1">
      <c r="A2223" s="806" t="s">
        <v>110</v>
      </c>
      <c r="B2223" s="800" t="s">
        <v>4738</v>
      </c>
      <c r="C2223" s="800" t="s">
        <v>4738</v>
      </c>
      <c r="D2223" s="800" t="s">
        <v>22215</v>
      </c>
      <c r="E2223" s="801">
        <v>43042</v>
      </c>
      <c r="F2223" s="800" t="s">
        <v>22195</v>
      </c>
      <c r="G2223" s="800" t="s">
        <v>22216</v>
      </c>
      <c r="H2223" s="800" t="s">
        <v>10531</v>
      </c>
      <c r="I2223" s="800" t="s">
        <v>10531</v>
      </c>
      <c r="J2223" s="800" t="s">
        <v>10664</v>
      </c>
      <c r="K2223" s="800">
        <v>1</v>
      </c>
      <c r="L2223" s="802" t="s">
        <v>10398</v>
      </c>
      <c r="M2223" s="802" t="s">
        <v>22217</v>
      </c>
      <c r="N2223" s="802" t="s">
        <v>22218</v>
      </c>
      <c r="O2223" s="802" t="s">
        <v>22219</v>
      </c>
      <c r="P2223" s="807" t="s">
        <v>22220</v>
      </c>
    </row>
    <row r="2224" spans="1:16" s="341" customFormat="1" ht="25.5" customHeight="1">
      <c r="A2224" s="806" t="s">
        <v>110</v>
      </c>
      <c r="B2224" s="800" t="s">
        <v>4738</v>
      </c>
      <c r="C2224" s="800" t="s">
        <v>4738</v>
      </c>
      <c r="D2224" s="800" t="s">
        <v>22221</v>
      </c>
      <c r="E2224" s="801">
        <v>43042</v>
      </c>
      <c r="F2224" s="800" t="s">
        <v>22195</v>
      </c>
      <c r="G2224" s="800" t="s">
        <v>22222</v>
      </c>
      <c r="H2224" s="800" t="s">
        <v>10531</v>
      </c>
      <c r="I2224" s="800" t="s">
        <v>10531</v>
      </c>
      <c r="J2224" s="800" t="s">
        <v>10664</v>
      </c>
      <c r="K2224" s="800">
        <v>1</v>
      </c>
      <c r="L2224" s="802" t="s">
        <v>10398</v>
      </c>
      <c r="M2224" s="802" t="s">
        <v>22223</v>
      </c>
      <c r="N2224" s="802" t="s">
        <v>22224</v>
      </c>
      <c r="O2224" s="802" t="s">
        <v>22225</v>
      </c>
      <c r="P2224" s="807" t="s">
        <v>22226</v>
      </c>
    </row>
    <row r="2225" spans="1:16" s="341" customFormat="1" ht="25.5" customHeight="1">
      <c r="A2225" s="806" t="s">
        <v>110</v>
      </c>
      <c r="B2225" s="800" t="s">
        <v>4738</v>
      </c>
      <c r="C2225" s="800" t="s">
        <v>4738</v>
      </c>
      <c r="D2225" s="800" t="s">
        <v>22227</v>
      </c>
      <c r="E2225" s="801">
        <v>43042</v>
      </c>
      <c r="F2225" s="800" t="s">
        <v>22195</v>
      </c>
      <c r="G2225" s="800" t="s">
        <v>22228</v>
      </c>
      <c r="H2225" s="800" t="s">
        <v>10396</v>
      </c>
      <c r="I2225" s="800" t="s">
        <v>10396</v>
      </c>
      <c r="J2225" s="800" t="s">
        <v>10664</v>
      </c>
      <c r="K2225" s="800">
        <v>1</v>
      </c>
      <c r="L2225" s="802" t="s">
        <v>10398</v>
      </c>
      <c r="M2225" s="802" t="s">
        <v>22229</v>
      </c>
      <c r="N2225" s="802" t="s">
        <v>22230</v>
      </c>
      <c r="O2225" s="802" t="s">
        <v>22231</v>
      </c>
      <c r="P2225" s="807" t="s">
        <v>32</v>
      </c>
    </row>
    <row r="2226" spans="1:16" s="341" customFormat="1" ht="25.5" customHeight="1">
      <c r="A2226" s="806" t="s">
        <v>110</v>
      </c>
      <c r="B2226" s="800" t="s">
        <v>4738</v>
      </c>
      <c r="C2226" s="800" t="s">
        <v>4738</v>
      </c>
      <c r="D2226" s="800" t="s">
        <v>22232</v>
      </c>
      <c r="E2226" s="801">
        <v>43042</v>
      </c>
      <c r="F2226" s="800" t="s">
        <v>22195</v>
      </c>
      <c r="G2226" s="800" t="s">
        <v>22233</v>
      </c>
      <c r="H2226" s="800" t="s">
        <v>10404</v>
      </c>
      <c r="I2226" s="800" t="s">
        <v>10404</v>
      </c>
      <c r="J2226" s="800" t="s">
        <v>10664</v>
      </c>
      <c r="K2226" s="800">
        <v>1</v>
      </c>
      <c r="L2226" s="802" t="s">
        <v>10398</v>
      </c>
      <c r="M2226" s="802" t="s">
        <v>22234</v>
      </c>
      <c r="N2226" s="802" t="s">
        <v>22235</v>
      </c>
      <c r="O2226" s="802" t="s">
        <v>22225</v>
      </c>
      <c r="P2226" s="807" t="s">
        <v>22236</v>
      </c>
    </row>
    <row r="2227" spans="1:16" s="341" customFormat="1" ht="25.5" customHeight="1">
      <c r="A2227" s="806" t="s">
        <v>110</v>
      </c>
      <c r="B2227" s="800" t="s">
        <v>4738</v>
      </c>
      <c r="C2227" s="800" t="s">
        <v>4738</v>
      </c>
      <c r="D2227" s="800" t="s">
        <v>22237</v>
      </c>
      <c r="E2227" s="801">
        <v>43042</v>
      </c>
      <c r="F2227" s="800" t="s">
        <v>22195</v>
      </c>
      <c r="G2227" s="800" t="s">
        <v>22238</v>
      </c>
      <c r="H2227" s="800" t="s">
        <v>10404</v>
      </c>
      <c r="I2227" s="800" t="s">
        <v>10404</v>
      </c>
      <c r="J2227" s="800" t="s">
        <v>10664</v>
      </c>
      <c r="K2227" s="800">
        <v>1</v>
      </c>
      <c r="L2227" s="802" t="s">
        <v>10398</v>
      </c>
      <c r="M2227" s="802" t="s">
        <v>22239</v>
      </c>
      <c r="N2227" s="802" t="s">
        <v>22240</v>
      </c>
      <c r="O2227" s="802" t="s">
        <v>22241</v>
      </c>
      <c r="P2227" s="807" t="s">
        <v>32</v>
      </c>
    </row>
    <row r="2228" spans="1:16" s="341" customFormat="1" ht="25.5" customHeight="1">
      <c r="A2228" s="806" t="s">
        <v>110</v>
      </c>
      <c r="B2228" s="800" t="s">
        <v>4738</v>
      </c>
      <c r="C2228" s="800" t="s">
        <v>4738</v>
      </c>
      <c r="D2228" s="800" t="s">
        <v>22242</v>
      </c>
      <c r="E2228" s="801">
        <v>43060</v>
      </c>
      <c r="F2228" s="800" t="s">
        <v>22243</v>
      </c>
      <c r="G2228" s="800" t="s">
        <v>22244</v>
      </c>
      <c r="H2228" s="800" t="s">
        <v>10433</v>
      </c>
      <c r="I2228" s="800" t="s">
        <v>10433</v>
      </c>
      <c r="J2228" s="800" t="s">
        <v>10447</v>
      </c>
      <c r="K2228" s="800">
        <v>1</v>
      </c>
      <c r="L2228" s="802" t="s">
        <v>10398</v>
      </c>
      <c r="M2228" s="802" t="s">
        <v>22245</v>
      </c>
      <c r="N2228" s="802" t="s">
        <v>22246</v>
      </c>
      <c r="O2228" s="802" t="s">
        <v>22247</v>
      </c>
      <c r="P2228" s="807" t="s">
        <v>32</v>
      </c>
    </row>
    <row r="2229" spans="1:16" s="341" customFormat="1" ht="25.5" customHeight="1">
      <c r="A2229" s="806" t="s">
        <v>110</v>
      </c>
      <c r="B2229" s="800" t="s">
        <v>4738</v>
      </c>
      <c r="C2229" s="800" t="s">
        <v>4738</v>
      </c>
      <c r="D2229" s="800" t="s">
        <v>22248</v>
      </c>
      <c r="E2229" s="801">
        <v>43060</v>
      </c>
      <c r="F2229" s="800" t="s">
        <v>22249</v>
      </c>
      <c r="G2229" s="800" t="s">
        <v>22250</v>
      </c>
      <c r="H2229" s="800" t="s">
        <v>10433</v>
      </c>
      <c r="I2229" s="800" t="s">
        <v>10433</v>
      </c>
      <c r="J2229" s="800" t="s">
        <v>10447</v>
      </c>
      <c r="K2229" s="800">
        <v>1</v>
      </c>
      <c r="L2229" s="802" t="s">
        <v>10398</v>
      </c>
      <c r="M2229" s="802" t="s">
        <v>22251</v>
      </c>
      <c r="N2229" s="802" t="s">
        <v>22252</v>
      </c>
      <c r="O2229" s="802" t="s">
        <v>22247</v>
      </c>
      <c r="P2229" s="807" t="s">
        <v>32</v>
      </c>
    </row>
    <row r="2230" spans="1:16" s="341" customFormat="1" ht="25.5" customHeight="1">
      <c r="A2230" s="806" t="s">
        <v>110</v>
      </c>
      <c r="B2230" s="800" t="s">
        <v>4738</v>
      </c>
      <c r="C2230" s="800" t="s">
        <v>4738</v>
      </c>
      <c r="D2230" s="800" t="s">
        <v>22253</v>
      </c>
      <c r="E2230" s="801">
        <v>43090</v>
      </c>
      <c r="F2230" s="800" t="s">
        <v>22254</v>
      </c>
      <c r="G2230" s="800" t="s">
        <v>22255</v>
      </c>
      <c r="H2230" s="800" t="s">
        <v>10404</v>
      </c>
      <c r="I2230" s="800" t="s">
        <v>10404</v>
      </c>
      <c r="J2230" s="800" t="s">
        <v>10447</v>
      </c>
      <c r="K2230" s="800">
        <v>1</v>
      </c>
      <c r="L2230" s="802" t="s">
        <v>10398</v>
      </c>
      <c r="M2230" s="802" t="s">
        <v>22256</v>
      </c>
      <c r="N2230" s="802" t="s">
        <v>16203</v>
      </c>
      <c r="O2230" s="802" t="s">
        <v>22257</v>
      </c>
      <c r="P2230" s="807" t="s">
        <v>22258</v>
      </c>
    </row>
    <row r="2231" spans="1:16" s="341" customFormat="1" ht="25.5" customHeight="1">
      <c r="A2231" s="806" t="s">
        <v>110</v>
      </c>
      <c r="B2231" s="800" t="s">
        <v>4738</v>
      </c>
      <c r="C2231" s="800" t="s">
        <v>4738</v>
      </c>
      <c r="D2231" s="800" t="s">
        <v>22259</v>
      </c>
      <c r="E2231" s="801">
        <v>43060</v>
      </c>
      <c r="F2231" s="800" t="s">
        <v>22254</v>
      </c>
      <c r="G2231" s="800" t="s">
        <v>22260</v>
      </c>
      <c r="H2231" s="800" t="s">
        <v>10396</v>
      </c>
      <c r="I2231" s="800" t="s">
        <v>10396</v>
      </c>
      <c r="J2231" s="800" t="s">
        <v>10447</v>
      </c>
      <c r="K2231" s="800">
        <v>1</v>
      </c>
      <c r="L2231" s="802" t="s">
        <v>10398</v>
      </c>
      <c r="M2231" s="802" t="s">
        <v>22261</v>
      </c>
      <c r="N2231" s="802" t="s">
        <v>21051</v>
      </c>
      <c r="O2231" s="802" t="s">
        <v>22262</v>
      </c>
      <c r="P2231" s="807" t="s">
        <v>22263</v>
      </c>
    </row>
    <row r="2232" spans="1:16" s="341" customFormat="1" ht="25.5" customHeight="1">
      <c r="A2232" s="806" t="s">
        <v>110</v>
      </c>
      <c r="B2232" s="800" t="s">
        <v>4738</v>
      </c>
      <c r="C2232" s="800" t="s">
        <v>4738</v>
      </c>
      <c r="D2232" s="800" t="s">
        <v>22264</v>
      </c>
      <c r="E2232" s="801">
        <v>43060</v>
      </c>
      <c r="F2232" s="800" t="s">
        <v>22254</v>
      </c>
      <c r="G2232" s="800" t="s">
        <v>22265</v>
      </c>
      <c r="H2232" s="800" t="s">
        <v>10531</v>
      </c>
      <c r="I2232" s="800" t="s">
        <v>10531</v>
      </c>
      <c r="J2232" s="800" t="s">
        <v>10447</v>
      </c>
      <c r="K2232" s="800">
        <v>1</v>
      </c>
      <c r="L2232" s="802" t="s">
        <v>10398</v>
      </c>
      <c r="M2232" s="802" t="s">
        <v>22266</v>
      </c>
      <c r="N2232" s="802" t="s">
        <v>22267</v>
      </c>
      <c r="O2232" s="802" t="s">
        <v>22268</v>
      </c>
      <c r="P2232" s="807" t="s">
        <v>22263</v>
      </c>
    </row>
    <row r="2233" spans="1:16" s="341" customFormat="1" ht="25.5" customHeight="1">
      <c r="A2233" s="806" t="s">
        <v>110</v>
      </c>
      <c r="B2233" s="800" t="s">
        <v>4738</v>
      </c>
      <c r="C2233" s="800" t="s">
        <v>4738</v>
      </c>
      <c r="D2233" s="800" t="s">
        <v>22269</v>
      </c>
      <c r="E2233" s="801">
        <v>43060</v>
      </c>
      <c r="F2233" s="800" t="s">
        <v>22254</v>
      </c>
      <c r="G2233" s="800" t="s">
        <v>32</v>
      </c>
      <c r="H2233" s="800" t="s">
        <v>10433</v>
      </c>
      <c r="I2233" s="800" t="s">
        <v>10433</v>
      </c>
      <c r="J2233" s="800" t="s">
        <v>10447</v>
      </c>
      <c r="K2233" s="800">
        <v>1</v>
      </c>
      <c r="L2233" s="802" t="s">
        <v>10398</v>
      </c>
      <c r="M2233" s="802" t="s">
        <v>22270</v>
      </c>
      <c r="N2233" s="802" t="s">
        <v>22271</v>
      </c>
      <c r="O2233" s="802" t="s">
        <v>22272</v>
      </c>
      <c r="P2233" s="807" t="s">
        <v>32</v>
      </c>
    </row>
    <row r="2234" spans="1:16" s="341" customFormat="1" ht="25.5" customHeight="1">
      <c r="A2234" s="806" t="s">
        <v>110</v>
      </c>
      <c r="B2234" s="800" t="s">
        <v>4738</v>
      </c>
      <c r="C2234" s="800" t="s">
        <v>4738</v>
      </c>
      <c r="D2234" s="800" t="s">
        <v>22273</v>
      </c>
      <c r="E2234" s="801">
        <v>43060</v>
      </c>
      <c r="F2234" s="800" t="s">
        <v>22254</v>
      </c>
      <c r="G2234" s="800" t="s">
        <v>32</v>
      </c>
      <c r="H2234" s="800" t="s">
        <v>10404</v>
      </c>
      <c r="I2234" s="800" t="s">
        <v>10404</v>
      </c>
      <c r="J2234" s="800" t="s">
        <v>10447</v>
      </c>
      <c r="K2234" s="800">
        <v>1</v>
      </c>
      <c r="L2234" s="802" t="s">
        <v>10605</v>
      </c>
      <c r="M2234" s="802"/>
      <c r="N2234" s="802" t="s">
        <v>21604</v>
      </c>
      <c r="O2234" s="802" t="s">
        <v>21605</v>
      </c>
      <c r="P2234" s="807" t="s">
        <v>32</v>
      </c>
    </row>
    <row r="2235" spans="1:16" s="341" customFormat="1" ht="25.5" customHeight="1">
      <c r="A2235" s="806" t="s">
        <v>110</v>
      </c>
      <c r="B2235" s="800" t="s">
        <v>4738</v>
      </c>
      <c r="C2235" s="800" t="s">
        <v>4738</v>
      </c>
      <c r="D2235" s="800" t="s">
        <v>22274</v>
      </c>
      <c r="E2235" s="801">
        <v>43061</v>
      </c>
      <c r="F2235" s="800" t="s">
        <v>22275</v>
      </c>
      <c r="G2235" s="800" t="s">
        <v>22276</v>
      </c>
      <c r="H2235" s="800" t="s">
        <v>10404</v>
      </c>
      <c r="I2235" s="800" t="s">
        <v>10404</v>
      </c>
      <c r="J2235" s="800" t="s">
        <v>10664</v>
      </c>
      <c r="K2235" s="800">
        <v>1</v>
      </c>
      <c r="L2235" s="802" t="s">
        <v>10398</v>
      </c>
      <c r="M2235" s="802" t="s">
        <v>22277</v>
      </c>
      <c r="N2235" s="802" t="s">
        <v>22278</v>
      </c>
      <c r="O2235" s="802" t="s">
        <v>22279</v>
      </c>
      <c r="P2235" s="807" t="s">
        <v>22210</v>
      </c>
    </row>
    <row r="2236" spans="1:16" s="341" customFormat="1" ht="25.5" customHeight="1">
      <c r="A2236" s="806" t="s">
        <v>110</v>
      </c>
      <c r="B2236" s="800" t="s">
        <v>4738</v>
      </c>
      <c r="C2236" s="800" t="s">
        <v>4738</v>
      </c>
      <c r="D2236" s="800" t="s">
        <v>22280</v>
      </c>
      <c r="E2236" s="801">
        <v>43061</v>
      </c>
      <c r="F2236" s="800" t="s">
        <v>22275</v>
      </c>
      <c r="G2236" s="800" t="s">
        <v>22281</v>
      </c>
      <c r="H2236" s="800" t="s">
        <v>10404</v>
      </c>
      <c r="I2236" s="800" t="s">
        <v>10404</v>
      </c>
      <c r="J2236" s="800" t="s">
        <v>10447</v>
      </c>
      <c r="K2236" s="800">
        <v>1</v>
      </c>
      <c r="L2236" s="802" t="s">
        <v>10398</v>
      </c>
      <c r="M2236" s="802" t="s">
        <v>22282</v>
      </c>
      <c r="N2236" s="802" t="s">
        <v>14864</v>
      </c>
      <c r="O2236" s="802" t="s">
        <v>22168</v>
      </c>
      <c r="P2236" s="807" t="s">
        <v>32</v>
      </c>
    </row>
    <row r="2237" spans="1:16" s="341" customFormat="1" ht="25.5" customHeight="1">
      <c r="A2237" s="806" t="s">
        <v>110</v>
      </c>
      <c r="B2237" s="800" t="s">
        <v>4738</v>
      </c>
      <c r="C2237" s="800" t="s">
        <v>4738</v>
      </c>
      <c r="D2237" s="800" t="s">
        <v>22283</v>
      </c>
      <c r="E2237" s="801">
        <v>43061</v>
      </c>
      <c r="F2237" s="800" t="s">
        <v>22275</v>
      </c>
      <c r="G2237" s="800" t="s">
        <v>22284</v>
      </c>
      <c r="H2237" s="800" t="s">
        <v>10396</v>
      </c>
      <c r="I2237" s="800" t="s">
        <v>10396</v>
      </c>
      <c r="J2237" s="800" t="s">
        <v>10397</v>
      </c>
      <c r="K2237" s="800">
        <v>1</v>
      </c>
      <c r="L2237" s="802" t="s">
        <v>10398</v>
      </c>
      <c r="M2237" s="802" t="s">
        <v>22285</v>
      </c>
      <c r="N2237" s="802" t="s">
        <v>22286</v>
      </c>
      <c r="O2237" s="802" t="s">
        <v>22287</v>
      </c>
      <c r="P2237" s="807" t="s">
        <v>22288</v>
      </c>
    </row>
    <row r="2238" spans="1:16" s="341" customFormat="1" ht="25.5" customHeight="1">
      <c r="A2238" s="806" t="s">
        <v>110</v>
      </c>
      <c r="B2238" s="800" t="s">
        <v>4738</v>
      </c>
      <c r="C2238" s="800" t="s">
        <v>4738</v>
      </c>
      <c r="D2238" s="800" t="s">
        <v>22289</v>
      </c>
      <c r="E2238" s="801">
        <v>43061</v>
      </c>
      <c r="F2238" s="800" t="s">
        <v>22275</v>
      </c>
      <c r="G2238" s="800" t="s">
        <v>22275</v>
      </c>
      <c r="H2238" s="800" t="s">
        <v>10531</v>
      </c>
      <c r="I2238" s="800" t="s">
        <v>10531</v>
      </c>
      <c r="J2238" s="800" t="s">
        <v>10447</v>
      </c>
      <c r="K2238" s="800">
        <v>1</v>
      </c>
      <c r="L2238" s="802" t="s">
        <v>10605</v>
      </c>
      <c r="M2238" s="802" t="s">
        <v>32</v>
      </c>
      <c r="N2238" s="802" t="s">
        <v>22290</v>
      </c>
      <c r="O2238" s="802" t="s">
        <v>22291</v>
      </c>
      <c r="P2238" s="807" t="s">
        <v>32</v>
      </c>
    </row>
    <row r="2239" spans="1:16" s="341" customFormat="1" ht="25.5" customHeight="1">
      <c r="A2239" s="806" t="s">
        <v>110</v>
      </c>
      <c r="B2239" s="800" t="s">
        <v>4738</v>
      </c>
      <c r="C2239" s="800" t="s">
        <v>4738</v>
      </c>
      <c r="D2239" s="800" t="s">
        <v>22292</v>
      </c>
      <c r="E2239" s="801">
        <v>43061</v>
      </c>
      <c r="F2239" s="800" t="s">
        <v>22293</v>
      </c>
      <c r="G2239" s="800" t="s">
        <v>22294</v>
      </c>
      <c r="H2239" s="800" t="s">
        <v>10433</v>
      </c>
      <c r="I2239" s="800" t="s">
        <v>10433</v>
      </c>
      <c r="J2239" s="800" t="s">
        <v>10447</v>
      </c>
      <c r="K2239" s="800">
        <v>1</v>
      </c>
      <c r="L2239" s="802" t="s">
        <v>10398</v>
      </c>
      <c r="M2239" s="802" t="s">
        <v>22295</v>
      </c>
      <c r="N2239" s="802" t="s">
        <v>22296</v>
      </c>
      <c r="O2239" s="802" t="s">
        <v>22297</v>
      </c>
      <c r="P2239" s="807" t="s">
        <v>22298</v>
      </c>
    </row>
    <row r="2240" spans="1:16" s="341" customFormat="1" ht="25.5" customHeight="1">
      <c r="A2240" s="806" t="s">
        <v>110</v>
      </c>
      <c r="B2240" s="800" t="s">
        <v>4738</v>
      </c>
      <c r="C2240" s="800" t="s">
        <v>4738</v>
      </c>
      <c r="D2240" s="800" t="s">
        <v>22299</v>
      </c>
      <c r="E2240" s="801">
        <v>43061</v>
      </c>
      <c r="F2240" s="800" t="s">
        <v>22275</v>
      </c>
      <c r="G2240" s="800" t="s">
        <v>22300</v>
      </c>
      <c r="H2240" s="800" t="s">
        <v>10433</v>
      </c>
      <c r="I2240" s="800" t="s">
        <v>10433</v>
      </c>
      <c r="J2240" s="800" t="s">
        <v>10447</v>
      </c>
      <c r="K2240" s="800">
        <v>1</v>
      </c>
      <c r="L2240" s="802" t="s">
        <v>10398</v>
      </c>
      <c r="M2240" s="802" t="s">
        <v>22301</v>
      </c>
      <c r="N2240" s="802" t="s">
        <v>22302</v>
      </c>
      <c r="O2240" s="802" t="s">
        <v>22291</v>
      </c>
      <c r="P2240" s="807" t="s">
        <v>22303</v>
      </c>
    </row>
    <row r="2241" spans="1:16" s="341" customFormat="1" ht="25.5" customHeight="1">
      <c r="A2241" s="806" t="s">
        <v>110</v>
      </c>
      <c r="B2241" s="800" t="s">
        <v>4738</v>
      </c>
      <c r="C2241" s="800" t="s">
        <v>4738</v>
      </c>
      <c r="D2241" s="800" t="s">
        <v>22304</v>
      </c>
      <c r="E2241" s="801">
        <v>43061</v>
      </c>
      <c r="F2241" s="800" t="s">
        <v>22275</v>
      </c>
      <c r="G2241" s="800" t="s">
        <v>32</v>
      </c>
      <c r="H2241" s="800" t="s">
        <v>10404</v>
      </c>
      <c r="I2241" s="800" t="s">
        <v>10404</v>
      </c>
      <c r="J2241" s="800" t="s">
        <v>10447</v>
      </c>
      <c r="K2241" s="800">
        <v>1</v>
      </c>
      <c r="L2241" s="802" t="s">
        <v>10605</v>
      </c>
      <c r="M2241" s="802" t="s">
        <v>32</v>
      </c>
      <c r="N2241" s="802" t="s">
        <v>22305</v>
      </c>
      <c r="O2241" s="802" t="s">
        <v>22306</v>
      </c>
      <c r="P2241" s="807" t="s">
        <v>32</v>
      </c>
    </row>
    <row r="2242" spans="1:16" s="341" customFormat="1" ht="25.5" customHeight="1">
      <c r="A2242" s="806" t="s">
        <v>110</v>
      </c>
      <c r="B2242" s="800" t="s">
        <v>4738</v>
      </c>
      <c r="C2242" s="800" t="s">
        <v>4738</v>
      </c>
      <c r="D2242" s="800" t="s">
        <v>22307</v>
      </c>
      <c r="E2242" s="801">
        <v>43061</v>
      </c>
      <c r="F2242" s="800" t="s">
        <v>22275</v>
      </c>
      <c r="G2242" s="800" t="s">
        <v>22308</v>
      </c>
      <c r="H2242" s="800" t="s">
        <v>10404</v>
      </c>
      <c r="I2242" s="800" t="s">
        <v>10404</v>
      </c>
      <c r="J2242" s="800" t="s">
        <v>10447</v>
      </c>
      <c r="K2242" s="800">
        <v>1</v>
      </c>
      <c r="L2242" s="802" t="s">
        <v>10398</v>
      </c>
      <c r="M2242" s="802" t="s">
        <v>22309</v>
      </c>
      <c r="N2242" s="802" t="s">
        <v>22310</v>
      </c>
      <c r="O2242" s="802" t="s">
        <v>22311</v>
      </c>
      <c r="P2242" s="807" t="s">
        <v>32</v>
      </c>
    </row>
    <row r="2243" spans="1:16" s="341" customFormat="1" ht="25.5" customHeight="1">
      <c r="A2243" s="806" t="s">
        <v>110</v>
      </c>
      <c r="B2243" s="800" t="s">
        <v>4738</v>
      </c>
      <c r="C2243" s="800" t="s">
        <v>4738</v>
      </c>
      <c r="D2243" s="800" t="s">
        <v>22312</v>
      </c>
      <c r="E2243" s="801">
        <v>43061</v>
      </c>
      <c r="F2243" s="800" t="s">
        <v>22195</v>
      </c>
      <c r="G2243" s="800" t="s">
        <v>22313</v>
      </c>
      <c r="H2243" s="800" t="s">
        <v>10404</v>
      </c>
      <c r="I2243" s="800" t="s">
        <v>10404</v>
      </c>
      <c r="J2243" s="800" t="s">
        <v>10447</v>
      </c>
      <c r="K2243" s="800">
        <v>1</v>
      </c>
      <c r="L2243" s="802" t="s">
        <v>10398</v>
      </c>
      <c r="M2243" s="802" t="s">
        <v>22314</v>
      </c>
      <c r="N2243" s="802" t="s">
        <v>22315</v>
      </c>
      <c r="O2243" s="802" t="s">
        <v>22316</v>
      </c>
      <c r="P2243" s="807" t="s">
        <v>22317</v>
      </c>
    </row>
    <row r="2244" spans="1:16" s="341" customFormat="1" ht="25.5" customHeight="1">
      <c r="A2244" s="806" t="s">
        <v>110</v>
      </c>
      <c r="B2244" s="800" t="s">
        <v>4738</v>
      </c>
      <c r="C2244" s="800" t="s">
        <v>4738</v>
      </c>
      <c r="D2244" s="800" t="s">
        <v>22318</v>
      </c>
      <c r="E2244" s="801">
        <v>43061</v>
      </c>
      <c r="F2244" s="800" t="s">
        <v>22195</v>
      </c>
      <c r="G2244" s="800" t="s">
        <v>22319</v>
      </c>
      <c r="H2244" s="800" t="s">
        <v>10404</v>
      </c>
      <c r="I2244" s="800" t="s">
        <v>10404</v>
      </c>
      <c r="J2244" s="800" t="s">
        <v>10447</v>
      </c>
      <c r="K2244" s="800">
        <v>1</v>
      </c>
      <c r="L2244" s="802" t="s">
        <v>10398</v>
      </c>
      <c r="M2244" s="802" t="s">
        <v>22320</v>
      </c>
      <c r="N2244" s="802" t="s">
        <v>22321</v>
      </c>
      <c r="O2244" s="802" t="s">
        <v>22322</v>
      </c>
      <c r="P2244" s="807" t="s">
        <v>22323</v>
      </c>
    </row>
    <row r="2245" spans="1:16" s="341" customFormat="1" ht="25.5" customHeight="1">
      <c r="A2245" s="806" t="s">
        <v>110</v>
      </c>
      <c r="B2245" s="800" t="s">
        <v>4738</v>
      </c>
      <c r="C2245" s="800" t="s">
        <v>4738</v>
      </c>
      <c r="D2245" s="800" t="s">
        <v>22324</v>
      </c>
      <c r="E2245" s="801">
        <v>43091</v>
      </c>
      <c r="F2245" s="800" t="s">
        <v>22195</v>
      </c>
      <c r="G2245" s="800" t="s">
        <v>22325</v>
      </c>
      <c r="H2245" s="800" t="s">
        <v>10404</v>
      </c>
      <c r="I2245" s="800" t="s">
        <v>10404</v>
      </c>
      <c r="J2245" s="800" t="s">
        <v>10447</v>
      </c>
      <c r="K2245" s="800">
        <v>1</v>
      </c>
      <c r="L2245" s="802" t="s">
        <v>10398</v>
      </c>
      <c r="M2245" s="802" t="s">
        <v>22326</v>
      </c>
      <c r="N2245" s="802" t="s">
        <v>22327</v>
      </c>
      <c r="O2245" s="802" t="s">
        <v>22328</v>
      </c>
      <c r="P2245" s="807" t="s">
        <v>22205</v>
      </c>
    </row>
    <row r="2246" spans="1:16" s="341" customFormat="1" ht="25.5" customHeight="1">
      <c r="A2246" s="806" t="s">
        <v>110</v>
      </c>
      <c r="B2246" s="800" t="s">
        <v>4738</v>
      </c>
      <c r="C2246" s="800" t="s">
        <v>4738</v>
      </c>
      <c r="D2246" s="800" t="s">
        <v>22329</v>
      </c>
      <c r="E2246" s="801">
        <v>43061</v>
      </c>
      <c r="F2246" s="800" t="s">
        <v>22195</v>
      </c>
      <c r="G2246" s="800" t="s">
        <v>22330</v>
      </c>
      <c r="H2246" s="800" t="s">
        <v>10396</v>
      </c>
      <c r="I2246" s="800" t="s">
        <v>10396</v>
      </c>
      <c r="J2246" s="800" t="s">
        <v>10397</v>
      </c>
      <c r="K2246" s="800">
        <v>1</v>
      </c>
      <c r="L2246" s="802" t="s">
        <v>11026</v>
      </c>
      <c r="M2246" s="802" t="s">
        <v>22331</v>
      </c>
      <c r="N2246" s="802" t="s">
        <v>22332</v>
      </c>
      <c r="O2246" s="802" t="s">
        <v>22333</v>
      </c>
      <c r="P2246" s="807" t="s">
        <v>22334</v>
      </c>
    </row>
    <row r="2247" spans="1:16" s="341" customFormat="1" ht="25.5" customHeight="1">
      <c r="A2247" s="806" t="s">
        <v>110</v>
      </c>
      <c r="B2247" s="800" t="s">
        <v>4738</v>
      </c>
      <c r="C2247" s="800" t="s">
        <v>4738</v>
      </c>
      <c r="D2247" s="800" t="s">
        <v>22335</v>
      </c>
      <c r="E2247" s="801">
        <v>43061</v>
      </c>
      <c r="F2247" s="800" t="s">
        <v>22336</v>
      </c>
      <c r="G2247" s="800" t="s">
        <v>22337</v>
      </c>
      <c r="H2247" s="800" t="s">
        <v>10404</v>
      </c>
      <c r="I2247" s="800" t="s">
        <v>10404</v>
      </c>
      <c r="J2247" s="800" t="s">
        <v>10664</v>
      </c>
      <c r="K2247" s="800">
        <v>1</v>
      </c>
      <c r="L2247" s="802" t="s">
        <v>10398</v>
      </c>
      <c r="M2247" s="802" t="s">
        <v>22338</v>
      </c>
      <c r="N2247" s="802" t="s">
        <v>22339</v>
      </c>
      <c r="O2247" s="802" t="s">
        <v>22340</v>
      </c>
      <c r="P2247" s="807" t="s">
        <v>22341</v>
      </c>
    </row>
    <row r="2248" spans="1:16" s="341" customFormat="1" ht="25.5" customHeight="1">
      <c r="A2248" s="806" t="s">
        <v>110</v>
      </c>
      <c r="B2248" s="800" t="s">
        <v>4738</v>
      </c>
      <c r="C2248" s="800" t="s">
        <v>4738</v>
      </c>
      <c r="D2248" s="800" t="s">
        <v>22342</v>
      </c>
      <c r="E2248" s="801">
        <v>43061</v>
      </c>
      <c r="F2248" s="800" t="s">
        <v>22336</v>
      </c>
      <c r="G2248" s="800" t="s">
        <v>22337</v>
      </c>
      <c r="H2248" s="800" t="s">
        <v>10404</v>
      </c>
      <c r="I2248" s="800" t="s">
        <v>10404</v>
      </c>
      <c r="J2248" s="800" t="s">
        <v>10664</v>
      </c>
      <c r="K2248" s="800">
        <v>1</v>
      </c>
      <c r="L2248" s="802" t="s">
        <v>10398</v>
      </c>
      <c r="M2248" s="802" t="s">
        <v>22343</v>
      </c>
      <c r="N2248" s="802" t="s">
        <v>22344</v>
      </c>
      <c r="O2248" s="802" t="s">
        <v>22340</v>
      </c>
      <c r="P2248" s="807" t="s">
        <v>22341</v>
      </c>
    </row>
    <row r="2249" spans="1:16" s="341" customFormat="1" ht="25.5" customHeight="1">
      <c r="A2249" s="806" t="s">
        <v>110</v>
      </c>
      <c r="B2249" s="800" t="s">
        <v>4738</v>
      </c>
      <c r="C2249" s="800" t="s">
        <v>4738</v>
      </c>
      <c r="D2249" s="800" t="s">
        <v>22345</v>
      </c>
      <c r="E2249" s="801">
        <v>43061</v>
      </c>
      <c r="F2249" s="800" t="s">
        <v>22336</v>
      </c>
      <c r="G2249" s="800" t="s">
        <v>22346</v>
      </c>
      <c r="H2249" s="800" t="s">
        <v>10404</v>
      </c>
      <c r="I2249" s="800" t="s">
        <v>10404</v>
      </c>
      <c r="J2249" s="800" t="s">
        <v>10426</v>
      </c>
      <c r="K2249" s="800">
        <v>1</v>
      </c>
      <c r="L2249" s="802" t="s">
        <v>10398</v>
      </c>
      <c r="M2249" s="802" t="s">
        <v>22347</v>
      </c>
      <c r="N2249" s="802" t="s">
        <v>22348</v>
      </c>
      <c r="O2249" s="802" t="s">
        <v>22333</v>
      </c>
      <c r="P2249" s="807" t="s">
        <v>22349</v>
      </c>
    </row>
    <row r="2250" spans="1:16" s="341" customFormat="1" ht="25.5" customHeight="1">
      <c r="A2250" s="806" t="s">
        <v>110</v>
      </c>
      <c r="B2250" s="800" t="s">
        <v>4738</v>
      </c>
      <c r="C2250" s="800" t="s">
        <v>4738</v>
      </c>
      <c r="D2250" s="800" t="s">
        <v>22350</v>
      </c>
      <c r="E2250" s="801">
        <v>43061</v>
      </c>
      <c r="F2250" s="800" t="s">
        <v>22195</v>
      </c>
      <c r="G2250" s="800" t="s">
        <v>22351</v>
      </c>
      <c r="H2250" s="800" t="s">
        <v>10404</v>
      </c>
      <c r="I2250" s="800" t="s">
        <v>10404</v>
      </c>
      <c r="J2250" s="800" t="s">
        <v>10664</v>
      </c>
      <c r="K2250" s="800">
        <v>1</v>
      </c>
      <c r="L2250" s="802" t="s">
        <v>10398</v>
      </c>
      <c r="M2250" s="802" t="s">
        <v>22352</v>
      </c>
      <c r="N2250" s="802" t="s">
        <v>22353</v>
      </c>
      <c r="O2250" s="802" t="s">
        <v>22354</v>
      </c>
      <c r="P2250" s="807" t="s">
        <v>22355</v>
      </c>
    </row>
    <row r="2251" spans="1:16" s="341" customFormat="1" ht="25.5" customHeight="1">
      <c r="A2251" s="806" t="s">
        <v>110</v>
      </c>
      <c r="B2251" s="800" t="s">
        <v>4738</v>
      </c>
      <c r="C2251" s="800" t="s">
        <v>4738</v>
      </c>
      <c r="D2251" s="800" t="s">
        <v>22356</v>
      </c>
      <c r="E2251" s="801">
        <v>43091</v>
      </c>
      <c r="F2251" s="800" t="s">
        <v>22195</v>
      </c>
      <c r="G2251" s="800" t="s">
        <v>22357</v>
      </c>
      <c r="H2251" s="800" t="s">
        <v>10404</v>
      </c>
      <c r="I2251" s="800" t="s">
        <v>10404</v>
      </c>
      <c r="J2251" s="800" t="s">
        <v>10664</v>
      </c>
      <c r="K2251" s="800">
        <v>1</v>
      </c>
      <c r="L2251" s="802" t="s">
        <v>10398</v>
      </c>
      <c r="M2251" s="802" t="s">
        <v>22358</v>
      </c>
      <c r="N2251" s="802" t="s">
        <v>22359</v>
      </c>
      <c r="O2251" s="802" t="s">
        <v>22354</v>
      </c>
      <c r="P2251" s="807" t="s">
        <v>22355</v>
      </c>
    </row>
    <row r="2252" spans="1:16" s="341" customFormat="1" ht="25.5" customHeight="1">
      <c r="A2252" s="806" t="s">
        <v>110</v>
      </c>
      <c r="B2252" s="800" t="s">
        <v>4738</v>
      </c>
      <c r="C2252" s="800" t="s">
        <v>4738</v>
      </c>
      <c r="D2252" s="800" t="s">
        <v>22360</v>
      </c>
      <c r="E2252" s="801">
        <v>43091</v>
      </c>
      <c r="F2252" s="800" t="s">
        <v>22195</v>
      </c>
      <c r="G2252" s="800" t="s">
        <v>22361</v>
      </c>
      <c r="H2252" s="800" t="s">
        <v>10404</v>
      </c>
      <c r="I2252" s="800" t="s">
        <v>10404</v>
      </c>
      <c r="J2252" s="800" t="s">
        <v>10664</v>
      </c>
      <c r="K2252" s="800">
        <v>1</v>
      </c>
      <c r="L2252" s="802" t="s">
        <v>10398</v>
      </c>
      <c r="M2252" s="802" t="s">
        <v>22362</v>
      </c>
      <c r="N2252" s="802" t="s">
        <v>22363</v>
      </c>
      <c r="O2252" s="802" t="s">
        <v>22364</v>
      </c>
      <c r="P2252" s="807" t="s">
        <v>32</v>
      </c>
    </row>
    <row r="2253" spans="1:16" s="341" customFormat="1" ht="25.5" customHeight="1">
      <c r="A2253" s="806" t="s">
        <v>110</v>
      </c>
      <c r="B2253" s="800" t="s">
        <v>4738</v>
      </c>
      <c r="C2253" s="800" t="s">
        <v>4738</v>
      </c>
      <c r="D2253" s="800" t="s">
        <v>22365</v>
      </c>
      <c r="E2253" s="801">
        <v>43061</v>
      </c>
      <c r="F2253" s="800" t="s">
        <v>22195</v>
      </c>
      <c r="G2253" s="800" t="s">
        <v>22366</v>
      </c>
      <c r="H2253" s="800" t="s">
        <v>10433</v>
      </c>
      <c r="I2253" s="800" t="s">
        <v>10433</v>
      </c>
      <c r="J2253" s="800" t="s">
        <v>10447</v>
      </c>
      <c r="K2253" s="800">
        <v>1</v>
      </c>
      <c r="L2253" s="802" t="s">
        <v>10398</v>
      </c>
      <c r="M2253" s="802" t="s">
        <v>22367</v>
      </c>
      <c r="N2253" s="802" t="s">
        <v>22368</v>
      </c>
      <c r="O2253" s="802" t="s">
        <v>22354</v>
      </c>
      <c r="P2253" s="807" t="s">
        <v>22369</v>
      </c>
    </row>
    <row r="2254" spans="1:16" s="341" customFormat="1" ht="25.5" customHeight="1">
      <c r="A2254" s="806" t="s">
        <v>110</v>
      </c>
      <c r="B2254" s="800" t="s">
        <v>4738</v>
      </c>
      <c r="C2254" s="800" t="s">
        <v>4738</v>
      </c>
      <c r="D2254" s="800" t="s">
        <v>22370</v>
      </c>
      <c r="E2254" s="801">
        <v>43061</v>
      </c>
      <c r="F2254" s="800" t="s">
        <v>22195</v>
      </c>
      <c r="G2254" s="800" t="s">
        <v>32</v>
      </c>
      <c r="H2254" s="800" t="s">
        <v>10404</v>
      </c>
      <c r="I2254" s="800" t="s">
        <v>10404</v>
      </c>
      <c r="J2254" s="800" t="s">
        <v>10447</v>
      </c>
      <c r="K2254" s="800">
        <v>1</v>
      </c>
      <c r="L2254" s="802" t="s">
        <v>10398</v>
      </c>
      <c r="M2254" s="802" t="s">
        <v>22371</v>
      </c>
      <c r="N2254" s="802" t="s">
        <v>21695</v>
      </c>
      <c r="O2254" s="802" t="s">
        <v>22372</v>
      </c>
      <c r="P2254" s="807" t="s">
        <v>32</v>
      </c>
    </row>
    <row r="2255" spans="1:16" s="341" customFormat="1" ht="25.5" customHeight="1">
      <c r="A2255" s="806" t="s">
        <v>110</v>
      </c>
      <c r="B2255" s="800" t="s">
        <v>4738</v>
      </c>
      <c r="C2255" s="800" t="s">
        <v>4738</v>
      </c>
      <c r="D2255" s="800" t="s">
        <v>22373</v>
      </c>
      <c r="E2255" s="801">
        <v>43061</v>
      </c>
      <c r="F2255" s="800" t="s">
        <v>22195</v>
      </c>
      <c r="G2255" s="800" t="s">
        <v>32</v>
      </c>
      <c r="H2255" s="800" t="s">
        <v>10404</v>
      </c>
      <c r="I2255" s="800" t="s">
        <v>10404</v>
      </c>
      <c r="J2255" s="800" t="s">
        <v>10447</v>
      </c>
      <c r="K2255" s="800">
        <v>1</v>
      </c>
      <c r="L2255" s="802" t="s">
        <v>10398</v>
      </c>
      <c r="M2255" s="802" t="s">
        <v>22374</v>
      </c>
      <c r="N2255" s="802" t="s">
        <v>14542</v>
      </c>
      <c r="O2255" s="802" t="s">
        <v>22375</v>
      </c>
      <c r="P2255" s="807" t="s">
        <v>32</v>
      </c>
    </row>
    <row r="2256" spans="1:16" s="341" customFormat="1" ht="25.5" customHeight="1">
      <c r="A2256" s="806" t="s">
        <v>110</v>
      </c>
      <c r="B2256" s="800" t="s">
        <v>4738</v>
      </c>
      <c r="C2256" s="800" t="s">
        <v>4738</v>
      </c>
      <c r="D2256" s="800" t="s">
        <v>22376</v>
      </c>
      <c r="E2256" s="801">
        <v>43061</v>
      </c>
      <c r="F2256" s="800" t="s">
        <v>22195</v>
      </c>
      <c r="G2256" s="800" t="s">
        <v>32</v>
      </c>
      <c r="H2256" s="800" t="s">
        <v>10404</v>
      </c>
      <c r="I2256" s="800" t="s">
        <v>10404</v>
      </c>
      <c r="J2256" s="800" t="s">
        <v>10664</v>
      </c>
      <c r="K2256" s="800">
        <v>1</v>
      </c>
      <c r="L2256" s="802" t="s">
        <v>10398</v>
      </c>
      <c r="M2256" s="802" t="s">
        <v>22377</v>
      </c>
      <c r="N2256" s="802" t="s">
        <v>19635</v>
      </c>
      <c r="O2256" s="802" t="s">
        <v>22328</v>
      </c>
      <c r="P2256" s="807" t="s">
        <v>32</v>
      </c>
    </row>
    <row r="2257" spans="1:16" s="341" customFormat="1" ht="25.5" customHeight="1">
      <c r="A2257" s="806" t="s">
        <v>110</v>
      </c>
      <c r="B2257" s="800" t="s">
        <v>4738</v>
      </c>
      <c r="C2257" s="800" t="s">
        <v>4738</v>
      </c>
      <c r="D2257" s="800" t="s">
        <v>22378</v>
      </c>
      <c r="E2257" s="801">
        <v>43061</v>
      </c>
      <c r="F2257" s="800" t="s">
        <v>22195</v>
      </c>
      <c r="G2257" s="800" t="s">
        <v>32</v>
      </c>
      <c r="H2257" s="800" t="s">
        <v>10404</v>
      </c>
      <c r="I2257" s="800" t="s">
        <v>10404</v>
      </c>
      <c r="J2257" s="800" t="s">
        <v>10664</v>
      </c>
      <c r="K2257" s="800">
        <v>1</v>
      </c>
      <c r="L2257" s="802" t="s">
        <v>10398</v>
      </c>
      <c r="M2257" s="802" t="s">
        <v>22379</v>
      </c>
      <c r="N2257" s="802" t="s">
        <v>18776</v>
      </c>
      <c r="O2257" s="802" t="s">
        <v>10903</v>
      </c>
      <c r="P2257" s="807" t="s">
        <v>32</v>
      </c>
    </row>
    <row r="2258" spans="1:16" s="341" customFormat="1" ht="25.5" customHeight="1">
      <c r="A2258" s="806" t="s">
        <v>110</v>
      </c>
      <c r="B2258" s="800" t="s">
        <v>110</v>
      </c>
      <c r="C2258" s="800" t="s">
        <v>4781</v>
      </c>
      <c r="D2258" s="800" t="s">
        <v>22380</v>
      </c>
      <c r="E2258" s="801">
        <v>43039</v>
      </c>
      <c r="F2258" s="800" t="s">
        <v>5444</v>
      </c>
      <c r="G2258" s="800" t="s">
        <v>22381</v>
      </c>
      <c r="H2258" s="800" t="s">
        <v>10396</v>
      </c>
      <c r="I2258" s="800" t="s">
        <v>10396</v>
      </c>
      <c r="J2258" s="800" t="s">
        <v>10447</v>
      </c>
      <c r="K2258" s="800">
        <v>1</v>
      </c>
      <c r="L2258" s="802" t="s">
        <v>10398</v>
      </c>
      <c r="M2258" s="802" t="s">
        <v>22382</v>
      </c>
      <c r="N2258" s="802" t="s">
        <v>10868</v>
      </c>
      <c r="O2258" s="802" t="s">
        <v>22383</v>
      </c>
      <c r="P2258" s="807" t="s">
        <v>22384</v>
      </c>
    </row>
    <row r="2259" spans="1:16" s="341" customFormat="1" ht="38.25" customHeight="1">
      <c r="A2259" s="806" t="s">
        <v>110</v>
      </c>
      <c r="B2259" s="800" t="s">
        <v>110</v>
      </c>
      <c r="C2259" s="800" t="s">
        <v>9352</v>
      </c>
      <c r="D2259" s="800" t="s">
        <v>22385</v>
      </c>
      <c r="E2259" s="801">
        <v>43038</v>
      </c>
      <c r="F2259" s="800" t="s">
        <v>9352</v>
      </c>
      <c r="G2259" s="800" t="s">
        <v>22386</v>
      </c>
      <c r="H2259" s="800" t="s">
        <v>10404</v>
      </c>
      <c r="I2259" s="800" t="s">
        <v>10404</v>
      </c>
      <c r="J2259" s="800" t="s">
        <v>10447</v>
      </c>
      <c r="K2259" s="800">
        <v>1</v>
      </c>
      <c r="L2259" s="802" t="s">
        <v>10398</v>
      </c>
      <c r="M2259" s="802" t="s">
        <v>22387</v>
      </c>
      <c r="N2259" s="802" t="s">
        <v>22388</v>
      </c>
      <c r="O2259" s="802" t="s">
        <v>22389</v>
      </c>
      <c r="P2259" s="807" t="s">
        <v>22390</v>
      </c>
    </row>
    <row r="2260" spans="1:16" s="341" customFormat="1" ht="38.25" customHeight="1">
      <c r="A2260" s="806" t="s">
        <v>110</v>
      </c>
      <c r="B2260" s="800" t="s">
        <v>110</v>
      </c>
      <c r="C2260" s="800" t="s">
        <v>9352</v>
      </c>
      <c r="D2260" s="800" t="s">
        <v>22391</v>
      </c>
      <c r="E2260" s="801">
        <v>43038</v>
      </c>
      <c r="F2260" s="800" t="s">
        <v>9352</v>
      </c>
      <c r="G2260" s="800" t="s">
        <v>22392</v>
      </c>
      <c r="H2260" s="800" t="s">
        <v>10433</v>
      </c>
      <c r="I2260" s="800" t="s">
        <v>10433</v>
      </c>
      <c r="J2260" s="800" t="s">
        <v>10447</v>
      </c>
      <c r="K2260" s="800">
        <v>1</v>
      </c>
      <c r="L2260" s="802" t="s">
        <v>10398</v>
      </c>
      <c r="M2260" s="802" t="s">
        <v>22393</v>
      </c>
      <c r="N2260" s="802" t="s">
        <v>22394</v>
      </c>
      <c r="O2260" s="802" t="s">
        <v>22395</v>
      </c>
      <c r="P2260" s="807" t="s">
        <v>22396</v>
      </c>
    </row>
    <row r="2261" spans="1:16" s="341" customFormat="1" ht="15" customHeight="1">
      <c r="A2261" s="806" t="s">
        <v>110</v>
      </c>
      <c r="B2261" s="800" t="s">
        <v>110</v>
      </c>
      <c r="C2261" s="800" t="s">
        <v>9352</v>
      </c>
      <c r="D2261" s="800" t="s">
        <v>22397</v>
      </c>
      <c r="E2261" s="801">
        <v>43038</v>
      </c>
      <c r="F2261" s="800" t="s">
        <v>9352</v>
      </c>
      <c r="G2261" s="800" t="s">
        <v>22398</v>
      </c>
      <c r="H2261" s="800" t="s">
        <v>10433</v>
      </c>
      <c r="I2261" s="800" t="s">
        <v>10433</v>
      </c>
      <c r="J2261" s="800" t="s">
        <v>10447</v>
      </c>
      <c r="K2261" s="800">
        <v>1</v>
      </c>
      <c r="L2261" s="802" t="s">
        <v>10398</v>
      </c>
      <c r="M2261" s="802" t="s">
        <v>22399</v>
      </c>
      <c r="N2261" s="802" t="s">
        <v>22400</v>
      </c>
      <c r="O2261" s="802" t="s">
        <v>22401</v>
      </c>
      <c r="P2261" s="807" t="s">
        <v>32</v>
      </c>
    </row>
    <row r="2262" spans="1:16" s="341" customFormat="1" ht="25.5" customHeight="1">
      <c r="A2262" s="806" t="s">
        <v>110</v>
      </c>
      <c r="B2262" s="800" t="s">
        <v>110</v>
      </c>
      <c r="C2262" s="800" t="s">
        <v>9352</v>
      </c>
      <c r="D2262" s="800" t="s">
        <v>22402</v>
      </c>
      <c r="E2262" s="801">
        <v>43038</v>
      </c>
      <c r="F2262" s="800" t="s">
        <v>9352</v>
      </c>
      <c r="G2262" s="800" t="s">
        <v>22403</v>
      </c>
      <c r="H2262" s="800" t="s">
        <v>10396</v>
      </c>
      <c r="I2262" s="800" t="s">
        <v>10396</v>
      </c>
      <c r="J2262" s="800" t="s">
        <v>10426</v>
      </c>
      <c r="K2262" s="800">
        <v>1</v>
      </c>
      <c r="L2262" s="802" t="s">
        <v>10398</v>
      </c>
      <c r="M2262" s="802" t="s">
        <v>22404</v>
      </c>
      <c r="N2262" s="802" t="s">
        <v>22405</v>
      </c>
      <c r="O2262" s="802" t="s">
        <v>22406</v>
      </c>
      <c r="P2262" s="807" t="s">
        <v>22407</v>
      </c>
    </row>
    <row r="2263" spans="1:16" s="341" customFormat="1" ht="25.5" customHeight="1">
      <c r="A2263" s="806" t="s">
        <v>110</v>
      </c>
      <c r="B2263" s="800" t="s">
        <v>110</v>
      </c>
      <c r="C2263" s="800" t="s">
        <v>9352</v>
      </c>
      <c r="D2263" s="800" t="s">
        <v>22408</v>
      </c>
      <c r="E2263" s="801">
        <v>43038</v>
      </c>
      <c r="F2263" s="800" t="s">
        <v>9352</v>
      </c>
      <c r="G2263" s="800" t="s">
        <v>22409</v>
      </c>
      <c r="H2263" s="800" t="s">
        <v>10404</v>
      </c>
      <c r="I2263" s="800" t="s">
        <v>10404</v>
      </c>
      <c r="J2263" s="800" t="s">
        <v>10426</v>
      </c>
      <c r="K2263" s="800">
        <v>1</v>
      </c>
      <c r="L2263" s="802" t="s">
        <v>10398</v>
      </c>
      <c r="M2263" s="802" t="s">
        <v>22410</v>
      </c>
      <c r="N2263" s="802" t="s">
        <v>22411</v>
      </c>
      <c r="O2263" s="802" t="s">
        <v>22412</v>
      </c>
      <c r="P2263" s="807" t="s">
        <v>22413</v>
      </c>
    </row>
    <row r="2264" spans="1:16" s="341" customFormat="1" ht="15" customHeight="1">
      <c r="A2264" s="806" t="s">
        <v>110</v>
      </c>
      <c r="B2264" s="800" t="s">
        <v>110</v>
      </c>
      <c r="C2264" s="800" t="s">
        <v>9352</v>
      </c>
      <c r="D2264" s="800" t="s">
        <v>22414</v>
      </c>
      <c r="E2264" s="801">
        <v>43038</v>
      </c>
      <c r="F2264" s="800" t="s">
        <v>9352</v>
      </c>
      <c r="G2264" s="800" t="s">
        <v>22415</v>
      </c>
      <c r="H2264" s="800" t="s">
        <v>10404</v>
      </c>
      <c r="I2264" s="800" t="s">
        <v>10404</v>
      </c>
      <c r="J2264" s="800" t="s">
        <v>10426</v>
      </c>
      <c r="K2264" s="800">
        <v>1</v>
      </c>
      <c r="L2264" s="802" t="s">
        <v>10398</v>
      </c>
      <c r="M2264" s="802" t="s">
        <v>22416</v>
      </c>
      <c r="N2264" s="802" t="s">
        <v>21416</v>
      </c>
      <c r="O2264" s="802" t="s">
        <v>22417</v>
      </c>
      <c r="P2264" s="807" t="s">
        <v>22418</v>
      </c>
    </row>
    <row r="2265" spans="1:16" s="341" customFormat="1" ht="15" customHeight="1">
      <c r="A2265" s="806" t="s">
        <v>110</v>
      </c>
      <c r="B2265" s="800" t="s">
        <v>110</v>
      </c>
      <c r="C2265" s="800" t="s">
        <v>9352</v>
      </c>
      <c r="D2265" s="800" t="s">
        <v>22419</v>
      </c>
      <c r="E2265" s="801">
        <v>43038</v>
      </c>
      <c r="F2265" s="800" t="s">
        <v>9352</v>
      </c>
      <c r="G2265" s="800" t="s">
        <v>22420</v>
      </c>
      <c r="H2265" s="800" t="s">
        <v>10404</v>
      </c>
      <c r="I2265" s="800" t="s">
        <v>10404</v>
      </c>
      <c r="J2265" s="800" t="s">
        <v>10426</v>
      </c>
      <c r="K2265" s="800">
        <v>1</v>
      </c>
      <c r="L2265" s="802" t="s">
        <v>10398</v>
      </c>
      <c r="M2265" s="802" t="s">
        <v>22421</v>
      </c>
      <c r="N2265" s="802" t="s">
        <v>22422</v>
      </c>
      <c r="O2265" s="802" t="s">
        <v>22423</v>
      </c>
      <c r="P2265" s="807" t="s">
        <v>22424</v>
      </c>
    </row>
    <row r="2266" spans="1:16" s="341" customFormat="1" ht="51" customHeight="1">
      <c r="A2266" s="806" t="s">
        <v>110</v>
      </c>
      <c r="B2266" s="800" t="s">
        <v>110</v>
      </c>
      <c r="C2266" s="800" t="s">
        <v>9352</v>
      </c>
      <c r="D2266" s="800" t="s">
        <v>22425</v>
      </c>
      <c r="E2266" s="801">
        <v>43038</v>
      </c>
      <c r="F2266" s="800" t="s">
        <v>9352</v>
      </c>
      <c r="G2266" s="800" t="s">
        <v>22426</v>
      </c>
      <c r="H2266" s="800" t="s">
        <v>10404</v>
      </c>
      <c r="I2266" s="800" t="s">
        <v>10404</v>
      </c>
      <c r="J2266" s="800" t="s">
        <v>10664</v>
      </c>
      <c r="K2266" s="800">
        <v>1</v>
      </c>
      <c r="L2266" s="802" t="s">
        <v>10398</v>
      </c>
      <c r="M2266" s="802" t="s">
        <v>22427</v>
      </c>
      <c r="N2266" s="802" t="s">
        <v>22428</v>
      </c>
      <c r="O2266" s="802" t="s">
        <v>22429</v>
      </c>
      <c r="P2266" s="807" t="s">
        <v>22430</v>
      </c>
    </row>
    <row r="2267" spans="1:16" s="341" customFormat="1" ht="25.5" customHeight="1">
      <c r="A2267" s="806" t="s">
        <v>110</v>
      </c>
      <c r="B2267" s="800" t="s">
        <v>110</v>
      </c>
      <c r="C2267" s="800" t="s">
        <v>9352</v>
      </c>
      <c r="D2267" s="800" t="s">
        <v>22431</v>
      </c>
      <c r="E2267" s="801">
        <v>43038</v>
      </c>
      <c r="F2267" s="800" t="s">
        <v>9352</v>
      </c>
      <c r="G2267" s="800" t="s">
        <v>22432</v>
      </c>
      <c r="H2267" s="800" t="s">
        <v>10396</v>
      </c>
      <c r="I2267" s="800" t="s">
        <v>10396</v>
      </c>
      <c r="J2267" s="800" t="s">
        <v>10397</v>
      </c>
      <c r="K2267" s="800">
        <v>1</v>
      </c>
      <c r="L2267" s="802" t="s">
        <v>10398</v>
      </c>
      <c r="M2267" s="802" t="s">
        <v>22433</v>
      </c>
      <c r="N2267" s="802" t="s">
        <v>20358</v>
      </c>
      <c r="O2267" s="802" t="s">
        <v>22434</v>
      </c>
      <c r="P2267" s="807" t="s">
        <v>32</v>
      </c>
    </row>
    <row r="2268" spans="1:16" s="341" customFormat="1" ht="25.5" customHeight="1">
      <c r="A2268" s="806" t="s">
        <v>110</v>
      </c>
      <c r="B2268" s="800" t="s">
        <v>110</v>
      </c>
      <c r="C2268" s="800" t="s">
        <v>9352</v>
      </c>
      <c r="D2268" s="800" t="s">
        <v>22435</v>
      </c>
      <c r="E2268" s="801">
        <v>43038</v>
      </c>
      <c r="F2268" s="800" t="s">
        <v>9352</v>
      </c>
      <c r="G2268" s="800" t="s">
        <v>22436</v>
      </c>
      <c r="H2268" s="800" t="s">
        <v>10433</v>
      </c>
      <c r="I2268" s="800" t="s">
        <v>10433</v>
      </c>
      <c r="J2268" s="800" t="s">
        <v>10447</v>
      </c>
      <c r="K2268" s="800">
        <v>1</v>
      </c>
      <c r="L2268" s="802" t="s">
        <v>10398</v>
      </c>
      <c r="M2268" s="802" t="s">
        <v>22437</v>
      </c>
      <c r="N2268" s="802" t="s">
        <v>22438</v>
      </c>
      <c r="O2268" s="802" t="s">
        <v>22439</v>
      </c>
      <c r="P2268" s="807" t="s">
        <v>22440</v>
      </c>
    </row>
    <row r="2269" spans="1:16" s="341" customFormat="1" ht="25.5" customHeight="1">
      <c r="A2269" s="806" t="s">
        <v>110</v>
      </c>
      <c r="B2269" s="800" t="s">
        <v>110</v>
      </c>
      <c r="C2269" s="800" t="s">
        <v>9352</v>
      </c>
      <c r="D2269" s="800" t="s">
        <v>22441</v>
      </c>
      <c r="E2269" s="801">
        <v>43038</v>
      </c>
      <c r="F2269" s="800" t="s">
        <v>9352</v>
      </c>
      <c r="G2269" s="800" t="s">
        <v>22442</v>
      </c>
      <c r="H2269" s="800" t="s">
        <v>10404</v>
      </c>
      <c r="I2269" s="800" t="s">
        <v>10404</v>
      </c>
      <c r="J2269" s="800" t="s">
        <v>10447</v>
      </c>
      <c r="K2269" s="800">
        <v>1</v>
      </c>
      <c r="L2269" s="802" t="s">
        <v>10398</v>
      </c>
      <c r="M2269" s="802" t="s">
        <v>22443</v>
      </c>
      <c r="N2269" s="802" t="s">
        <v>22444</v>
      </c>
      <c r="O2269" s="802" t="s">
        <v>22445</v>
      </c>
      <c r="P2269" s="807" t="s">
        <v>22446</v>
      </c>
    </row>
    <row r="2270" spans="1:16" s="341" customFormat="1" ht="15" customHeight="1">
      <c r="A2270" s="806" t="s">
        <v>110</v>
      </c>
      <c r="B2270" s="800" t="s">
        <v>110</v>
      </c>
      <c r="C2270" s="800" t="s">
        <v>9352</v>
      </c>
      <c r="D2270" s="800" t="s">
        <v>22447</v>
      </c>
      <c r="E2270" s="801">
        <v>43038</v>
      </c>
      <c r="F2270" s="800" t="s">
        <v>9352</v>
      </c>
      <c r="G2270" s="800" t="s">
        <v>22448</v>
      </c>
      <c r="H2270" s="800" t="s">
        <v>10433</v>
      </c>
      <c r="I2270" s="800" t="s">
        <v>10433</v>
      </c>
      <c r="J2270" s="800" t="s">
        <v>10447</v>
      </c>
      <c r="K2270" s="800">
        <v>1</v>
      </c>
      <c r="L2270" s="802" t="s">
        <v>10398</v>
      </c>
      <c r="M2270" s="802" t="s">
        <v>22449</v>
      </c>
      <c r="N2270" s="802" t="s">
        <v>11939</v>
      </c>
      <c r="O2270" s="802" t="s">
        <v>22450</v>
      </c>
      <c r="P2270" s="807" t="s">
        <v>22451</v>
      </c>
    </row>
    <row r="2271" spans="1:16" s="341" customFormat="1" ht="15" customHeight="1">
      <c r="A2271" s="806" t="s">
        <v>110</v>
      </c>
      <c r="B2271" s="800" t="s">
        <v>110</v>
      </c>
      <c r="C2271" s="800" t="s">
        <v>9352</v>
      </c>
      <c r="D2271" s="800" t="s">
        <v>22452</v>
      </c>
      <c r="E2271" s="801">
        <v>43038</v>
      </c>
      <c r="F2271" s="800" t="s">
        <v>9352</v>
      </c>
      <c r="G2271" s="800" t="s">
        <v>22453</v>
      </c>
      <c r="H2271" s="800" t="s">
        <v>10433</v>
      </c>
      <c r="I2271" s="800" t="s">
        <v>10433</v>
      </c>
      <c r="J2271" s="800" t="s">
        <v>10447</v>
      </c>
      <c r="K2271" s="800">
        <v>1</v>
      </c>
      <c r="L2271" s="802" t="s">
        <v>10398</v>
      </c>
      <c r="M2271" s="802" t="s">
        <v>22454</v>
      </c>
      <c r="N2271" s="802" t="s">
        <v>22455</v>
      </c>
      <c r="O2271" s="802" t="s">
        <v>22456</v>
      </c>
      <c r="P2271" s="807" t="s">
        <v>32</v>
      </c>
    </row>
    <row r="2272" spans="1:16" s="341" customFormat="1" ht="15" customHeight="1">
      <c r="A2272" s="806" t="s">
        <v>110</v>
      </c>
      <c r="B2272" s="800" t="s">
        <v>110</v>
      </c>
      <c r="C2272" s="800" t="s">
        <v>9352</v>
      </c>
      <c r="D2272" s="800" t="s">
        <v>22457</v>
      </c>
      <c r="E2272" s="801">
        <v>43038</v>
      </c>
      <c r="F2272" s="800" t="s">
        <v>9352</v>
      </c>
      <c r="G2272" s="800" t="s">
        <v>22458</v>
      </c>
      <c r="H2272" s="800" t="s">
        <v>10404</v>
      </c>
      <c r="I2272" s="800" t="s">
        <v>10404</v>
      </c>
      <c r="J2272" s="800" t="s">
        <v>10447</v>
      </c>
      <c r="K2272" s="800">
        <v>1</v>
      </c>
      <c r="L2272" s="802" t="s">
        <v>10398</v>
      </c>
      <c r="M2272" s="802" t="s">
        <v>22459</v>
      </c>
      <c r="N2272" s="802" t="s">
        <v>22460</v>
      </c>
      <c r="O2272" s="802" t="s">
        <v>22461</v>
      </c>
      <c r="P2272" s="807" t="s">
        <v>22462</v>
      </c>
    </row>
    <row r="2273" spans="1:16" s="341" customFormat="1" ht="25.5" customHeight="1">
      <c r="A2273" s="806" t="s">
        <v>110</v>
      </c>
      <c r="B2273" s="800" t="s">
        <v>110</v>
      </c>
      <c r="C2273" s="800" t="s">
        <v>9352</v>
      </c>
      <c r="D2273" s="800" t="s">
        <v>22463</v>
      </c>
      <c r="E2273" s="800"/>
      <c r="F2273" s="800" t="s">
        <v>9352</v>
      </c>
      <c r="G2273" s="800" t="s">
        <v>22458</v>
      </c>
      <c r="H2273" s="800" t="s">
        <v>10404</v>
      </c>
      <c r="I2273" s="800" t="s">
        <v>10404</v>
      </c>
      <c r="J2273" s="800" t="s">
        <v>10447</v>
      </c>
      <c r="K2273" s="800">
        <v>1</v>
      </c>
      <c r="L2273" s="802" t="s">
        <v>10398</v>
      </c>
      <c r="M2273" s="802" t="s">
        <v>22459</v>
      </c>
      <c r="N2273" s="802" t="s">
        <v>22460</v>
      </c>
      <c r="O2273" s="802" t="s">
        <v>22464</v>
      </c>
      <c r="P2273" s="807" t="s">
        <v>22462</v>
      </c>
    </row>
    <row r="2274" spans="1:16" s="341" customFormat="1" ht="15" customHeight="1">
      <c r="A2274" s="806" t="s">
        <v>110</v>
      </c>
      <c r="B2274" s="800" t="s">
        <v>110</v>
      </c>
      <c r="C2274" s="800" t="s">
        <v>9352</v>
      </c>
      <c r="D2274" s="800" t="s">
        <v>22465</v>
      </c>
      <c r="E2274" s="801">
        <v>43038</v>
      </c>
      <c r="F2274" s="800" t="s">
        <v>9352</v>
      </c>
      <c r="G2274" s="800" t="s">
        <v>22466</v>
      </c>
      <c r="H2274" s="800" t="s">
        <v>10404</v>
      </c>
      <c r="I2274" s="800" t="s">
        <v>10404</v>
      </c>
      <c r="J2274" s="800" t="s">
        <v>10426</v>
      </c>
      <c r="K2274" s="800">
        <v>1</v>
      </c>
      <c r="L2274" s="802" t="s">
        <v>10398</v>
      </c>
      <c r="M2274" s="802" t="s">
        <v>22467</v>
      </c>
      <c r="N2274" s="802" t="s">
        <v>22468</v>
      </c>
      <c r="O2274" s="802" t="s">
        <v>22469</v>
      </c>
      <c r="P2274" s="807" t="s">
        <v>22470</v>
      </c>
    </row>
    <row r="2275" spans="1:16" s="341" customFormat="1" ht="25.5" customHeight="1">
      <c r="A2275" s="806" t="s">
        <v>110</v>
      </c>
      <c r="B2275" s="800" t="s">
        <v>110</v>
      </c>
      <c r="C2275" s="800" t="s">
        <v>9352</v>
      </c>
      <c r="D2275" s="800" t="s">
        <v>22471</v>
      </c>
      <c r="E2275" s="801">
        <v>43038</v>
      </c>
      <c r="F2275" s="800" t="s">
        <v>9352</v>
      </c>
      <c r="G2275" s="800" t="s">
        <v>22472</v>
      </c>
      <c r="H2275" s="800" t="s">
        <v>10404</v>
      </c>
      <c r="I2275" s="800" t="s">
        <v>10404</v>
      </c>
      <c r="J2275" s="800" t="s">
        <v>10426</v>
      </c>
      <c r="K2275" s="800">
        <v>1</v>
      </c>
      <c r="L2275" s="802" t="s">
        <v>10398</v>
      </c>
      <c r="M2275" s="802" t="s">
        <v>22473</v>
      </c>
      <c r="N2275" s="802" t="s">
        <v>22474</v>
      </c>
      <c r="O2275" s="802" t="s">
        <v>22401</v>
      </c>
      <c r="P2275" s="807" t="s">
        <v>22475</v>
      </c>
    </row>
    <row r="2276" spans="1:16" s="341" customFormat="1" ht="25.5" customHeight="1">
      <c r="A2276" s="806" t="s">
        <v>110</v>
      </c>
      <c r="B2276" s="800" t="s">
        <v>110</v>
      </c>
      <c r="C2276" s="800" t="s">
        <v>9352</v>
      </c>
      <c r="D2276" s="800" t="s">
        <v>22476</v>
      </c>
      <c r="E2276" s="801">
        <v>43038</v>
      </c>
      <c r="F2276" s="800" t="s">
        <v>22477</v>
      </c>
      <c r="G2276" s="800" t="s">
        <v>22478</v>
      </c>
      <c r="H2276" s="800" t="s">
        <v>10404</v>
      </c>
      <c r="I2276" s="800" t="s">
        <v>10404</v>
      </c>
      <c r="J2276" s="800" t="s">
        <v>10664</v>
      </c>
      <c r="K2276" s="800">
        <v>1</v>
      </c>
      <c r="L2276" s="802" t="s">
        <v>10398</v>
      </c>
      <c r="M2276" s="802" t="s">
        <v>22479</v>
      </c>
      <c r="N2276" s="802" t="s">
        <v>22302</v>
      </c>
      <c r="O2276" s="802" t="s">
        <v>22480</v>
      </c>
      <c r="P2276" s="807" t="s">
        <v>22481</v>
      </c>
    </row>
    <row r="2277" spans="1:16" s="341" customFormat="1" ht="15" customHeight="1">
      <c r="A2277" s="806" t="s">
        <v>110</v>
      </c>
      <c r="B2277" s="800" t="s">
        <v>110</v>
      </c>
      <c r="C2277" s="800" t="s">
        <v>9352</v>
      </c>
      <c r="D2277" s="800" t="s">
        <v>22482</v>
      </c>
      <c r="E2277" s="801">
        <v>43038</v>
      </c>
      <c r="F2277" s="800" t="s">
        <v>9352</v>
      </c>
      <c r="G2277" s="800" t="s">
        <v>22483</v>
      </c>
      <c r="H2277" s="800" t="s">
        <v>10404</v>
      </c>
      <c r="I2277" s="800" t="s">
        <v>10404</v>
      </c>
      <c r="J2277" s="800" t="s">
        <v>10405</v>
      </c>
      <c r="K2277" s="800">
        <v>1</v>
      </c>
      <c r="L2277" s="802" t="s">
        <v>10398</v>
      </c>
      <c r="M2277" s="802" t="s">
        <v>22484</v>
      </c>
      <c r="N2277" s="802" t="s">
        <v>22485</v>
      </c>
      <c r="O2277" s="802" t="s">
        <v>22486</v>
      </c>
      <c r="P2277" s="807" t="s">
        <v>22487</v>
      </c>
    </row>
    <row r="2278" spans="1:16" s="341" customFormat="1" ht="25.5" customHeight="1">
      <c r="A2278" s="806" t="s">
        <v>110</v>
      </c>
      <c r="B2278" s="800" t="s">
        <v>110</v>
      </c>
      <c r="C2278" s="800" t="s">
        <v>9352</v>
      </c>
      <c r="D2278" s="800" t="s">
        <v>22488</v>
      </c>
      <c r="E2278" s="801">
        <v>43038</v>
      </c>
      <c r="F2278" s="800" t="s">
        <v>9352</v>
      </c>
      <c r="G2278" s="800" t="s">
        <v>22489</v>
      </c>
      <c r="H2278" s="800" t="s">
        <v>10404</v>
      </c>
      <c r="I2278" s="800" t="s">
        <v>10404</v>
      </c>
      <c r="J2278" s="800" t="s">
        <v>10447</v>
      </c>
      <c r="K2278" s="800">
        <v>1</v>
      </c>
      <c r="L2278" s="802" t="s">
        <v>10398</v>
      </c>
      <c r="M2278" s="802" t="s">
        <v>22490</v>
      </c>
      <c r="N2278" s="802" t="s">
        <v>22491</v>
      </c>
      <c r="O2278" s="802" t="s">
        <v>22492</v>
      </c>
      <c r="P2278" s="807" t="s">
        <v>22493</v>
      </c>
    </row>
    <row r="2279" spans="1:16" s="341" customFormat="1" ht="51" customHeight="1">
      <c r="A2279" s="806" t="s">
        <v>110</v>
      </c>
      <c r="B2279" s="800" t="s">
        <v>110</v>
      </c>
      <c r="C2279" s="800" t="s">
        <v>9352</v>
      </c>
      <c r="D2279" s="800" t="s">
        <v>22494</v>
      </c>
      <c r="E2279" s="801">
        <v>43038</v>
      </c>
      <c r="F2279" s="800" t="s">
        <v>9352</v>
      </c>
      <c r="G2279" s="800" t="s">
        <v>22495</v>
      </c>
      <c r="H2279" s="800" t="s">
        <v>10433</v>
      </c>
      <c r="I2279" s="800" t="s">
        <v>10433</v>
      </c>
      <c r="J2279" s="800" t="s">
        <v>10447</v>
      </c>
      <c r="K2279" s="800">
        <v>1</v>
      </c>
      <c r="L2279" s="802" t="s">
        <v>10398</v>
      </c>
      <c r="M2279" s="802" t="s">
        <v>22496</v>
      </c>
      <c r="N2279" s="802" t="s">
        <v>20358</v>
      </c>
      <c r="O2279" s="802" t="s">
        <v>22497</v>
      </c>
      <c r="P2279" s="807" t="s">
        <v>22498</v>
      </c>
    </row>
    <row r="2280" spans="1:16" s="341" customFormat="1" ht="25.5">
      <c r="A2280" s="806" t="s">
        <v>110</v>
      </c>
      <c r="B2280" s="800" t="s">
        <v>110</v>
      </c>
      <c r="C2280" s="800" t="s">
        <v>9352</v>
      </c>
      <c r="D2280" s="800" t="s">
        <v>22499</v>
      </c>
      <c r="E2280" s="801">
        <v>43038</v>
      </c>
      <c r="F2280" s="800" t="s">
        <v>9352</v>
      </c>
      <c r="G2280" s="800" t="s">
        <v>22500</v>
      </c>
      <c r="H2280" s="800" t="s">
        <v>10404</v>
      </c>
      <c r="I2280" s="800" t="s">
        <v>10404</v>
      </c>
      <c r="J2280" s="800" t="s">
        <v>10426</v>
      </c>
      <c r="K2280" s="800">
        <v>1</v>
      </c>
      <c r="L2280" s="802" t="s">
        <v>10398</v>
      </c>
      <c r="M2280" s="802" t="s">
        <v>22501</v>
      </c>
      <c r="N2280" s="802" t="s">
        <v>22502</v>
      </c>
      <c r="O2280" s="802" t="s">
        <v>22503</v>
      </c>
      <c r="P2280" s="807" t="s">
        <v>22504</v>
      </c>
    </row>
    <row r="2281" spans="1:16" s="341" customFormat="1" ht="51" customHeight="1">
      <c r="A2281" s="806" t="s">
        <v>110</v>
      </c>
      <c r="B2281" s="800" t="s">
        <v>110</v>
      </c>
      <c r="C2281" s="800" t="s">
        <v>4815</v>
      </c>
      <c r="D2281" s="800" t="s">
        <v>22505</v>
      </c>
      <c r="E2281" s="801">
        <v>43040</v>
      </c>
      <c r="F2281" s="800" t="s">
        <v>7378</v>
      </c>
      <c r="G2281" s="800" t="s">
        <v>22506</v>
      </c>
      <c r="H2281" s="800" t="s">
        <v>10433</v>
      </c>
      <c r="I2281" s="800" t="s">
        <v>10433</v>
      </c>
      <c r="J2281" s="800" t="s">
        <v>10447</v>
      </c>
      <c r="K2281" s="800">
        <v>1</v>
      </c>
      <c r="L2281" s="802" t="s">
        <v>10398</v>
      </c>
      <c r="M2281" s="802" t="s">
        <v>22507</v>
      </c>
      <c r="N2281" s="802" t="s">
        <v>22508</v>
      </c>
      <c r="O2281" s="802" t="s">
        <v>22509</v>
      </c>
      <c r="P2281" s="807" t="s">
        <v>22510</v>
      </c>
    </row>
    <row r="2282" spans="1:16" s="341" customFormat="1" ht="51">
      <c r="A2282" s="806" t="s">
        <v>110</v>
      </c>
      <c r="B2282" s="800" t="s">
        <v>110</v>
      </c>
      <c r="C2282" s="800" t="s">
        <v>4815</v>
      </c>
      <c r="D2282" s="800" t="s">
        <v>22511</v>
      </c>
      <c r="E2282" s="801">
        <v>43040</v>
      </c>
      <c r="F2282" s="800" t="s">
        <v>7378</v>
      </c>
      <c r="G2282" s="800" t="s">
        <v>22512</v>
      </c>
      <c r="H2282" s="800" t="s">
        <v>10404</v>
      </c>
      <c r="I2282" s="800" t="s">
        <v>10404</v>
      </c>
      <c r="J2282" s="800" t="s">
        <v>10447</v>
      </c>
      <c r="K2282" s="800">
        <v>1</v>
      </c>
      <c r="L2282" s="802" t="s">
        <v>10398</v>
      </c>
      <c r="M2282" s="802" t="s">
        <v>32</v>
      </c>
      <c r="N2282" s="802" t="s">
        <v>22508</v>
      </c>
      <c r="O2282" s="802" t="s">
        <v>14341</v>
      </c>
      <c r="P2282" s="807" t="s">
        <v>22513</v>
      </c>
    </row>
    <row r="2283" spans="1:16" s="341" customFormat="1" ht="38.25" customHeight="1">
      <c r="A2283" s="806" t="s">
        <v>110</v>
      </c>
      <c r="B2283" s="800" t="s">
        <v>110</v>
      </c>
      <c r="C2283" s="800" t="s">
        <v>4815</v>
      </c>
      <c r="D2283" s="800" t="s">
        <v>22514</v>
      </c>
      <c r="E2283" s="801">
        <v>43040</v>
      </c>
      <c r="F2283" s="800" t="s">
        <v>7378</v>
      </c>
      <c r="G2283" s="800" t="s">
        <v>22515</v>
      </c>
      <c r="H2283" s="800" t="s">
        <v>10433</v>
      </c>
      <c r="I2283" s="800" t="s">
        <v>10433</v>
      </c>
      <c r="J2283" s="800" t="s">
        <v>10447</v>
      </c>
      <c r="K2283" s="800">
        <v>1</v>
      </c>
      <c r="L2283" s="802" t="s">
        <v>10398</v>
      </c>
      <c r="M2283" s="802" t="s">
        <v>22516</v>
      </c>
      <c r="N2283" s="802" t="s">
        <v>15160</v>
      </c>
      <c r="O2283" s="802" t="s">
        <v>22517</v>
      </c>
      <c r="P2283" s="807" t="s">
        <v>22518</v>
      </c>
    </row>
    <row r="2284" spans="1:16" s="341" customFormat="1" ht="51" customHeight="1">
      <c r="A2284" s="806" t="s">
        <v>110</v>
      </c>
      <c r="B2284" s="800" t="s">
        <v>110</v>
      </c>
      <c r="C2284" s="800" t="s">
        <v>4815</v>
      </c>
      <c r="D2284" s="800" t="s">
        <v>22519</v>
      </c>
      <c r="E2284" s="801">
        <v>43040</v>
      </c>
      <c r="F2284" s="800" t="s">
        <v>7378</v>
      </c>
      <c r="G2284" s="800" t="s">
        <v>22520</v>
      </c>
      <c r="H2284" s="800" t="s">
        <v>10404</v>
      </c>
      <c r="I2284" s="800" t="s">
        <v>10404</v>
      </c>
      <c r="J2284" s="800" t="s">
        <v>10447</v>
      </c>
      <c r="K2284" s="800">
        <v>1</v>
      </c>
      <c r="L2284" s="802" t="s">
        <v>10398</v>
      </c>
      <c r="M2284" s="802" t="s">
        <v>22521</v>
      </c>
      <c r="N2284" s="802" t="s">
        <v>22522</v>
      </c>
      <c r="O2284" s="802" t="s">
        <v>22523</v>
      </c>
      <c r="P2284" s="807" t="s">
        <v>22524</v>
      </c>
    </row>
    <row r="2285" spans="1:16" s="341" customFormat="1" ht="25.5" customHeight="1">
      <c r="A2285" s="806" t="s">
        <v>110</v>
      </c>
      <c r="B2285" s="800" t="s">
        <v>110</v>
      </c>
      <c r="C2285" s="800" t="s">
        <v>4815</v>
      </c>
      <c r="D2285" s="800" t="s">
        <v>22525</v>
      </c>
      <c r="E2285" s="801">
        <v>43040</v>
      </c>
      <c r="F2285" s="800" t="s">
        <v>7378</v>
      </c>
      <c r="G2285" s="800" t="s">
        <v>22526</v>
      </c>
      <c r="H2285" s="800" t="s">
        <v>10396</v>
      </c>
      <c r="I2285" s="800" t="s">
        <v>10396</v>
      </c>
      <c r="J2285" s="800" t="s">
        <v>10447</v>
      </c>
      <c r="K2285" s="800">
        <v>1</v>
      </c>
      <c r="L2285" s="802" t="s">
        <v>10398</v>
      </c>
      <c r="M2285" s="802" t="s">
        <v>22527</v>
      </c>
      <c r="N2285" s="802" t="s">
        <v>22528</v>
      </c>
      <c r="O2285" s="802" t="s">
        <v>15048</v>
      </c>
      <c r="P2285" s="807" t="s">
        <v>22529</v>
      </c>
    </row>
    <row r="2286" spans="1:16" s="341" customFormat="1" ht="38.25" customHeight="1">
      <c r="A2286" s="806" t="s">
        <v>110</v>
      </c>
      <c r="B2286" s="800" t="s">
        <v>110</v>
      </c>
      <c r="C2286" s="800" t="s">
        <v>4815</v>
      </c>
      <c r="D2286" s="800" t="s">
        <v>22530</v>
      </c>
      <c r="E2286" s="801">
        <v>43040</v>
      </c>
      <c r="F2286" s="800" t="s">
        <v>7378</v>
      </c>
      <c r="G2286" s="800" t="s">
        <v>22531</v>
      </c>
      <c r="H2286" s="800" t="s">
        <v>10531</v>
      </c>
      <c r="I2286" s="800" t="s">
        <v>10531</v>
      </c>
      <c r="J2286" s="800" t="s">
        <v>10447</v>
      </c>
      <c r="K2286" s="800">
        <v>1</v>
      </c>
      <c r="L2286" s="802" t="s">
        <v>10398</v>
      </c>
      <c r="M2286" s="802" t="s">
        <v>22532</v>
      </c>
      <c r="N2286" s="802" t="s">
        <v>22533</v>
      </c>
      <c r="O2286" s="802" t="s">
        <v>22534</v>
      </c>
      <c r="P2286" s="807" t="s">
        <v>22535</v>
      </c>
    </row>
    <row r="2287" spans="1:16" s="341" customFormat="1" ht="38.25" customHeight="1">
      <c r="A2287" s="806" t="s">
        <v>110</v>
      </c>
      <c r="B2287" s="800" t="s">
        <v>110</v>
      </c>
      <c r="C2287" s="800" t="s">
        <v>4815</v>
      </c>
      <c r="D2287" s="800" t="s">
        <v>22536</v>
      </c>
      <c r="E2287" s="801">
        <v>43040</v>
      </c>
      <c r="F2287" s="800" t="s">
        <v>7378</v>
      </c>
      <c r="G2287" s="800" t="s">
        <v>22537</v>
      </c>
      <c r="H2287" s="800" t="s">
        <v>10531</v>
      </c>
      <c r="I2287" s="800" t="s">
        <v>10531</v>
      </c>
      <c r="J2287" s="800" t="s">
        <v>10447</v>
      </c>
      <c r="K2287" s="800">
        <v>1</v>
      </c>
      <c r="L2287" s="802" t="s">
        <v>10398</v>
      </c>
      <c r="M2287" s="802" t="s">
        <v>22538</v>
      </c>
      <c r="N2287" s="802" t="s">
        <v>15160</v>
      </c>
      <c r="O2287" s="802" t="s">
        <v>22539</v>
      </c>
      <c r="P2287" s="807" t="s">
        <v>22540</v>
      </c>
    </row>
    <row r="2288" spans="1:16" s="341" customFormat="1" ht="38.25" customHeight="1">
      <c r="A2288" s="806" t="s">
        <v>110</v>
      </c>
      <c r="B2288" s="800" t="s">
        <v>110</v>
      </c>
      <c r="C2288" s="800" t="s">
        <v>4815</v>
      </c>
      <c r="D2288" s="800" t="s">
        <v>22541</v>
      </c>
      <c r="E2288" s="801">
        <v>43040</v>
      </c>
      <c r="F2288" s="800" t="s">
        <v>7378</v>
      </c>
      <c r="G2288" s="800" t="s">
        <v>22542</v>
      </c>
      <c r="H2288" s="800" t="s">
        <v>10404</v>
      </c>
      <c r="I2288" s="800" t="s">
        <v>10404</v>
      </c>
      <c r="J2288" s="800" t="s">
        <v>10447</v>
      </c>
      <c r="K2288" s="800">
        <v>1</v>
      </c>
      <c r="L2288" s="802" t="s">
        <v>10398</v>
      </c>
      <c r="M2288" s="802" t="s">
        <v>22543</v>
      </c>
      <c r="N2288" s="802" t="s">
        <v>22544</v>
      </c>
      <c r="O2288" s="802" t="s">
        <v>22545</v>
      </c>
      <c r="P2288" s="807" t="s">
        <v>22546</v>
      </c>
    </row>
    <row r="2289" spans="1:16" s="341" customFormat="1" ht="38.25" customHeight="1">
      <c r="A2289" s="806" t="s">
        <v>110</v>
      </c>
      <c r="B2289" s="800" t="s">
        <v>110</v>
      </c>
      <c r="C2289" s="800" t="s">
        <v>4815</v>
      </c>
      <c r="D2289" s="800" t="s">
        <v>22547</v>
      </c>
      <c r="E2289" s="801">
        <v>43040</v>
      </c>
      <c r="F2289" s="800" t="s">
        <v>7378</v>
      </c>
      <c r="G2289" s="800" t="s">
        <v>22548</v>
      </c>
      <c r="H2289" s="800" t="s">
        <v>10531</v>
      </c>
      <c r="I2289" s="800" t="s">
        <v>10531</v>
      </c>
      <c r="J2289" s="800" t="s">
        <v>10447</v>
      </c>
      <c r="K2289" s="800">
        <v>1</v>
      </c>
      <c r="L2289" s="802" t="s">
        <v>10398</v>
      </c>
      <c r="M2289" s="802" t="s">
        <v>22549</v>
      </c>
      <c r="N2289" s="802" t="s">
        <v>11290</v>
      </c>
      <c r="O2289" s="802" t="s">
        <v>22550</v>
      </c>
      <c r="P2289" s="807" t="s">
        <v>22551</v>
      </c>
    </row>
    <row r="2290" spans="1:16" s="341" customFormat="1" ht="25.5" customHeight="1">
      <c r="A2290" s="806" t="s">
        <v>110</v>
      </c>
      <c r="B2290" s="800" t="s">
        <v>110</v>
      </c>
      <c r="C2290" s="800" t="s">
        <v>4815</v>
      </c>
      <c r="D2290" s="800" t="s">
        <v>22552</v>
      </c>
      <c r="E2290" s="801">
        <v>43040</v>
      </c>
      <c r="F2290" s="800" t="s">
        <v>7378</v>
      </c>
      <c r="G2290" s="800" t="s">
        <v>22553</v>
      </c>
      <c r="H2290" s="800" t="s">
        <v>10396</v>
      </c>
      <c r="I2290" s="800" t="s">
        <v>10396</v>
      </c>
      <c r="J2290" s="800" t="s">
        <v>10447</v>
      </c>
      <c r="K2290" s="800">
        <v>2</v>
      </c>
      <c r="L2290" s="802" t="s">
        <v>10398</v>
      </c>
      <c r="M2290" s="802" t="s">
        <v>32</v>
      </c>
      <c r="N2290" s="802" t="s">
        <v>22554</v>
      </c>
      <c r="O2290" s="802" t="s">
        <v>22555</v>
      </c>
      <c r="P2290" s="807" t="s">
        <v>22556</v>
      </c>
    </row>
    <row r="2291" spans="1:16" s="341" customFormat="1" ht="25.5" customHeight="1">
      <c r="A2291" s="806" t="s">
        <v>110</v>
      </c>
      <c r="B2291" s="800" t="s">
        <v>110</v>
      </c>
      <c r="C2291" s="800" t="s">
        <v>4815</v>
      </c>
      <c r="D2291" s="800" t="s">
        <v>22552</v>
      </c>
      <c r="E2291" s="801">
        <v>43040</v>
      </c>
      <c r="F2291" s="800" t="s">
        <v>7378</v>
      </c>
      <c r="G2291" s="800" t="s">
        <v>22553</v>
      </c>
      <c r="H2291" s="800" t="s">
        <v>10396</v>
      </c>
      <c r="I2291" s="800" t="s">
        <v>10396</v>
      </c>
      <c r="J2291" s="800" t="s">
        <v>10447</v>
      </c>
      <c r="K2291" s="800">
        <v>2</v>
      </c>
      <c r="L2291" s="802" t="s">
        <v>10398</v>
      </c>
      <c r="M2291" s="802" t="s">
        <v>22557</v>
      </c>
      <c r="N2291" s="802" t="s">
        <v>22558</v>
      </c>
      <c r="O2291" s="802" t="s">
        <v>22555</v>
      </c>
      <c r="P2291" s="807" t="s">
        <v>22556</v>
      </c>
    </row>
    <row r="2292" spans="1:16" s="341" customFormat="1" ht="38.25" customHeight="1">
      <c r="A2292" s="806" t="s">
        <v>110</v>
      </c>
      <c r="B2292" s="800" t="s">
        <v>110</v>
      </c>
      <c r="C2292" s="800" t="s">
        <v>4815</v>
      </c>
      <c r="D2292" s="800" t="s">
        <v>22559</v>
      </c>
      <c r="E2292" s="801">
        <v>43040</v>
      </c>
      <c r="F2292" s="800" t="s">
        <v>7378</v>
      </c>
      <c r="G2292" s="800" t="s">
        <v>22560</v>
      </c>
      <c r="H2292" s="800" t="s">
        <v>10396</v>
      </c>
      <c r="I2292" s="800" t="s">
        <v>10396</v>
      </c>
      <c r="J2292" s="800" t="s">
        <v>10447</v>
      </c>
      <c r="K2292" s="800">
        <v>1</v>
      </c>
      <c r="L2292" s="802" t="s">
        <v>10398</v>
      </c>
      <c r="M2292" s="802" t="s">
        <v>22561</v>
      </c>
      <c r="N2292" s="802" t="s">
        <v>22562</v>
      </c>
      <c r="O2292" s="802" t="s">
        <v>22563</v>
      </c>
      <c r="P2292" s="807" t="s">
        <v>22564</v>
      </c>
    </row>
    <row r="2293" spans="1:16" s="341" customFormat="1" ht="25.5" customHeight="1">
      <c r="A2293" s="806" t="s">
        <v>110</v>
      </c>
      <c r="B2293" s="800" t="s">
        <v>110</v>
      </c>
      <c r="C2293" s="800" t="s">
        <v>4815</v>
      </c>
      <c r="D2293" s="800" t="s">
        <v>22565</v>
      </c>
      <c r="E2293" s="801">
        <v>43040</v>
      </c>
      <c r="F2293" s="800" t="s">
        <v>7378</v>
      </c>
      <c r="G2293" s="800" t="s">
        <v>22566</v>
      </c>
      <c r="H2293" s="800" t="s">
        <v>10396</v>
      </c>
      <c r="I2293" s="800" t="s">
        <v>10396</v>
      </c>
      <c r="J2293" s="800" t="s">
        <v>10447</v>
      </c>
      <c r="K2293" s="800">
        <v>1</v>
      </c>
      <c r="L2293" s="802" t="s">
        <v>10398</v>
      </c>
      <c r="M2293" s="802" t="s">
        <v>22567</v>
      </c>
      <c r="N2293" s="802" t="s">
        <v>14769</v>
      </c>
      <c r="O2293" s="802" t="s">
        <v>22568</v>
      </c>
      <c r="P2293" s="807" t="s">
        <v>22569</v>
      </c>
    </row>
    <row r="2294" spans="1:16" s="341" customFormat="1" ht="25.5" customHeight="1">
      <c r="A2294" s="806" t="s">
        <v>110</v>
      </c>
      <c r="B2294" s="800" t="s">
        <v>110</v>
      </c>
      <c r="C2294" s="800" t="s">
        <v>4815</v>
      </c>
      <c r="D2294" s="800" t="s">
        <v>22570</v>
      </c>
      <c r="E2294" s="801">
        <v>43040</v>
      </c>
      <c r="F2294" s="800" t="s">
        <v>7378</v>
      </c>
      <c r="G2294" s="800" t="s">
        <v>22571</v>
      </c>
      <c r="H2294" s="800" t="s">
        <v>10531</v>
      </c>
      <c r="I2294" s="800" t="s">
        <v>10531</v>
      </c>
      <c r="J2294" s="800" t="s">
        <v>10447</v>
      </c>
      <c r="K2294" s="800">
        <v>1</v>
      </c>
      <c r="L2294" s="802" t="s">
        <v>10398</v>
      </c>
      <c r="M2294" s="802" t="s">
        <v>22572</v>
      </c>
      <c r="N2294" s="802" t="s">
        <v>22573</v>
      </c>
      <c r="O2294" s="802" t="s">
        <v>22574</v>
      </c>
      <c r="P2294" s="807" t="s">
        <v>22575</v>
      </c>
    </row>
    <row r="2295" spans="1:16" s="341" customFormat="1" ht="25.5" customHeight="1">
      <c r="A2295" s="806" t="s">
        <v>110</v>
      </c>
      <c r="B2295" s="800" t="s">
        <v>110</v>
      </c>
      <c r="C2295" s="800" t="s">
        <v>4815</v>
      </c>
      <c r="D2295" s="800" t="s">
        <v>22576</v>
      </c>
      <c r="E2295" s="801">
        <v>43040</v>
      </c>
      <c r="F2295" s="800" t="s">
        <v>7378</v>
      </c>
      <c r="G2295" s="800" t="s">
        <v>22577</v>
      </c>
      <c r="H2295" s="800" t="s">
        <v>10531</v>
      </c>
      <c r="I2295" s="800" t="s">
        <v>10531</v>
      </c>
      <c r="J2295" s="800" t="s">
        <v>10447</v>
      </c>
      <c r="K2295" s="800">
        <v>1</v>
      </c>
      <c r="L2295" s="802" t="s">
        <v>10398</v>
      </c>
      <c r="M2295" s="802" t="s">
        <v>22578</v>
      </c>
      <c r="N2295" s="802" t="s">
        <v>11269</v>
      </c>
      <c r="O2295" s="802" t="s">
        <v>22568</v>
      </c>
      <c r="P2295" s="807" t="s">
        <v>22579</v>
      </c>
    </row>
    <row r="2296" spans="1:16" s="341" customFormat="1" ht="51" customHeight="1">
      <c r="A2296" s="806" t="s">
        <v>110</v>
      </c>
      <c r="B2296" s="800" t="s">
        <v>110</v>
      </c>
      <c r="C2296" s="800" t="s">
        <v>4815</v>
      </c>
      <c r="D2296" s="800" t="s">
        <v>22580</v>
      </c>
      <c r="E2296" s="801">
        <v>43040</v>
      </c>
      <c r="F2296" s="800" t="s">
        <v>22581</v>
      </c>
      <c r="G2296" s="800" t="s">
        <v>22582</v>
      </c>
      <c r="H2296" s="800" t="s">
        <v>10531</v>
      </c>
      <c r="I2296" s="800" t="s">
        <v>10531</v>
      </c>
      <c r="J2296" s="800" t="s">
        <v>10447</v>
      </c>
      <c r="K2296" s="800">
        <v>1</v>
      </c>
      <c r="L2296" s="802" t="s">
        <v>10398</v>
      </c>
      <c r="M2296" s="802" t="s">
        <v>22583</v>
      </c>
      <c r="N2296" s="802" t="s">
        <v>15260</v>
      </c>
      <c r="O2296" s="802" t="s">
        <v>22584</v>
      </c>
      <c r="P2296" s="807" t="s">
        <v>22585</v>
      </c>
    </row>
    <row r="2297" spans="1:16" s="341" customFormat="1" ht="51" customHeight="1">
      <c r="A2297" s="806" t="s">
        <v>110</v>
      </c>
      <c r="B2297" s="800" t="s">
        <v>110</v>
      </c>
      <c r="C2297" s="800" t="s">
        <v>4815</v>
      </c>
      <c r="D2297" s="800" t="s">
        <v>22586</v>
      </c>
      <c r="E2297" s="801">
        <v>43040</v>
      </c>
      <c r="F2297" s="800" t="s">
        <v>7378</v>
      </c>
      <c r="G2297" s="800" t="s">
        <v>22587</v>
      </c>
      <c r="H2297" s="800" t="s">
        <v>10404</v>
      </c>
      <c r="I2297" s="800" t="s">
        <v>10404</v>
      </c>
      <c r="J2297" s="800" t="s">
        <v>10447</v>
      </c>
      <c r="K2297" s="800">
        <v>1</v>
      </c>
      <c r="L2297" s="802" t="s">
        <v>10398</v>
      </c>
      <c r="M2297" s="802" t="s">
        <v>22588</v>
      </c>
      <c r="N2297" s="802" t="s">
        <v>22589</v>
      </c>
      <c r="O2297" s="802" t="s">
        <v>22590</v>
      </c>
      <c r="P2297" s="807" t="s">
        <v>22591</v>
      </c>
    </row>
    <row r="2298" spans="1:16" s="341" customFormat="1" ht="38.25" customHeight="1">
      <c r="A2298" s="806" t="s">
        <v>110</v>
      </c>
      <c r="B2298" s="800" t="s">
        <v>110</v>
      </c>
      <c r="C2298" s="800" t="s">
        <v>4815</v>
      </c>
      <c r="D2298" s="800" t="s">
        <v>22592</v>
      </c>
      <c r="E2298" s="801">
        <v>43040</v>
      </c>
      <c r="F2298" s="800" t="s">
        <v>7378</v>
      </c>
      <c r="G2298" s="800" t="s">
        <v>22593</v>
      </c>
      <c r="H2298" s="800" t="s">
        <v>10404</v>
      </c>
      <c r="I2298" s="800" t="s">
        <v>10404</v>
      </c>
      <c r="J2298" s="800" t="s">
        <v>10447</v>
      </c>
      <c r="K2298" s="800">
        <v>1</v>
      </c>
      <c r="L2298" s="802" t="s">
        <v>10398</v>
      </c>
      <c r="M2298" s="802" t="s">
        <v>22594</v>
      </c>
      <c r="N2298" s="802" t="s">
        <v>22595</v>
      </c>
      <c r="O2298" s="802" t="s">
        <v>22596</v>
      </c>
      <c r="P2298" s="807" t="s">
        <v>22597</v>
      </c>
    </row>
    <row r="2299" spans="1:16" s="341" customFormat="1" ht="51" customHeight="1">
      <c r="A2299" s="806" t="s">
        <v>110</v>
      </c>
      <c r="B2299" s="800" t="s">
        <v>110</v>
      </c>
      <c r="C2299" s="800" t="s">
        <v>4815</v>
      </c>
      <c r="D2299" s="800" t="s">
        <v>22598</v>
      </c>
      <c r="E2299" s="801">
        <v>43040</v>
      </c>
      <c r="F2299" s="800" t="s">
        <v>7378</v>
      </c>
      <c r="G2299" s="800" t="s">
        <v>22599</v>
      </c>
      <c r="H2299" s="800" t="s">
        <v>10531</v>
      </c>
      <c r="I2299" s="800" t="s">
        <v>10531</v>
      </c>
      <c r="J2299" s="800" t="s">
        <v>4342</v>
      </c>
      <c r="K2299" s="800">
        <v>1</v>
      </c>
      <c r="L2299" s="802" t="s">
        <v>10398</v>
      </c>
      <c r="M2299" s="802" t="s">
        <v>22600</v>
      </c>
      <c r="N2299" s="802" t="s">
        <v>15260</v>
      </c>
      <c r="O2299" s="802" t="s">
        <v>22601</v>
      </c>
      <c r="P2299" s="807" t="s">
        <v>22602</v>
      </c>
    </row>
    <row r="2300" spans="1:16" s="341" customFormat="1" ht="51" customHeight="1">
      <c r="A2300" s="806" t="s">
        <v>110</v>
      </c>
      <c r="B2300" s="800" t="s">
        <v>110</v>
      </c>
      <c r="C2300" s="800" t="s">
        <v>4815</v>
      </c>
      <c r="D2300" s="800" t="s">
        <v>22603</v>
      </c>
      <c r="E2300" s="801">
        <v>43042</v>
      </c>
      <c r="F2300" s="800" t="s">
        <v>7378</v>
      </c>
      <c r="G2300" s="800" t="s">
        <v>22604</v>
      </c>
      <c r="H2300" s="800" t="s">
        <v>10531</v>
      </c>
      <c r="I2300" s="800" t="s">
        <v>10531</v>
      </c>
      <c r="J2300" s="800" t="s">
        <v>4342</v>
      </c>
      <c r="K2300" s="800">
        <v>1</v>
      </c>
      <c r="L2300" s="802" t="s">
        <v>10398</v>
      </c>
      <c r="M2300" s="802" t="s">
        <v>22605</v>
      </c>
      <c r="N2300" s="802" t="s">
        <v>22606</v>
      </c>
      <c r="O2300" s="802" t="s">
        <v>22607</v>
      </c>
      <c r="P2300" s="807" t="s">
        <v>22608</v>
      </c>
    </row>
    <row r="2301" spans="1:16" s="341" customFormat="1" ht="51" customHeight="1">
      <c r="A2301" s="806" t="s">
        <v>110</v>
      </c>
      <c r="B2301" s="800" t="s">
        <v>110</v>
      </c>
      <c r="C2301" s="800" t="s">
        <v>4815</v>
      </c>
      <c r="D2301" s="800" t="s">
        <v>22609</v>
      </c>
      <c r="E2301" s="801">
        <v>43042</v>
      </c>
      <c r="F2301" s="800" t="s">
        <v>7378</v>
      </c>
      <c r="G2301" s="800" t="s">
        <v>22610</v>
      </c>
      <c r="H2301" s="800" t="s">
        <v>10396</v>
      </c>
      <c r="I2301" s="800" t="s">
        <v>10396</v>
      </c>
      <c r="J2301" s="800" t="s">
        <v>10447</v>
      </c>
      <c r="K2301" s="800">
        <v>1</v>
      </c>
      <c r="L2301" s="802" t="s">
        <v>10398</v>
      </c>
      <c r="M2301" s="802" t="s">
        <v>22611</v>
      </c>
      <c r="N2301" s="802" t="s">
        <v>22612</v>
      </c>
      <c r="O2301" s="802" t="s">
        <v>22607</v>
      </c>
      <c r="P2301" s="807" t="s">
        <v>22613</v>
      </c>
    </row>
    <row r="2302" spans="1:16" s="341" customFormat="1" ht="38.25" customHeight="1">
      <c r="A2302" s="806" t="s">
        <v>110</v>
      </c>
      <c r="B2302" s="800" t="s">
        <v>110</v>
      </c>
      <c r="C2302" s="800" t="s">
        <v>4815</v>
      </c>
      <c r="D2302" s="800" t="s">
        <v>22614</v>
      </c>
      <c r="E2302" s="801">
        <v>43042</v>
      </c>
      <c r="F2302" s="800" t="s">
        <v>7378</v>
      </c>
      <c r="G2302" s="800" t="s">
        <v>22615</v>
      </c>
      <c r="H2302" s="800" t="s">
        <v>10396</v>
      </c>
      <c r="I2302" s="800" t="s">
        <v>10396</v>
      </c>
      <c r="J2302" s="800" t="s">
        <v>10447</v>
      </c>
      <c r="K2302" s="800">
        <v>1</v>
      </c>
      <c r="L2302" s="802" t="s">
        <v>10398</v>
      </c>
      <c r="M2302" s="802" t="s">
        <v>22616</v>
      </c>
      <c r="N2302" s="802" t="s">
        <v>22617</v>
      </c>
      <c r="O2302" s="802" t="s">
        <v>22618</v>
      </c>
      <c r="P2302" s="807" t="s">
        <v>22619</v>
      </c>
    </row>
    <row r="2303" spans="1:16" s="341" customFormat="1" ht="38.25" customHeight="1">
      <c r="A2303" s="806" t="s">
        <v>110</v>
      </c>
      <c r="B2303" s="800" t="s">
        <v>110</v>
      </c>
      <c r="C2303" s="800" t="s">
        <v>4815</v>
      </c>
      <c r="D2303" s="800" t="s">
        <v>22620</v>
      </c>
      <c r="E2303" s="801">
        <v>43042</v>
      </c>
      <c r="F2303" s="800" t="s">
        <v>21572</v>
      </c>
      <c r="G2303" s="800" t="s">
        <v>22621</v>
      </c>
      <c r="H2303" s="800" t="s">
        <v>10396</v>
      </c>
      <c r="I2303" s="800" t="s">
        <v>10396</v>
      </c>
      <c r="J2303" s="800" t="s">
        <v>10447</v>
      </c>
      <c r="K2303" s="800">
        <v>1</v>
      </c>
      <c r="L2303" s="802" t="s">
        <v>10398</v>
      </c>
      <c r="M2303" s="802" t="s">
        <v>22622</v>
      </c>
      <c r="N2303" s="802" t="s">
        <v>22623</v>
      </c>
      <c r="O2303" s="802" t="s">
        <v>22624</v>
      </c>
      <c r="P2303" s="807" t="s">
        <v>22625</v>
      </c>
    </row>
    <row r="2304" spans="1:16" s="341" customFormat="1" ht="25.5" customHeight="1">
      <c r="A2304" s="806" t="s">
        <v>110</v>
      </c>
      <c r="B2304" s="800" t="s">
        <v>110</v>
      </c>
      <c r="C2304" s="800" t="s">
        <v>4815</v>
      </c>
      <c r="D2304" s="800" t="s">
        <v>22626</v>
      </c>
      <c r="E2304" s="801">
        <v>43042</v>
      </c>
      <c r="F2304" s="800" t="s">
        <v>21572</v>
      </c>
      <c r="G2304" s="800" t="s">
        <v>22627</v>
      </c>
      <c r="H2304" s="800" t="s">
        <v>10396</v>
      </c>
      <c r="I2304" s="800" t="s">
        <v>10396</v>
      </c>
      <c r="J2304" s="800" t="s">
        <v>10447</v>
      </c>
      <c r="K2304" s="800">
        <v>1</v>
      </c>
      <c r="L2304" s="802" t="s">
        <v>10398</v>
      </c>
      <c r="M2304" s="802" t="s">
        <v>22628</v>
      </c>
      <c r="N2304" s="802" t="s">
        <v>22629</v>
      </c>
      <c r="O2304" s="802" t="s">
        <v>22630</v>
      </c>
      <c r="P2304" s="807" t="s">
        <v>22631</v>
      </c>
    </row>
    <row r="2305" spans="1:16" s="341" customFormat="1" ht="38.25" customHeight="1">
      <c r="A2305" s="806" t="s">
        <v>110</v>
      </c>
      <c r="B2305" s="800" t="s">
        <v>110</v>
      </c>
      <c r="C2305" s="800" t="s">
        <v>4815</v>
      </c>
      <c r="D2305" s="800" t="s">
        <v>22632</v>
      </c>
      <c r="E2305" s="801">
        <v>43042</v>
      </c>
      <c r="F2305" s="800" t="s">
        <v>21572</v>
      </c>
      <c r="G2305" s="800" t="s">
        <v>22633</v>
      </c>
      <c r="H2305" s="800" t="s">
        <v>10531</v>
      </c>
      <c r="I2305" s="800" t="s">
        <v>10531</v>
      </c>
      <c r="J2305" s="800" t="s">
        <v>10397</v>
      </c>
      <c r="K2305" s="800">
        <v>1</v>
      </c>
      <c r="L2305" s="802" t="s">
        <v>10398</v>
      </c>
      <c r="M2305" s="802" t="s">
        <v>22634</v>
      </c>
      <c r="N2305" s="802" t="s">
        <v>14864</v>
      </c>
      <c r="O2305" s="802" t="s">
        <v>22635</v>
      </c>
      <c r="P2305" s="807" t="s">
        <v>22636</v>
      </c>
    </row>
    <row r="2306" spans="1:16" s="341" customFormat="1" ht="25.5" customHeight="1">
      <c r="A2306" s="806" t="s">
        <v>110</v>
      </c>
      <c r="B2306" s="800" t="s">
        <v>110</v>
      </c>
      <c r="C2306" s="800" t="s">
        <v>4815</v>
      </c>
      <c r="D2306" s="800" t="s">
        <v>22637</v>
      </c>
      <c r="E2306" s="801">
        <v>43042</v>
      </c>
      <c r="F2306" s="800" t="s">
        <v>21572</v>
      </c>
      <c r="G2306" s="800" t="s">
        <v>22638</v>
      </c>
      <c r="H2306" s="800" t="s">
        <v>10404</v>
      </c>
      <c r="I2306" s="800" t="s">
        <v>10404</v>
      </c>
      <c r="J2306" s="800" t="s">
        <v>10447</v>
      </c>
      <c r="K2306" s="800">
        <v>1</v>
      </c>
      <c r="L2306" s="802" t="s">
        <v>10398</v>
      </c>
      <c r="M2306" s="802" t="s">
        <v>22639</v>
      </c>
      <c r="N2306" s="802" t="s">
        <v>22640</v>
      </c>
      <c r="O2306" s="802" t="s">
        <v>22635</v>
      </c>
      <c r="P2306" s="807" t="s">
        <v>22641</v>
      </c>
    </row>
    <row r="2307" spans="1:16" s="341" customFormat="1" ht="25.5" customHeight="1">
      <c r="A2307" s="806" t="s">
        <v>110</v>
      </c>
      <c r="B2307" s="800" t="s">
        <v>110</v>
      </c>
      <c r="C2307" s="800" t="s">
        <v>4815</v>
      </c>
      <c r="D2307" s="800" t="s">
        <v>22642</v>
      </c>
      <c r="E2307" s="801">
        <v>43042</v>
      </c>
      <c r="F2307" s="800" t="s">
        <v>21572</v>
      </c>
      <c r="G2307" s="800" t="s">
        <v>22643</v>
      </c>
      <c r="H2307" s="800" t="s">
        <v>10404</v>
      </c>
      <c r="I2307" s="800" t="s">
        <v>10404</v>
      </c>
      <c r="J2307" s="800" t="s">
        <v>10447</v>
      </c>
      <c r="K2307" s="800">
        <v>1</v>
      </c>
      <c r="L2307" s="802" t="s">
        <v>10398</v>
      </c>
      <c r="M2307" s="802" t="s">
        <v>22644</v>
      </c>
      <c r="N2307" s="802" t="s">
        <v>22645</v>
      </c>
      <c r="O2307" s="802" t="s">
        <v>22646</v>
      </c>
      <c r="P2307" s="807" t="s">
        <v>32</v>
      </c>
    </row>
    <row r="2308" spans="1:16" s="341" customFormat="1" ht="25.5" customHeight="1">
      <c r="A2308" s="806" t="s">
        <v>110</v>
      </c>
      <c r="B2308" s="800" t="s">
        <v>110</v>
      </c>
      <c r="C2308" s="800" t="s">
        <v>4815</v>
      </c>
      <c r="D2308" s="800" t="s">
        <v>22647</v>
      </c>
      <c r="E2308" s="801">
        <v>43042</v>
      </c>
      <c r="F2308" s="800" t="s">
        <v>22648</v>
      </c>
      <c r="G2308" s="800" t="s">
        <v>22649</v>
      </c>
      <c r="H2308" s="800" t="s">
        <v>10433</v>
      </c>
      <c r="I2308" s="800" t="s">
        <v>10433</v>
      </c>
      <c r="J2308" s="800" t="s">
        <v>10447</v>
      </c>
      <c r="K2308" s="800">
        <v>1</v>
      </c>
      <c r="L2308" s="802" t="s">
        <v>10398</v>
      </c>
      <c r="M2308" s="802" t="s">
        <v>22650</v>
      </c>
      <c r="N2308" s="802" t="s">
        <v>22651</v>
      </c>
      <c r="O2308" s="802" t="s">
        <v>22652</v>
      </c>
      <c r="P2308" s="807" t="s">
        <v>22653</v>
      </c>
    </row>
    <row r="2309" spans="1:16" s="341" customFormat="1" ht="15" customHeight="1">
      <c r="A2309" s="806" t="s">
        <v>110</v>
      </c>
      <c r="B2309" s="800" t="s">
        <v>110</v>
      </c>
      <c r="C2309" s="800" t="s">
        <v>4815</v>
      </c>
      <c r="D2309" s="800" t="s">
        <v>22654</v>
      </c>
      <c r="E2309" s="801">
        <v>43042</v>
      </c>
      <c r="F2309" s="800" t="s">
        <v>22655</v>
      </c>
      <c r="G2309" s="800" t="s">
        <v>22656</v>
      </c>
      <c r="H2309" s="800" t="s">
        <v>10404</v>
      </c>
      <c r="I2309" s="800" t="s">
        <v>10404</v>
      </c>
      <c r="J2309" s="800" t="s">
        <v>10447</v>
      </c>
      <c r="K2309" s="800">
        <v>1</v>
      </c>
      <c r="L2309" s="802" t="s">
        <v>10398</v>
      </c>
      <c r="M2309" s="802" t="s">
        <v>22657</v>
      </c>
      <c r="N2309" s="802" t="s">
        <v>22658</v>
      </c>
      <c r="O2309" s="802" t="s">
        <v>22659</v>
      </c>
      <c r="P2309" s="807" t="s">
        <v>22660</v>
      </c>
    </row>
    <row r="2310" spans="1:16" s="341" customFormat="1" ht="25.5" customHeight="1">
      <c r="A2310" s="806" t="s">
        <v>110</v>
      </c>
      <c r="B2310" s="800" t="s">
        <v>110</v>
      </c>
      <c r="C2310" s="800" t="s">
        <v>4815</v>
      </c>
      <c r="D2310" s="800" t="s">
        <v>22661</v>
      </c>
      <c r="E2310" s="801">
        <v>43042</v>
      </c>
      <c r="F2310" s="800" t="s">
        <v>22648</v>
      </c>
      <c r="G2310" s="800" t="s">
        <v>22662</v>
      </c>
      <c r="H2310" s="800" t="s">
        <v>10531</v>
      </c>
      <c r="I2310" s="800" t="s">
        <v>10531</v>
      </c>
      <c r="J2310" s="800" t="s">
        <v>4342</v>
      </c>
      <c r="K2310" s="800">
        <v>1</v>
      </c>
      <c r="L2310" s="802" t="s">
        <v>10398</v>
      </c>
      <c r="M2310" s="802" t="s">
        <v>22663</v>
      </c>
      <c r="N2310" s="802" t="s">
        <v>22664</v>
      </c>
      <c r="O2310" s="802" t="s">
        <v>22665</v>
      </c>
      <c r="P2310" s="807" t="s">
        <v>22666</v>
      </c>
    </row>
    <row r="2311" spans="1:16" s="341" customFormat="1" ht="25.5" customHeight="1">
      <c r="A2311" s="806" t="s">
        <v>110</v>
      </c>
      <c r="B2311" s="800" t="s">
        <v>110</v>
      </c>
      <c r="C2311" s="800" t="s">
        <v>4815</v>
      </c>
      <c r="D2311" s="800" t="s">
        <v>22667</v>
      </c>
      <c r="E2311" s="801">
        <v>43042</v>
      </c>
      <c r="F2311" s="800" t="s">
        <v>7286</v>
      </c>
      <c r="G2311" s="800" t="s">
        <v>22668</v>
      </c>
      <c r="H2311" s="800" t="s">
        <v>10433</v>
      </c>
      <c r="I2311" s="800" t="s">
        <v>10433</v>
      </c>
      <c r="J2311" s="800" t="s">
        <v>4342</v>
      </c>
      <c r="K2311" s="800">
        <v>1</v>
      </c>
      <c r="L2311" s="802" t="s">
        <v>10398</v>
      </c>
      <c r="M2311" s="802" t="s">
        <v>22669</v>
      </c>
      <c r="N2311" s="802" t="s">
        <v>21719</v>
      </c>
      <c r="O2311" s="802" t="s">
        <v>19003</v>
      </c>
      <c r="P2311" s="807" t="s">
        <v>22670</v>
      </c>
    </row>
    <row r="2312" spans="1:16" s="341" customFormat="1" ht="38.25" customHeight="1">
      <c r="A2312" s="806" t="s">
        <v>110</v>
      </c>
      <c r="B2312" s="800" t="s">
        <v>110</v>
      </c>
      <c r="C2312" s="800" t="s">
        <v>4815</v>
      </c>
      <c r="D2312" s="800" t="s">
        <v>22671</v>
      </c>
      <c r="E2312" s="801">
        <v>43042</v>
      </c>
      <c r="F2312" s="800" t="s">
        <v>22672</v>
      </c>
      <c r="G2312" s="800" t="s">
        <v>22673</v>
      </c>
      <c r="H2312" s="800" t="s">
        <v>10531</v>
      </c>
      <c r="I2312" s="800" t="s">
        <v>10531</v>
      </c>
      <c r="J2312" s="800" t="s">
        <v>10447</v>
      </c>
      <c r="K2312" s="800">
        <v>1</v>
      </c>
      <c r="L2312" s="802" t="s">
        <v>10398</v>
      </c>
      <c r="M2312" s="802" t="s">
        <v>22674</v>
      </c>
      <c r="N2312" s="802" t="s">
        <v>22675</v>
      </c>
      <c r="O2312" s="802" t="s">
        <v>22676</v>
      </c>
      <c r="P2312" s="807" t="s">
        <v>22677</v>
      </c>
    </row>
    <row r="2313" spans="1:16" s="341" customFormat="1" ht="25.5" customHeight="1">
      <c r="A2313" s="806" t="s">
        <v>110</v>
      </c>
      <c r="B2313" s="800" t="s">
        <v>110</v>
      </c>
      <c r="C2313" s="800" t="s">
        <v>4815</v>
      </c>
      <c r="D2313" s="800" t="s">
        <v>22678</v>
      </c>
      <c r="E2313" s="801">
        <v>43042</v>
      </c>
      <c r="F2313" s="800" t="s">
        <v>22672</v>
      </c>
      <c r="G2313" s="800" t="s">
        <v>22679</v>
      </c>
      <c r="H2313" s="800" t="s">
        <v>10531</v>
      </c>
      <c r="I2313" s="800" t="s">
        <v>10531</v>
      </c>
      <c r="J2313" s="800" t="s">
        <v>10447</v>
      </c>
      <c r="K2313" s="800">
        <v>1</v>
      </c>
      <c r="L2313" s="802" t="s">
        <v>10398</v>
      </c>
      <c r="M2313" s="802" t="s">
        <v>22680</v>
      </c>
      <c r="N2313" s="802" t="s">
        <v>16508</v>
      </c>
      <c r="O2313" s="802" t="s">
        <v>22681</v>
      </c>
      <c r="P2313" s="807" t="s">
        <v>22682</v>
      </c>
    </row>
    <row r="2314" spans="1:16" s="341" customFormat="1" ht="38.25" customHeight="1">
      <c r="A2314" s="806" t="s">
        <v>110</v>
      </c>
      <c r="B2314" s="800" t="s">
        <v>110</v>
      </c>
      <c r="C2314" s="800" t="s">
        <v>4815</v>
      </c>
      <c r="D2314" s="800" t="s">
        <v>22683</v>
      </c>
      <c r="E2314" s="801">
        <v>43042</v>
      </c>
      <c r="F2314" s="800" t="s">
        <v>22684</v>
      </c>
      <c r="G2314" s="800" t="s">
        <v>22685</v>
      </c>
      <c r="H2314" s="800" t="s">
        <v>10531</v>
      </c>
      <c r="I2314" s="800" t="s">
        <v>10531</v>
      </c>
      <c r="J2314" s="800" t="s">
        <v>10447</v>
      </c>
      <c r="K2314" s="800">
        <v>1</v>
      </c>
      <c r="L2314" s="802" t="s">
        <v>10398</v>
      </c>
      <c r="M2314" s="802" t="s">
        <v>22686</v>
      </c>
      <c r="N2314" s="802" t="s">
        <v>14575</v>
      </c>
      <c r="O2314" s="802" t="s">
        <v>22687</v>
      </c>
      <c r="P2314" s="807" t="s">
        <v>22688</v>
      </c>
    </row>
    <row r="2315" spans="1:16" s="341" customFormat="1" ht="38.25" customHeight="1">
      <c r="A2315" s="806" t="s">
        <v>110</v>
      </c>
      <c r="B2315" s="800" t="s">
        <v>110</v>
      </c>
      <c r="C2315" s="800" t="s">
        <v>4815</v>
      </c>
      <c r="D2315" s="800" t="s">
        <v>22689</v>
      </c>
      <c r="E2315" s="801">
        <v>43042</v>
      </c>
      <c r="F2315" s="800" t="s">
        <v>22672</v>
      </c>
      <c r="G2315" s="800" t="s">
        <v>22690</v>
      </c>
      <c r="H2315" s="800" t="s">
        <v>10433</v>
      </c>
      <c r="I2315" s="800" t="s">
        <v>10433</v>
      </c>
      <c r="J2315" s="800" t="s">
        <v>10447</v>
      </c>
      <c r="K2315" s="800">
        <v>1</v>
      </c>
      <c r="L2315" s="802" t="s">
        <v>10398</v>
      </c>
      <c r="M2315" s="802" t="s">
        <v>22691</v>
      </c>
      <c r="N2315" s="802" t="s">
        <v>15934</v>
      </c>
      <c r="O2315" s="802" t="s">
        <v>22692</v>
      </c>
      <c r="P2315" s="807" t="s">
        <v>22693</v>
      </c>
    </row>
    <row r="2316" spans="1:16" s="341" customFormat="1" ht="25.5" customHeight="1">
      <c r="A2316" s="806" t="s">
        <v>110</v>
      </c>
      <c r="B2316" s="800" t="s">
        <v>110</v>
      </c>
      <c r="C2316" s="800" t="s">
        <v>4815</v>
      </c>
      <c r="D2316" s="800" t="s">
        <v>22694</v>
      </c>
      <c r="E2316" s="801">
        <v>43042</v>
      </c>
      <c r="F2316" s="800" t="s">
        <v>21572</v>
      </c>
      <c r="G2316" s="800" t="s">
        <v>22695</v>
      </c>
      <c r="H2316" s="800" t="s">
        <v>10404</v>
      </c>
      <c r="I2316" s="800" t="s">
        <v>10404</v>
      </c>
      <c r="J2316" s="800" t="s">
        <v>10426</v>
      </c>
      <c r="K2316" s="800">
        <v>1</v>
      </c>
      <c r="L2316" s="802" t="s">
        <v>10398</v>
      </c>
      <c r="M2316" s="802" t="s">
        <v>22696</v>
      </c>
      <c r="N2316" s="802" t="s">
        <v>22697</v>
      </c>
      <c r="O2316" s="802" t="s">
        <v>22698</v>
      </c>
      <c r="P2316" s="807" t="s">
        <v>22699</v>
      </c>
    </row>
    <row r="2317" spans="1:16" s="341" customFormat="1" ht="25.5" customHeight="1">
      <c r="A2317" s="806" t="s">
        <v>110</v>
      </c>
      <c r="B2317" s="800" t="s">
        <v>110</v>
      </c>
      <c r="C2317" s="800" t="s">
        <v>4815</v>
      </c>
      <c r="D2317" s="800" t="s">
        <v>22700</v>
      </c>
      <c r="E2317" s="801">
        <v>43042</v>
      </c>
      <c r="F2317" s="800" t="s">
        <v>22701</v>
      </c>
      <c r="G2317" s="800" t="s">
        <v>22702</v>
      </c>
      <c r="H2317" s="800" t="s">
        <v>10404</v>
      </c>
      <c r="I2317" s="800" t="s">
        <v>10404</v>
      </c>
      <c r="J2317" s="800" t="s">
        <v>10664</v>
      </c>
      <c r="K2317" s="800">
        <v>1</v>
      </c>
      <c r="L2317" s="802" t="s">
        <v>10605</v>
      </c>
      <c r="M2317" s="802" t="s">
        <v>32</v>
      </c>
      <c r="N2317" s="802" t="s">
        <v>22703</v>
      </c>
      <c r="O2317" s="802" t="s">
        <v>22704</v>
      </c>
      <c r="P2317" s="807" t="s">
        <v>32</v>
      </c>
    </row>
    <row r="2318" spans="1:16" s="341" customFormat="1" ht="25.5" customHeight="1">
      <c r="A2318" s="806" t="s">
        <v>110</v>
      </c>
      <c r="B2318" s="800" t="s">
        <v>110</v>
      </c>
      <c r="C2318" s="800" t="s">
        <v>4815</v>
      </c>
      <c r="D2318" s="800" t="s">
        <v>22705</v>
      </c>
      <c r="E2318" s="801">
        <v>43042</v>
      </c>
      <c r="F2318" s="800" t="s">
        <v>22706</v>
      </c>
      <c r="G2318" s="800" t="s">
        <v>22707</v>
      </c>
      <c r="H2318" s="800" t="s">
        <v>10404</v>
      </c>
      <c r="I2318" s="800" t="s">
        <v>10404</v>
      </c>
      <c r="J2318" s="800" t="s">
        <v>10447</v>
      </c>
      <c r="K2318" s="800">
        <v>1</v>
      </c>
      <c r="L2318" s="802" t="s">
        <v>10605</v>
      </c>
      <c r="M2318" s="802" t="s">
        <v>22708</v>
      </c>
      <c r="N2318" s="802" t="s">
        <v>22709</v>
      </c>
      <c r="O2318" s="802" t="s">
        <v>22710</v>
      </c>
      <c r="P2318" s="807" t="s">
        <v>22711</v>
      </c>
    </row>
    <row r="2319" spans="1:16" s="341" customFormat="1" ht="25.5" customHeight="1">
      <c r="A2319" s="806" t="s">
        <v>110</v>
      </c>
      <c r="B2319" s="800" t="s">
        <v>110</v>
      </c>
      <c r="C2319" s="800" t="s">
        <v>4815</v>
      </c>
      <c r="D2319" s="800" t="s">
        <v>22712</v>
      </c>
      <c r="E2319" s="801">
        <v>43042</v>
      </c>
      <c r="F2319" s="800" t="s">
        <v>22713</v>
      </c>
      <c r="G2319" s="800" t="s">
        <v>22714</v>
      </c>
      <c r="H2319" s="800" t="s">
        <v>10433</v>
      </c>
      <c r="I2319" s="800" t="s">
        <v>10433</v>
      </c>
      <c r="J2319" s="800" t="s">
        <v>10426</v>
      </c>
      <c r="K2319" s="800">
        <v>1</v>
      </c>
      <c r="L2319" s="802" t="s">
        <v>10398</v>
      </c>
      <c r="M2319" s="802" t="s">
        <v>22715</v>
      </c>
      <c r="N2319" s="802" t="s">
        <v>22716</v>
      </c>
      <c r="O2319" s="802" t="s">
        <v>22717</v>
      </c>
      <c r="P2319" s="807" t="s">
        <v>22718</v>
      </c>
    </row>
    <row r="2320" spans="1:16" s="341" customFormat="1" ht="15" customHeight="1">
      <c r="A2320" s="806" t="s">
        <v>110</v>
      </c>
      <c r="B2320" s="800" t="s">
        <v>110</v>
      </c>
      <c r="C2320" s="800" t="s">
        <v>4815</v>
      </c>
      <c r="D2320" s="800" t="s">
        <v>22719</v>
      </c>
      <c r="E2320" s="801">
        <v>43042</v>
      </c>
      <c r="F2320" s="800" t="s">
        <v>22720</v>
      </c>
      <c r="G2320" s="800" t="s">
        <v>22721</v>
      </c>
      <c r="H2320" s="800" t="s">
        <v>10404</v>
      </c>
      <c r="I2320" s="800" t="s">
        <v>10404</v>
      </c>
      <c r="J2320" s="800" t="s">
        <v>10426</v>
      </c>
      <c r="K2320" s="800">
        <v>1</v>
      </c>
      <c r="L2320" s="802" t="s">
        <v>10398</v>
      </c>
      <c r="M2320" s="802" t="s">
        <v>22722</v>
      </c>
      <c r="N2320" s="802" t="s">
        <v>22723</v>
      </c>
      <c r="O2320" s="802" t="s">
        <v>22710</v>
      </c>
      <c r="P2320" s="807" t="s">
        <v>22724</v>
      </c>
    </row>
    <row r="2321" spans="1:16" s="341" customFormat="1" ht="25.5" customHeight="1">
      <c r="A2321" s="806" t="s">
        <v>110</v>
      </c>
      <c r="B2321" s="800" t="s">
        <v>110</v>
      </c>
      <c r="C2321" s="800" t="s">
        <v>4815</v>
      </c>
      <c r="D2321" s="800" t="s">
        <v>22725</v>
      </c>
      <c r="E2321" s="801">
        <v>43042</v>
      </c>
      <c r="F2321" s="800" t="s">
        <v>22713</v>
      </c>
      <c r="G2321" s="800" t="s">
        <v>22726</v>
      </c>
      <c r="H2321" s="800" t="s">
        <v>10396</v>
      </c>
      <c r="I2321" s="800" t="s">
        <v>10396</v>
      </c>
      <c r="J2321" s="800" t="s">
        <v>10447</v>
      </c>
      <c r="K2321" s="800">
        <v>1</v>
      </c>
      <c r="L2321" s="802" t="s">
        <v>10398</v>
      </c>
      <c r="M2321" s="802" t="s">
        <v>22727</v>
      </c>
      <c r="N2321" s="802" t="s">
        <v>22728</v>
      </c>
      <c r="O2321" s="802" t="s">
        <v>22729</v>
      </c>
      <c r="P2321" s="807" t="s">
        <v>22730</v>
      </c>
    </row>
    <row r="2322" spans="1:16" s="341" customFormat="1" ht="25.5" customHeight="1">
      <c r="A2322" s="806" t="s">
        <v>110</v>
      </c>
      <c r="B2322" s="800" t="s">
        <v>110</v>
      </c>
      <c r="C2322" s="800" t="s">
        <v>4815</v>
      </c>
      <c r="D2322" s="800" t="s">
        <v>22731</v>
      </c>
      <c r="E2322" s="801">
        <v>43042</v>
      </c>
      <c r="F2322" s="800" t="s">
        <v>22713</v>
      </c>
      <c r="G2322" s="800" t="s">
        <v>22732</v>
      </c>
      <c r="H2322" s="800" t="s">
        <v>10404</v>
      </c>
      <c r="I2322" s="800" t="s">
        <v>10404</v>
      </c>
      <c r="J2322" s="800" t="s">
        <v>10426</v>
      </c>
      <c r="K2322" s="800">
        <v>1</v>
      </c>
      <c r="L2322" s="802" t="s">
        <v>10398</v>
      </c>
      <c r="M2322" s="802" t="s">
        <v>22733</v>
      </c>
      <c r="N2322" s="802" t="s">
        <v>22734</v>
      </c>
      <c r="O2322" s="802" t="s">
        <v>22729</v>
      </c>
      <c r="P2322" s="807" t="s">
        <v>22735</v>
      </c>
    </row>
    <row r="2323" spans="1:16" s="341" customFormat="1" ht="25.5" customHeight="1">
      <c r="A2323" s="806" t="s">
        <v>110</v>
      </c>
      <c r="B2323" s="800" t="s">
        <v>110</v>
      </c>
      <c r="C2323" s="800" t="s">
        <v>4815</v>
      </c>
      <c r="D2323" s="800" t="s">
        <v>22736</v>
      </c>
      <c r="E2323" s="801">
        <v>43042</v>
      </c>
      <c r="F2323" s="800" t="s">
        <v>22706</v>
      </c>
      <c r="G2323" s="800" t="s">
        <v>22737</v>
      </c>
      <c r="H2323" s="800" t="s">
        <v>10396</v>
      </c>
      <c r="I2323" s="800" t="s">
        <v>10396</v>
      </c>
      <c r="J2323" s="800" t="s">
        <v>10447</v>
      </c>
      <c r="K2323" s="800">
        <v>1</v>
      </c>
      <c r="L2323" s="802" t="s">
        <v>10398</v>
      </c>
      <c r="M2323" s="802" t="s">
        <v>22738</v>
      </c>
      <c r="N2323" s="802" t="s">
        <v>22739</v>
      </c>
      <c r="O2323" s="802" t="s">
        <v>22635</v>
      </c>
      <c r="P2323" s="807" t="s">
        <v>22740</v>
      </c>
    </row>
    <row r="2324" spans="1:16" s="341" customFormat="1" ht="25.5" customHeight="1">
      <c r="A2324" s="806" t="s">
        <v>110</v>
      </c>
      <c r="B2324" s="800" t="s">
        <v>110</v>
      </c>
      <c r="C2324" s="800" t="s">
        <v>4815</v>
      </c>
      <c r="D2324" s="800" t="s">
        <v>22741</v>
      </c>
      <c r="E2324" s="801">
        <v>43042</v>
      </c>
      <c r="F2324" s="800" t="s">
        <v>21396</v>
      </c>
      <c r="G2324" s="800" t="s">
        <v>22742</v>
      </c>
      <c r="H2324" s="800" t="s">
        <v>10531</v>
      </c>
      <c r="I2324" s="800" t="s">
        <v>10531</v>
      </c>
      <c r="J2324" s="800" t="s">
        <v>10447</v>
      </c>
      <c r="K2324" s="800">
        <v>1</v>
      </c>
      <c r="L2324" s="802" t="s">
        <v>10398</v>
      </c>
      <c r="M2324" s="802" t="s">
        <v>22743</v>
      </c>
      <c r="N2324" s="802" t="s">
        <v>22744</v>
      </c>
      <c r="O2324" s="802" t="s">
        <v>22745</v>
      </c>
      <c r="P2324" s="807" t="s">
        <v>22746</v>
      </c>
    </row>
    <row r="2325" spans="1:16" s="341" customFormat="1" ht="25.5" customHeight="1">
      <c r="A2325" s="806" t="s">
        <v>110</v>
      </c>
      <c r="B2325" s="800" t="s">
        <v>110</v>
      </c>
      <c r="C2325" s="800" t="s">
        <v>4815</v>
      </c>
      <c r="D2325" s="800" t="s">
        <v>22747</v>
      </c>
      <c r="E2325" s="801">
        <v>43042</v>
      </c>
      <c r="F2325" s="800" t="s">
        <v>22748</v>
      </c>
      <c r="G2325" s="800" t="s">
        <v>22749</v>
      </c>
      <c r="H2325" s="800" t="s">
        <v>10396</v>
      </c>
      <c r="I2325" s="800" t="s">
        <v>10396</v>
      </c>
      <c r="J2325" s="800" t="s">
        <v>10447</v>
      </c>
      <c r="K2325" s="800">
        <v>1</v>
      </c>
      <c r="L2325" s="802" t="s">
        <v>10398</v>
      </c>
      <c r="M2325" s="802" t="s">
        <v>22750</v>
      </c>
      <c r="N2325" s="802" t="s">
        <v>22751</v>
      </c>
      <c r="O2325" s="802" t="s">
        <v>22752</v>
      </c>
      <c r="P2325" s="807" t="s">
        <v>22753</v>
      </c>
    </row>
    <row r="2326" spans="1:16" s="341" customFormat="1" ht="25.5" customHeight="1">
      <c r="A2326" s="806" t="s">
        <v>110</v>
      </c>
      <c r="B2326" s="800" t="s">
        <v>110</v>
      </c>
      <c r="C2326" s="800" t="s">
        <v>4815</v>
      </c>
      <c r="D2326" s="800" t="s">
        <v>22754</v>
      </c>
      <c r="E2326" s="801">
        <v>43042</v>
      </c>
      <c r="F2326" s="800" t="s">
        <v>22755</v>
      </c>
      <c r="G2326" s="800" t="s">
        <v>22756</v>
      </c>
      <c r="H2326" s="800" t="s">
        <v>10531</v>
      </c>
      <c r="I2326" s="800" t="s">
        <v>10531</v>
      </c>
      <c r="J2326" s="800" t="s">
        <v>10426</v>
      </c>
      <c r="K2326" s="800">
        <v>1</v>
      </c>
      <c r="L2326" s="802" t="s">
        <v>10398</v>
      </c>
      <c r="M2326" s="802" t="s">
        <v>22757</v>
      </c>
      <c r="N2326" s="802" t="s">
        <v>22758</v>
      </c>
      <c r="O2326" s="802" t="s">
        <v>22759</v>
      </c>
      <c r="P2326" s="807" t="s">
        <v>22753</v>
      </c>
    </row>
    <row r="2327" spans="1:16" s="341" customFormat="1" ht="25.5" customHeight="1">
      <c r="A2327" s="806" t="s">
        <v>110</v>
      </c>
      <c r="B2327" s="800" t="s">
        <v>110</v>
      </c>
      <c r="C2327" s="800" t="s">
        <v>4815</v>
      </c>
      <c r="D2327" s="800" t="s">
        <v>22760</v>
      </c>
      <c r="E2327" s="801">
        <v>43042</v>
      </c>
      <c r="F2327" s="800" t="s">
        <v>7899</v>
      </c>
      <c r="G2327" s="800" t="s">
        <v>22761</v>
      </c>
      <c r="H2327" s="800" t="s">
        <v>10531</v>
      </c>
      <c r="I2327" s="800" t="s">
        <v>10531</v>
      </c>
      <c r="J2327" s="800" t="s">
        <v>10447</v>
      </c>
      <c r="K2327" s="800">
        <v>1</v>
      </c>
      <c r="L2327" s="802" t="s">
        <v>10605</v>
      </c>
      <c r="M2327" s="802" t="s">
        <v>22762</v>
      </c>
      <c r="N2327" s="802" t="s">
        <v>22763</v>
      </c>
      <c r="O2327" s="802" t="s">
        <v>22764</v>
      </c>
      <c r="P2327" s="807" t="s">
        <v>22765</v>
      </c>
    </row>
    <row r="2328" spans="1:16" s="341" customFormat="1" ht="15" customHeight="1">
      <c r="A2328" s="806" t="s">
        <v>110</v>
      </c>
      <c r="B2328" s="800" t="s">
        <v>110</v>
      </c>
      <c r="C2328" s="800" t="s">
        <v>4815</v>
      </c>
      <c r="D2328" s="800" t="s">
        <v>22766</v>
      </c>
      <c r="E2328" s="801">
        <v>43042</v>
      </c>
      <c r="F2328" s="800" t="s">
        <v>22767</v>
      </c>
      <c r="G2328" s="800" t="s">
        <v>22768</v>
      </c>
      <c r="H2328" s="800" t="s">
        <v>10433</v>
      </c>
      <c r="I2328" s="800" t="s">
        <v>10433</v>
      </c>
      <c r="J2328" s="800" t="s">
        <v>10447</v>
      </c>
      <c r="K2328" s="800">
        <v>1</v>
      </c>
      <c r="L2328" s="802" t="s">
        <v>10398</v>
      </c>
      <c r="M2328" s="802" t="s">
        <v>22769</v>
      </c>
      <c r="N2328" s="802" t="s">
        <v>22770</v>
      </c>
      <c r="O2328" s="802" t="s">
        <v>22771</v>
      </c>
      <c r="P2328" s="807" t="s">
        <v>22772</v>
      </c>
    </row>
    <row r="2329" spans="1:16" s="341" customFormat="1" ht="25.5" customHeight="1">
      <c r="A2329" s="806" t="s">
        <v>110</v>
      </c>
      <c r="B2329" s="800" t="s">
        <v>110</v>
      </c>
      <c r="C2329" s="800" t="s">
        <v>4815</v>
      </c>
      <c r="D2329" s="800" t="s">
        <v>22773</v>
      </c>
      <c r="E2329" s="801">
        <v>43042</v>
      </c>
      <c r="F2329" s="800" t="s">
        <v>22713</v>
      </c>
      <c r="G2329" s="800" t="s">
        <v>22774</v>
      </c>
      <c r="H2329" s="800" t="s">
        <v>10396</v>
      </c>
      <c r="I2329" s="800" t="s">
        <v>10396</v>
      </c>
      <c r="J2329" s="800" t="s">
        <v>10426</v>
      </c>
      <c r="K2329" s="800">
        <v>1</v>
      </c>
      <c r="L2329" s="802" t="s">
        <v>10398</v>
      </c>
      <c r="M2329" s="802" t="s">
        <v>22775</v>
      </c>
      <c r="N2329" s="802" t="s">
        <v>22776</v>
      </c>
      <c r="O2329" s="802" t="s">
        <v>22777</v>
      </c>
      <c r="P2329" s="807" t="s">
        <v>22778</v>
      </c>
    </row>
    <row r="2330" spans="1:16" s="341" customFormat="1" ht="25.5" customHeight="1">
      <c r="A2330" s="806" t="s">
        <v>110</v>
      </c>
      <c r="B2330" s="800" t="s">
        <v>110</v>
      </c>
      <c r="C2330" s="800" t="s">
        <v>4815</v>
      </c>
      <c r="D2330" s="800" t="s">
        <v>22779</v>
      </c>
      <c r="E2330" s="801">
        <v>43042</v>
      </c>
      <c r="F2330" s="800" t="s">
        <v>22780</v>
      </c>
      <c r="G2330" s="800" t="s">
        <v>22780</v>
      </c>
      <c r="H2330" s="800" t="s">
        <v>10396</v>
      </c>
      <c r="I2330" s="800" t="s">
        <v>10396</v>
      </c>
      <c r="J2330" s="800" t="s">
        <v>10447</v>
      </c>
      <c r="K2330" s="800">
        <v>1</v>
      </c>
      <c r="L2330" s="802" t="s">
        <v>10398</v>
      </c>
      <c r="M2330" s="802" t="s">
        <v>22781</v>
      </c>
      <c r="N2330" s="802" t="s">
        <v>22782</v>
      </c>
      <c r="O2330" s="802" t="s">
        <v>22783</v>
      </c>
      <c r="P2330" s="807" t="s">
        <v>22784</v>
      </c>
    </row>
    <row r="2331" spans="1:16" s="341" customFormat="1" ht="25.5" customHeight="1">
      <c r="A2331" s="806" t="s">
        <v>110</v>
      </c>
      <c r="B2331" s="800" t="s">
        <v>110</v>
      </c>
      <c r="C2331" s="800" t="s">
        <v>4815</v>
      </c>
      <c r="D2331" s="800" t="s">
        <v>22785</v>
      </c>
      <c r="E2331" s="801">
        <v>43040</v>
      </c>
      <c r="F2331" s="800" t="s">
        <v>22701</v>
      </c>
      <c r="G2331" s="800" t="s">
        <v>22786</v>
      </c>
      <c r="H2331" s="800" t="s">
        <v>10531</v>
      </c>
      <c r="I2331" s="800" t="s">
        <v>10531</v>
      </c>
      <c r="J2331" s="800" t="s">
        <v>10447</v>
      </c>
      <c r="K2331" s="800">
        <v>1</v>
      </c>
      <c r="L2331" s="802" t="s">
        <v>10398</v>
      </c>
      <c r="M2331" s="802" t="s">
        <v>22787</v>
      </c>
      <c r="N2331" s="802" t="s">
        <v>22788</v>
      </c>
      <c r="O2331" s="802" t="s">
        <v>22789</v>
      </c>
      <c r="P2331" s="807" t="s">
        <v>32</v>
      </c>
    </row>
    <row r="2332" spans="1:16" s="341" customFormat="1" ht="25.5" customHeight="1">
      <c r="A2332" s="806" t="s">
        <v>110</v>
      </c>
      <c r="B2332" s="800" t="s">
        <v>110</v>
      </c>
      <c r="C2332" s="800" t="s">
        <v>4815</v>
      </c>
      <c r="D2332" s="800" t="s">
        <v>22790</v>
      </c>
      <c r="E2332" s="801">
        <v>43040</v>
      </c>
      <c r="F2332" s="800" t="s">
        <v>22701</v>
      </c>
      <c r="G2332" s="800" t="s">
        <v>22791</v>
      </c>
      <c r="H2332" s="800" t="s">
        <v>10531</v>
      </c>
      <c r="I2332" s="800" t="s">
        <v>10531</v>
      </c>
      <c r="J2332" s="800" t="s">
        <v>10447</v>
      </c>
      <c r="K2332" s="800">
        <v>1</v>
      </c>
      <c r="L2332" s="802" t="s">
        <v>10398</v>
      </c>
      <c r="M2332" s="802" t="s">
        <v>22792</v>
      </c>
      <c r="N2332" s="802" t="s">
        <v>22793</v>
      </c>
      <c r="O2332" s="802" t="s">
        <v>22794</v>
      </c>
      <c r="P2332" s="807" t="s">
        <v>22795</v>
      </c>
    </row>
    <row r="2333" spans="1:16" s="341" customFormat="1" ht="25.5" customHeight="1">
      <c r="A2333" s="806" t="s">
        <v>110</v>
      </c>
      <c r="B2333" s="800" t="s">
        <v>110</v>
      </c>
      <c r="C2333" s="800" t="s">
        <v>4815</v>
      </c>
      <c r="D2333" s="800" t="s">
        <v>22796</v>
      </c>
      <c r="E2333" s="801">
        <v>43040</v>
      </c>
      <c r="F2333" s="800" t="s">
        <v>22701</v>
      </c>
      <c r="G2333" s="800" t="s">
        <v>22797</v>
      </c>
      <c r="H2333" s="800" t="s">
        <v>10404</v>
      </c>
      <c r="I2333" s="800" t="s">
        <v>10404</v>
      </c>
      <c r="J2333" s="800" t="s">
        <v>10664</v>
      </c>
      <c r="K2333" s="800">
        <v>1</v>
      </c>
      <c r="L2333" s="802" t="s">
        <v>10398</v>
      </c>
      <c r="M2333" s="802" t="s">
        <v>22798</v>
      </c>
      <c r="N2333" s="802" t="s">
        <v>22799</v>
      </c>
      <c r="O2333" s="802" t="s">
        <v>22800</v>
      </c>
      <c r="P2333" s="807" t="s">
        <v>22801</v>
      </c>
    </row>
    <row r="2334" spans="1:16" s="341" customFormat="1" ht="25.5" customHeight="1">
      <c r="A2334" s="806" t="s">
        <v>110</v>
      </c>
      <c r="B2334" s="800" t="s">
        <v>110</v>
      </c>
      <c r="C2334" s="800" t="s">
        <v>4815</v>
      </c>
      <c r="D2334" s="800" t="s">
        <v>22802</v>
      </c>
      <c r="E2334" s="801">
        <v>43040</v>
      </c>
      <c r="F2334" s="800" t="s">
        <v>22701</v>
      </c>
      <c r="G2334" s="800" t="s">
        <v>22803</v>
      </c>
      <c r="H2334" s="800" t="s">
        <v>10396</v>
      </c>
      <c r="I2334" s="800" t="s">
        <v>10396</v>
      </c>
      <c r="J2334" s="800" t="s">
        <v>10447</v>
      </c>
      <c r="K2334" s="800">
        <v>1</v>
      </c>
      <c r="L2334" s="802" t="s">
        <v>10398</v>
      </c>
      <c r="M2334" s="802" t="s">
        <v>22804</v>
      </c>
      <c r="N2334" s="802" t="s">
        <v>22805</v>
      </c>
      <c r="O2334" s="802" t="s">
        <v>22806</v>
      </c>
      <c r="P2334" s="807" t="s">
        <v>22807</v>
      </c>
    </row>
    <row r="2335" spans="1:16" s="341" customFormat="1" ht="25.5" customHeight="1">
      <c r="A2335" s="806" t="s">
        <v>110</v>
      </c>
      <c r="B2335" s="800" t="s">
        <v>110</v>
      </c>
      <c r="C2335" s="800" t="s">
        <v>4815</v>
      </c>
      <c r="D2335" s="800" t="s">
        <v>22808</v>
      </c>
      <c r="E2335" s="801">
        <v>43040</v>
      </c>
      <c r="F2335" s="800" t="s">
        <v>22701</v>
      </c>
      <c r="G2335" s="800" t="s">
        <v>22809</v>
      </c>
      <c r="H2335" s="800" t="s">
        <v>10404</v>
      </c>
      <c r="I2335" s="800" t="s">
        <v>10404</v>
      </c>
      <c r="J2335" s="800" t="s">
        <v>10405</v>
      </c>
      <c r="K2335" s="800">
        <v>1</v>
      </c>
      <c r="L2335" s="802" t="s">
        <v>10398</v>
      </c>
      <c r="M2335" s="802" t="s">
        <v>22810</v>
      </c>
      <c r="N2335" s="802" t="s">
        <v>14238</v>
      </c>
      <c r="O2335" s="802" t="s">
        <v>22811</v>
      </c>
      <c r="P2335" s="807" t="s">
        <v>22812</v>
      </c>
    </row>
    <row r="2336" spans="1:16" s="341" customFormat="1" ht="25.5" customHeight="1">
      <c r="A2336" s="806" t="s">
        <v>110</v>
      </c>
      <c r="B2336" s="800" t="s">
        <v>110</v>
      </c>
      <c r="C2336" s="800" t="s">
        <v>4815</v>
      </c>
      <c r="D2336" s="800" t="s">
        <v>22813</v>
      </c>
      <c r="E2336" s="801">
        <v>43040</v>
      </c>
      <c r="F2336" s="800" t="s">
        <v>22701</v>
      </c>
      <c r="G2336" s="800" t="s">
        <v>22814</v>
      </c>
      <c r="H2336" s="800" t="s">
        <v>10531</v>
      </c>
      <c r="I2336" s="800" t="s">
        <v>10531</v>
      </c>
      <c r="J2336" s="800" t="s">
        <v>10447</v>
      </c>
      <c r="K2336" s="800">
        <v>1</v>
      </c>
      <c r="L2336" s="802" t="s">
        <v>10398</v>
      </c>
      <c r="M2336" s="802" t="s">
        <v>22815</v>
      </c>
      <c r="N2336" s="802" t="s">
        <v>22816</v>
      </c>
      <c r="O2336" s="802" t="s">
        <v>22817</v>
      </c>
      <c r="P2336" s="807" t="s">
        <v>22818</v>
      </c>
    </row>
    <row r="2337" spans="1:16" s="341" customFormat="1" ht="25.5" customHeight="1">
      <c r="A2337" s="806" t="s">
        <v>110</v>
      </c>
      <c r="B2337" s="800" t="s">
        <v>110</v>
      </c>
      <c r="C2337" s="800" t="s">
        <v>4815</v>
      </c>
      <c r="D2337" s="800" t="s">
        <v>22819</v>
      </c>
      <c r="E2337" s="801">
        <v>43040</v>
      </c>
      <c r="F2337" s="800" t="s">
        <v>22820</v>
      </c>
      <c r="G2337" s="800" t="s">
        <v>22821</v>
      </c>
      <c r="H2337" s="800" t="s">
        <v>10531</v>
      </c>
      <c r="I2337" s="800" t="s">
        <v>10531</v>
      </c>
      <c r="J2337" s="800" t="s">
        <v>10447</v>
      </c>
      <c r="K2337" s="800">
        <v>1</v>
      </c>
      <c r="L2337" s="802" t="s">
        <v>10398</v>
      </c>
      <c r="M2337" s="802" t="s">
        <v>22822</v>
      </c>
      <c r="N2337" s="802" t="s">
        <v>22823</v>
      </c>
      <c r="O2337" s="802" t="s">
        <v>22824</v>
      </c>
      <c r="P2337" s="807" t="s">
        <v>32</v>
      </c>
    </row>
    <row r="2338" spans="1:16" s="341" customFormat="1" ht="25.5" customHeight="1">
      <c r="A2338" s="806" t="s">
        <v>110</v>
      </c>
      <c r="B2338" s="800" t="s">
        <v>110</v>
      </c>
      <c r="C2338" s="800" t="s">
        <v>4815</v>
      </c>
      <c r="D2338" s="800" t="s">
        <v>22825</v>
      </c>
      <c r="E2338" s="801">
        <v>43040</v>
      </c>
      <c r="F2338" s="800" t="s">
        <v>7378</v>
      </c>
      <c r="G2338" s="800" t="s">
        <v>22826</v>
      </c>
      <c r="H2338" s="800" t="s">
        <v>10404</v>
      </c>
      <c r="I2338" s="800" t="s">
        <v>10404</v>
      </c>
      <c r="J2338" s="800" t="s">
        <v>10664</v>
      </c>
      <c r="K2338" s="800">
        <v>1</v>
      </c>
      <c r="L2338" s="802" t="s">
        <v>10605</v>
      </c>
      <c r="M2338" s="802" t="s">
        <v>32</v>
      </c>
      <c r="N2338" s="802" t="s">
        <v>15075</v>
      </c>
      <c r="O2338" s="802" t="s">
        <v>22827</v>
      </c>
      <c r="P2338" s="807" t="s">
        <v>32</v>
      </c>
    </row>
    <row r="2339" spans="1:16" s="341" customFormat="1" ht="25.5" customHeight="1">
      <c r="A2339" s="806" t="s">
        <v>110</v>
      </c>
      <c r="B2339" s="800" t="s">
        <v>110</v>
      </c>
      <c r="C2339" s="800" t="s">
        <v>4815</v>
      </c>
      <c r="D2339" s="800" t="s">
        <v>22828</v>
      </c>
      <c r="E2339" s="801">
        <v>43040</v>
      </c>
      <c r="F2339" s="800" t="s">
        <v>22829</v>
      </c>
      <c r="G2339" s="800" t="s">
        <v>22830</v>
      </c>
      <c r="H2339" s="800" t="s">
        <v>10531</v>
      </c>
      <c r="I2339" s="800" t="s">
        <v>10531</v>
      </c>
      <c r="J2339" s="800" t="s">
        <v>10447</v>
      </c>
      <c r="K2339" s="800">
        <v>1</v>
      </c>
      <c r="L2339" s="802" t="s">
        <v>10605</v>
      </c>
      <c r="M2339" s="802" t="s">
        <v>32</v>
      </c>
      <c r="N2339" s="802" t="s">
        <v>12551</v>
      </c>
      <c r="O2339" s="802" t="s">
        <v>22831</v>
      </c>
      <c r="P2339" s="807" t="s">
        <v>22832</v>
      </c>
    </row>
    <row r="2340" spans="1:16" s="341" customFormat="1" ht="25.5" customHeight="1">
      <c r="A2340" s="806" t="s">
        <v>110</v>
      </c>
      <c r="B2340" s="800" t="s">
        <v>110</v>
      </c>
      <c r="C2340" s="800" t="s">
        <v>4815</v>
      </c>
      <c r="D2340" s="800" t="s">
        <v>22833</v>
      </c>
      <c r="E2340" s="801">
        <v>43040</v>
      </c>
      <c r="F2340" s="800" t="s">
        <v>22834</v>
      </c>
      <c r="G2340" s="800" t="s">
        <v>32</v>
      </c>
      <c r="H2340" s="800" t="s">
        <v>10433</v>
      </c>
      <c r="I2340" s="800" t="s">
        <v>10433</v>
      </c>
      <c r="J2340" s="800" t="s">
        <v>4342</v>
      </c>
      <c r="K2340" s="800">
        <v>1</v>
      </c>
      <c r="L2340" s="802" t="s">
        <v>10605</v>
      </c>
      <c r="M2340" s="802" t="s">
        <v>22835</v>
      </c>
      <c r="N2340" s="802" t="s">
        <v>22836</v>
      </c>
      <c r="O2340" s="802" t="s">
        <v>22837</v>
      </c>
      <c r="P2340" s="807" t="s">
        <v>22838</v>
      </c>
    </row>
    <row r="2341" spans="1:16" s="341" customFormat="1" ht="51" customHeight="1">
      <c r="A2341" s="806" t="s">
        <v>110</v>
      </c>
      <c r="B2341" s="800" t="s">
        <v>110</v>
      </c>
      <c r="C2341" s="800" t="s">
        <v>4815</v>
      </c>
      <c r="D2341" s="800" t="s">
        <v>22839</v>
      </c>
      <c r="E2341" s="801">
        <v>43040</v>
      </c>
      <c r="F2341" s="800" t="s">
        <v>22701</v>
      </c>
      <c r="G2341" s="800" t="s">
        <v>22840</v>
      </c>
      <c r="H2341" s="800" t="s">
        <v>10531</v>
      </c>
      <c r="I2341" s="800" t="s">
        <v>10531</v>
      </c>
      <c r="J2341" s="800" t="s">
        <v>4342</v>
      </c>
      <c r="K2341" s="800">
        <v>1</v>
      </c>
      <c r="L2341" s="802" t="s">
        <v>10398</v>
      </c>
      <c r="M2341" s="802" t="s">
        <v>22841</v>
      </c>
      <c r="N2341" s="802" t="s">
        <v>22842</v>
      </c>
      <c r="O2341" s="802" t="s">
        <v>22843</v>
      </c>
      <c r="P2341" s="807" t="s">
        <v>22844</v>
      </c>
    </row>
    <row r="2342" spans="1:16" s="341" customFormat="1" ht="38.25" customHeight="1">
      <c r="A2342" s="806" t="s">
        <v>110</v>
      </c>
      <c r="B2342" s="800" t="s">
        <v>110</v>
      </c>
      <c r="C2342" s="800" t="s">
        <v>4815</v>
      </c>
      <c r="D2342" s="800" t="s">
        <v>22845</v>
      </c>
      <c r="E2342" s="801">
        <v>43040</v>
      </c>
      <c r="F2342" s="800" t="s">
        <v>22701</v>
      </c>
      <c r="G2342" s="800" t="s">
        <v>22846</v>
      </c>
      <c r="H2342" s="800" t="s">
        <v>10396</v>
      </c>
      <c r="I2342" s="800" t="s">
        <v>10396</v>
      </c>
      <c r="J2342" s="800" t="s">
        <v>10397</v>
      </c>
      <c r="K2342" s="800">
        <v>1</v>
      </c>
      <c r="L2342" s="802" t="s">
        <v>10398</v>
      </c>
      <c r="M2342" s="802" t="s">
        <v>22847</v>
      </c>
      <c r="N2342" s="802" t="s">
        <v>18901</v>
      </c>
      <c r="O2342" s="802" t="s">
        <v>22848</v>
      </c>
      <c r="P2342" s="807" t="s">
        <v>22849</v>
      </c>
    </row>
    <row r="2343" spans="1:16" s="341" customFormat="1" ht="25.5" customHeight="1">
      <c r="A2343" s="806" t="s">
        <v>110</v>
      </c>
      <c r="B2343" s="800" t="s">
        <v>110</v>
      </c>
      <c r="C2343" s="800" t="s">
        <v>4815</v>
      </c>
      <c r="D2343" s="800" t="s">
        <v>22850</v>
      </c>
      <c r="E2343" s="801">
        <v>43040</v>
      </c>
      <c r="F2343" s="800" t="s">
        <v>22820</v>
      </c>
      <c r="G2343" s="800" t="s">
        <v>22851</v>
      </c>
      <c r="H2343" s="800" t="s">
        <v>10396</v>
      </c>
      <c r="I2343" s="800" t="s">
        <v>10396</v>
      </c>
      <c r="J2343" s="800" t="s">
        <v>10405</v>
      </c>
      <c r="K2343" s="800">
        <v>1</v>
      </c>
      <c r="L2343" s="802" t="s">
        <v>10398</v>
      </c>
      <c r="M2343" s="802" t="s">
        <v>22852</v>
      </c>
      <c r="N2343" s="802" t="s">
        <v>22853</v>
      </c>
      <c r="O2343" s="802" t="s">
        <v>22854</v>
      </c>
      <c r="P2343" s="807" t="s">
        <v>22855</v>
      </c>
    </row>
    <row r="2344" spans="1:16" s="341" customFormat="1" ht="25.5" customHeight="1">
      <c r="A2344" s="806" t="s">
        <v>110</v>
      </c>
      <c r="B2344" s="800" t="s">
        <v>110</v>
      </c>
      <c r="C2344" s="800" t="s">
        <v>4815</v>
      </c>
      <c r="D2344" s="800" t="s">
        <v>22856</v>
      </c>
      <c r="E2344" s="801">
        <v>43040</v>
      </c>
      <c r="F2344" s="800" t="s">
        <v>22701</v>
      </c>
      <c r="G2344" s="800" t="s">
        <v>22857</v>
      </c>
      <c r="H2344" s="800" t="s">
        <v>10396</v>
      </c>
      <c r="I2344" s="800" t="s">
        <v>10396</v>
      </c>
      <c r="J2344" s="800" t="s">
        <v>10405</v>
      </c>
      <c r="K2344" s="800">
        <v>1</v>
      </c>
      <c r="L2344" s="802" t="s">
        <v>10398</v>
      </c>
      <c r="M2344" s="802" t="s">
        <v>22858</v>
      </c>
      <c r="N2344" s="802" t="s">
        <v>15947</v>
      </c>
      <c r="O2344" s="802" t="s">
        <v>22859</v>
      </c>
      <c r="P2344" s="807" t="s">
        <v>22860</v>
      </c>
    </row>
    <row r="2345" spans="1:16" s="341" customFormat="1" ht="38.25" customHeight="1">
      <c r="A2345" s="806" t="s">
        <v>110</v>
      </c>
      <c r="B2345" s="800" t="s">
        <v>110</v>
      </c>
      <c r="C2345" s="800" t="s">
        <v>4815</v>
      </c>
      <c r="D2345" s="800" t="s">
        <v>22861</v>
      </c>
      <c r="E2345" s="801">
        <v>43042</v>
      </c>
      <c r="F2345" s="800" t="s">
        <v>22701</v>
      </c>
      <c r="G2345" s="800" t="s">
        <v>22862</v>
      </c>
      <c r="H2345" s="800" t="s">
        <v>10531</v>
      </c>
      <c r="I2345" s="800" t="s">
        <v>10531</v>
      </c>
      <c r="J2345" s="800" t="s">
        <v>10397</v>
      </c>
      <c r="K2345" s="800">
        <v>1</v>
      </c>
      <c r="L2345" s="802" t="s">
        <v>10398</v>
      </c>
      <c r="M2345" s="802" t="s">
        <v>22863</v>
      </c>
      <c r="N2345" s="802" t="s">
        <v>22864</v>
      </c>
      <c r="O2345" s="802" t="s">
        <v>22865</v>
      </c>
      <c r="P2345" s="807" t="s">
        <v>22866</v>
      </c>
    </row>
    <row r="2346" spans="1:16" s="341" customFormat="1" ht="15" customHeight="1">
      <c r="A2346" s="806" t="s">
        <v>110</v>
      </c>
      <c r="B2346" s="800" t="s">
        <v>110</v>
      </c>
      <c r="C2346" s="800" t="s">
        <v>4815</v>
      </c>
      <c r="D2346" s="800" t="s">
        <v>22867</v>
      </c>
      <c r="E2346" s="801">
        <v>43040</v>
      </c>
      <c r="F2346" s="800" t="s">
        <v>22701</v>
      </c>
      <c r="G2346" s="800" t="s">
        <v>22868</v>
      </c>
      <c r="H2346" s="800" t="s">
        <v>10404</v>
      </c>
      <c r="I2346" s="800" t="s">
        <v>10404</v>
      </c>
      <c r="J2346" s="800" t="s">
        <v>10405</v>
      </c>
      <c r="K2346" s="800">
        <v>1</v>
      </c>
      <c r="L2346" s="802" t="s">
        <v>10398</v>
      </c>
      <c r="M2346" s="802" t="s">
        <v>22869</v>
      </c>
      <c r="N2346" s="802" t="s">
        <v>17590</v>
      </c>
      <c r="O2346" s="802" t="s">
        <v>22870</v>
      </c>
      <c r="P2346" s="807" t="s">
        <v>22871</v>
      </c>
    </row>
    <row r="2347" spans="1:16" s="341" customFormat="1" ht="15" customHeight="1">
      <c r="A2347" s="806" t="s">
        <v>110</v>
      </c>
      <c r="B2347" s="800" t="s">
        <v>110</v>
      </c>
      <c r="C2347" s="800" t="s">
        <v>8024</v>
      </c>
      <c r="D2347" s="800" t="s">
        <v>22872</v>
      </c>
      <c r="E2347" s="801">
        <v>43021</v>
      </c>
      <c r="F2347" s="800" t="s">
        <v>22873</v>
      </c>
      <c r="G2347" s="800" t="s">
        <v>22874</v>
      </c>
      <c r="H2347" s="800" t="s">
        <v>10396</v>
      </c>
      <c r="I2347" s="800" t="s">
        <v>10396</v>
      </c>
      <c r="J2347" s="800" t="s">
        <v>10447</v>
      </c>
      <c r="K2347" s="800">
        <v>1</v>
      </c>
      <c r="L2347" s="802" t="s">
        <v>10398</v>
      </c>
      <c r="M2347" s="802" t="s">
        <v>22875</v>
      </c>
      <c r="N2347" s="802" t="s">
        <v>22876</v>
      </c>
      <c r="O2347" s="802" t="s">
        <v>22877</v>
      </c>
      <c r="P2347" s="807" t="s">
        <v>22878</v>
      </c>
    </row>
    <row r="2348" spans="1:16" s="341" customFormat="1" ht="63.75" customHeight="1">
      <c r="A2348" s="806" t="s">
        <v>110</v>
      </c>
      <c r="B2348" s="800" t="s">
        <v>110</v>
      </c>
      <c r="C2348" s="800" t="s">
        <v>8024</v>
      </c>
      <c r="D2348" s="800" t="s">
        <v>22879</v>
      </c>
      <c r="E2348" s="801">
        <v>43021</v>
      </c>
      <c r="F2348" s="800" t="s">
        <v>22880</v>
      </c>
      <c r="G2348" s="800" t="s">
        <v>32</v>
      </c>
      <c r="H2348" s="800" t="s">
        <v>10404</v>
      </c>
      <c r="I2348" s="800" t="s">
        <v>10404</v>
      </c>
      <c r="J2348" s="800" t="s">
        <v>10447</v>
      </c>
      <c r="K2348" s="800">
        <v>1</v>
      </c>
      <c r="L2348" s="802" t="s">
        <v>10398</v>
      </c>
      <c r="M2348" s="802" t="s">
        <v>22881</v>
      </c>
      <c r="N2348" s="802" t="s">
        <v>22882</v>
      </c>
      <c r="O2348" s="802" t="s">
        <v>22883</v>
      </c>
      <c r="P2348" s="807" t="s">
        <v>22884</v>
      </c>
    </row>
    <row r="2349" spans="1:16" s="341" customFormat="1" ht="51" customHeight="1">
      <c r="A2349" s="806" t="s">
        <v>110</v>
      </c>
      <c r="B2349" s="800" t="s">
        <v>110</v>
      </c>
      <c r="C2349" s="800" t="s">
        <v>8024</v>
      </c>
      <c r="D2349" s="800" t="s">
        <v>22885</v>
      </c>
      <c r="E2349" s="801">
        <v>43019</v>
      </c>
      <c r="F2349" s="800" t="s">
        <v>8261</v>
      </c>
      <c r="G2349" s="800" t="s">
        <v>32</v>
      </c>
      <c r="H2349" s="800" t="s">
        <v>10404</v>
      </c>
      <c r="I2349" s="800" t="s">
        <v>10404</v>
      </c>
      <c r="J2349" s="800" t="s">
        <v>10447</v>
      </c>
      <c r="K2349" s="800">
        <v>1</v>
      </c>
      <c r="L2349" s="802" t="s">
        <v>10398</v>
      </c>
      <c r="M2349" s="802" t="s">
        <v>22886</v>
      </c>
      <c r="N2349" s="802" t="s">
        <v>22887</v>
      </c>
      <c r="O2349" s="802" t="s">
        <v>22888</v>
      </c>
      <c r="P2349" s="807" t="s">
        <v>22889</v>
      </c>
    </row>
    <row r="2350" spans="1:16" s="341" customFormat="1" ht="63.75" customHeight="1">
      <c r="A2350" s="806" t="s">
        <v>110</v>
      </c>
      <c r="B2350" s="800" t="s">
        <v>110</v>
      </c>
      <c r="C2350" s="800" t="s">
        <v>8024</v>
      </c>
      <c r="D2350" s="800" t="s">
        <v>22890</v>
      </c>
      <c r="E2350" s="801">
        <v>43041</v>
      </c>
      <c r="F2350" s="800" t="s">
        <v>22891</v>
      </c>
      <c r="G2350" s="800" t="s">
        <v>22892</v>
      </c>
      <c r="H2350" s="800" t="s">
        <v>10433</v>
      </c>
      <c r="I2350" s="800" t="s">
        <v>10433</v>
      </c>
      <c r="J2350" s="800" t="s">
        <v>4342</v>
      </c>
      <c r="K2350" s="800">
        <v>1</v>
      </c>
      <c r="L2350" s="802" t="s">
        <v>10398</v>
      </c>
      <c r="M2350" s="802" t="s">
        <v>22893</v>
      </c>
      <c r="N2350" s="802" t="s">
        <v>11364</v>
      </c>
      <c r="O2350" s="802" t="s">
        <v>22894</v>
      </c>
      <c r="P2350" s="807" t="s">
        <v>22895</v>
      </c>
    </row>
    <row r="2351" spans="1:16" s="341" customFormat="1" ht="25.5" customHeight="1">
      <c r="A2351" s="806" t="s">
        <v>110</v>
      </c>
      <c r="B2351" s="800" t="s">
        <v>110</v>
      </c>
      <c r="C2351" s="800" t="s">
        <v>8024</v>
      </c>
      <c r="D2351" s="800" t="s">
        <v>22896</v>
      </c>
      <c r="E2351" s="801">
        <v>43041</v>
      </c>
      <c r="F2351" s="800" t="s">
        <v>22897</v>
      </c>
      <c r="G2351" s="800" t="s">
        <v>22898</v>
      </c>
      <c r="H2351" s="800" t="s">
        <v>10404</v>
      </c>
      <c r="I2351" s="800" t="s">
        <v>10404</v>
      </c>
      <c r="J2351" s="800" t="s">
        <v>10664</v>
      </c>
      <c r="K2351" s="800">
        <v>1</v>
      </c>
      <c r="L2351" s="802" t="s">
        <v>10398</v>
      </c>
      <c r="M2351" s="802" t="s">
        <v>22899</v>
      </c>
      <c r="N2351" s="802" t="s">
        <v>22900</v>
      </c>
      <c r="O2351" s="802" t="s">
        <v>22901</v>
      </c>
      <c r="P2351" s="807" t="s">
        <v>22902</v>
      </c>
    </row>
    <row r="2352" spans="1:16" s="341" customFormat="1" ht="38.25" customHeight="1">
      <c r="A2352" s="806" t="s">
        <v>110</v>
      </c>
      <c r="B2352" s="800" t="s">
        <v>110</v>
      </c>
      <c r="C2352" s="800" t="s">
        <v>8024</v>
      </c>
      <c r="D2352" s="800" t="s">
        <v>22903</v>
      </c>
      <c r="E2352" s="801">
        <v>43041</v>
      </c>
      <c r="F2352" s="800" t="s">
        <v>22904</v>
      </c>
      <c r="G2352" s="800" t="s">
        <v>22905</v>
      </c>
      <c r="H2352" s="800" t="s">
        <v>10404</v>
      </c>
      <c r="I2352" s="800" t="s">
        <v>10404</v>
      </c>
      <c r="J2352" s="800" t="s">
        <v>10664</v>
      </c>
      <c r="K2352" s="800">
        <v>1</v>
      </c>
      <c r="L2352" s="802" t="s">
        <v>10398</v>
      </c>
      <c r="M2352" s="802" t="s">
        <v>22906</v>
      </c>
      <c r="N2352" s="802" t="s">
        <v>20229</v>
      </c>
      <c r="O2352" s="802" t="s">
        <v>22907</v>
      </c>
      <c r="P2352" s="807" t="s">
        <v>22908</v>
      </c>
    </row>
    <row r="2353" spans="1:16" s="341" customFormat="1" ht="25.5" customHeight="1">
      <c r="A2353" s="806" t="s">
        <v>110</v>
      </c>
      <c r="B2353" s="800" t="s">
        <v>110</v>
      </c>
      <c r="C2353" s="800" t="s">
        <v>8024</v>
      </c>
      <c r="D2353" s="800" t="s">
        <v>22909</v>
      </c>
      <c r="E2353" s="801">
        <v>43040</v>
      </c>
      <c r="F2353" s="800" t="s">
        <v>8261</v>
      </c>
      <c r="G2353" s="800" t="s">
        <v>22910</v>
      </c>
      <c r="H2353" s="800" t="s">
        <v>10404</v>
      </c>
      <c r="I2353" s="800" t="s">
        <v>10404</v>
      </c>
      <c r="J2353" s="800" t="s">
        <v>10447</v>
      </c>
      <c r="K2353" s="800">
        <v>1</v>
      </c>
      <c r="L2353" s="802" t="s">
        <v>10398</v>
      </c>
      <c r="M2353" s="802" t="s">
        <v>22911</v>
      </c>
      <c r="N2353" s="802" t="s">
        <v>11364</v>
      </c>
      <c r="O2353" s="802" t="s">
        <v>22912</v>
      </c>
      <c r="P2353" s="807" t="s">
        <v>22913</v>
      </c>
    </row>
    <row r="2354" spans="1:16" s="341" customFormat="1" ht="25.5" customHeight="1">
      <c r="A2354" s="806" t="s">
        <v>110</v>
      </c>
      <c r="B2354" s="800" t="s">
        <v>110</v>
      </c>
      <c r="C2354" s="800" t="s">
        <v>8024</v>
      </c>
      <c r="D2354" s="800" t="s">
        <v>22914</v>
      </c>
      <c r="E2354" s="801">
        <v>43040</v>
      </c>
      <c r="F2354" s="800" t="s">
        <v>22915</v>
      </c>
      <c r="G2354" s="800" t="s">
        <v>22916</v>
      </c>
      <c r="H2354" s="800" t="s">
        <v>10433</v>
      </c>
      <c r="I2354" s="800" t="s">
        <v>10433</v>
      </c>
      <c r="J2354" s="800" t="s">
        <v>10447</v>
      </c>
      <c r="K2354" s="800">
        <v>1</v>
      </c>
      <c r="L2354" s="802" t="s">
        <v>10398</v>
      </c>
      <c r="M2354" s="802" t="s">
        <v>22917</v>
      </c>
      <c r="N2354" s="802" t="s">
        <v>11290</v>
      </c>
      <c r="O2354" s="802" t="s">
        <v>22918</v>
      </c>
      <c r="P2354" s="807" t="s">
        <v>22919</v>
      </c>
    </row>
    <row r="2355" spans="1:16" s="341" customFormat="1" ht="25.5" customHeight="1">
      <c r="A2355" s="806" t="s">
        <v>110</v>
      </c>
      <c r="B2355" s="800" t="s">
        <v>110</v>
      </c>
      <c r="C2355" s="800" t="s">
        <v>8024</v>
      </c>
      <c r="D2355" s="800" t="s">
        <v>22920</v>
      </c>
      <c r="E2355" s="801">
        <v>43040</v>
      </c>
      <c r="F2355" s="800" t="s">
        <v>22921</v>
      </c>
      <c r="G2355" s="800" t="s">
        <v>22922</v>
      </c>
      <c r="H2355" s="800" t="s">
        <v>10433</v>
      </c>
      <c r="I2355" s="800" t="s">
        <v>10433</v>
      </c>
      <c r="J2355" s="800" t="s">
        <v>10447</v>
      </c>
      <c r="K2355" s="800">
        <v>1</v>
      </c>
      <c r="L2355" s="802" t="s">
        <v>10398</v>
      </c>
      <c r="M2355" s="802" t="s">
        <v>22923</v>
      </c>
      <c r="N2355" s="802" t="s">
        <v>22924</v>
      </c>
      <c r="O2355" s="802" t="s">
        <v>22925</v>
      </c>
      <c r="P2355" s="807" t="s">
        <v>22926</v>
      </c>
    </row>
    <row r="2356" spans="1:16" s="341" customFormat="1" ht="25.5" customHeight="1">
      <c r="A2356" s="806" t="s">
        <v>110</v>
      </c>
      <c r="B2356" s="800" t="s">
        <v>110</v>
      </c>
      <c r="C2356" s="800" t="s">
        <v>8024</v>
      </c>
      <c r="D2356" s="800" t="s">
        <v>22927</v>
      </c>
      <c r="E2356" s="801">
        <v>43040</v>
      </c>
      <c r="F2356" s="800" t="s">
        <v>702</v>
      </c>
      <c r="G2356" s="800" t="s">
        <v>22928</v>
      </c>
      <c r="H2356" s="800" t="s">
        <v>10404</v>
      </c>
      <c r="I2356" s="800" t="s">
        <v>10404</v>
      </c>
      <c r="J2356" s="800" t="s">
        <v>10426</v>
      </c>
      <c r="K2356" s="800">
        <v>1</v>
      </c>
      <c r="L2356" s="802" t="s">
        <v>11045</v>
      </c>
      <c r="M2356" s="802" t="s">
        <v>22929</v>
      </c>
      <c r="N2356" s="802" t="s">
        <v>22930</v>
      </c>
      <c r="O2356" s="802" t="s">
        <v>22931</v>
      </c>
      <c r="P2356" s="807" t="s">
        <v>22932</v>
      </c>
    </row>
    <row r="2357" spans="1:16" s="341" customFormat="1" ht="25.5" customHeight="1">
      <c r="A2357" s="806" t="s">
        <v>110</v>
      </c>
      <c r="B2357" s="800" t="s">
        <v>110</v>
      </c>
      <c r="C2357" s="800" t="s">
        <v>8024</v>
      </c>
      <c r="D2357" s="800" t="s">
        <v>22933</v>
      </c>
      <c r="E2357" s="801">
        <v>43040</v>
      </c>
      <c r="F2357" s="800" t="s">
        <v>9036</v>
      </c>
      <c r="G2357" s="800" t="s">
        <v>22934</v>
      </c>
      <c r="H2357" s="800" t="s">
        <v>10433</v>
      </c>
      <c r="I2357" s="800" t="s">
        <v>10433</v>
      </c>
      <c r="J2357" s="800" t="s">
        <v>10447</v>
      </c>
      <c r="K2357" s="800">
        <v>1</v>
      </c>
      <c r="L2357" s="802" t="s">
        <v>10398</v>
      </c>
      <c r="M2357" s="802" t="s">
        <v>22935</v>
      </c>
      <c r="N2357" s="802" t="s">
        <v>13212</v>
      </c>
      <c r="O2357" s="802" t="s">
        <v>22936</v>
      </c>
      <c r="P2357" s="807" t="s">
        <v>22937</v>
      </c>
    </row>
    <row r="2358" spans="1:16" s="341" customFormat="1" ht="38.25" customHeight="1">
      <c r="A2358" s="806" t="s">
        <v>110</v>
      </c>
      <c r="B2358" s="800" t="s">
        <v>110</v>
      </c>
      <c r="C2358" s="800" t="s">
        <v>8024</v>
      </c>
      <c r="D2358" s="800" t="s">
        <v>22938</v>
      </c>
      <c r="E2358" s="801">
        <v>43040</v>
      </c>
      <c r="F2358" s="800" t="s">
        <v>9036</v>
      </c>
      <c r="G2358" s="800" t="s">
        <v>22939</v>
      </c>
      <c r="H2358" s="800" t="s">
        <v>10404</v>
      </c>
      <c r="I2358" s="800" t="s">
        <v>10404</v>
      </c>
      <c r="J2358" s="800" t="s">
        <v>10426</v>
      </c>
      <c r="K2358" s="800">
        <v>1</v>
      </c>
      <c r="L2358" s="802" t="s">
        <v>10398</v>
      </c>
      <c r="M2358" s="802" t="s">
        <v>22940</v>
      </c>
      <c r="N2358" s="802" t="s">
        <v>22941</v>
      </c>
      <c r="O2358" s="802" t="s">
        <v>22942</v>
      </c>
      <c r="P2358" s="807" t="s">
        <v>22943</v>
      </c>
    </row>
    <row r="2359" spans="1:16" s="341" customFormat="1" ht="25.5" customHeight="1">
      <c r="A2359" s="806" t="s">
        <v>110</v>
      </c>
      <c r="B2359" s="800" t="s">
        <v>110</v>
      </c>
      <c r="C2359" s="800" t="s">
        <v>8024</v>
      </c>
      <c r="D2359" s="800" t="s">
        <v>22944</v>
      </c>
      <c r="E2359" s="801">
        <v>43040</v>
      </c>
      <c r="F2359" s="800" t="s">
        <v>1707</v>
      </c>
      <c r="G2359" s="800" t="s">
        <v>22945</v>
      </c>
      <c r="H2359" s="800" t="s">
        <v>10433</v>
      </c>
      <c r="I2359" s="800" t="s">
        <v>10433</v>
      </c>
      <c r="J2359" s="800" t="s">
        <v>10447</v>
      </c>
      <c r="K2359" s="800">
        <v>1</v>
      </c>
      <c r="L2359" s="802" t="s">
        <v>11045</v>
      </c>
      <c r="M2359" s="802" t="s">
        <v>22946</v>
      </c>
      <c r="N2359" s="802" t="s">
        <v>22947</v>
      </c>
      <c r="O2359" s="802" t="s">
        <v>22948</v>
      </c>
      <c r="P2359" s="807" t="s">
        <v>22949</v>
      </c>
    </row>
    <row r="2360" spans="1:16" s="341" customFormat="1" ht="25.5" customHeight="1">
      <c r="A2360" s="806" t="s">
        <v>110</v>
      </c>
      <c r="B2360" s="800" t="s">
        <v>110</v>
      </c>
      <c r="C2360" s="800" t="s">
        <v>8024</v>
      </c>
      <c r="D2360" s="800" t="s">
        <v>22950</v>
      </c>
      <c r="E2360" s="801">
        <v>43040</v>
      </c>
      <c r="F2360" s="800" t="s">
        <v>22951</v>
      </c>
      <c r="G2360" s="800" t="s">
        <v>22952</v>
      </c>
      <c r="H2360" s="800" t="s">
        <v>10396</v>
      </c>
      <c r="I2360" s="800" t="s">
        <v>10396</v>
      </c>
      <c r="J2360" s="800" t="s">
        <v>4342</v>
      </c>
      <c r="K2360" s="800">
        <v>1</v>
      </c>
      <c r="L2360" s="802" t="s">
        <v>10398</v>
      </c>
      <c r="M2360" s="802" t="s">
        <v>22953</v>
      </c>
      <c r="N2360" s="802" t="s">
        <v>22954</v>
      </c>
      <c r="O2360" s="802" t="s">
        <v>22955</v>
      </c>
      <c r="P2360" s="807" t="s">
        <v>22956</v>
      </c>
    </row>
    <row r="2361" spans="1:16" s="341" customFormat="1" ht="25.5" customHeight="1">
      <c r="A2361" s="806" t="s">
        <v>110</v>
      </c>
      <c r="B2361" s="800" t="s">
        <v>110</v>
      </c>
      <c r="C2361" s="800" t="s">
        <v>8024</v>
      </c>
      <c r="D2361" s="800" t="s">
        <v>22957</v>
      </c>
      <c r="E2361" s="801">
        <v>43040</v>
      </c>
      <c r="F2361" s="800" t="s">
        <v>22958</v>
      </c>
      <c r="G2361" s="800" t="s">
        <v>22959</v>
      </c>
      <c r="H2361" s="800" t="s">
        <v>10404</v>
      </c>
      <c r="I2361" s="800" t="s">
        <v>10404</v>
      </c>
      <c r="J2361" s="800" t="s">
        <v>10447</v>
      </c>
      <c r="K2361" s="800">
        <v>1</v>
      </c>
      <c r="L2361" s="802" t="s">
        <v>10398</v>
      </c>
      <c r="M2361" s="802" t="s">
        <v>22960</v>
      </c>
      <c r="N2361" s="802" t="s">
        <v>22961</v>
      </c>
      <c r="O2361" s="802" t="s">
        <v>22962</v>
      </c>
      <c r="P2361" s="807" t="s">
        <v>22963</v>
      </c>
    </row>
    <row r="2362" spans="1:16" s="341" customFormat="1" ht="25.5" customHeight="1">
      <c r="A2362" s="806" t="s">
        <v>110</v>
      </c>
      <c r="B2362" s="800" t="s">
        <v>110</v>
      </c>
      <c r="C2362" s="800" t="s">
        <v>8024</v>
      </c>
      <c r="D2362" s="800" t="s">
        <v>22964</v>
      </c>
      <c r="E2362" s="801">
        <v>43033</v>
      </c>
      <c r="F2362" s="800" t="s">
        <v>9036</v>
      </c>
      <c r="G2362" s="800" t="s">
        <v>22965</v>
      </c>
      <c r="H2362" s="800" t="s">
        <v>10433</v>
      </c>
      <c r="I2362" s="800" t="s">
        <v>10433</v>
      </c>
      <c r="J2362" s="800" t="s">
        <v>10447</v>
      </c>
      <c r="K2362" s="800">
        <v>1</v>
      </c>
      <c r="L2362" s="802" t="s">
        <v>10398</v>
      </c>
      <c r="M2362" s="802" t="s">
        <v>22966</v>
      </c>
      <c r="N2362" s="802" t="s">
        <v>11085</v>
      </c>
      <c r="O2362" s="802" t="s">
        <v>22967</v>
      </c>
      <c r="P2362" s="807" t="s">
        <v>22968</v>
      </c>
    </row>
    <row r="2363" spans="1:16" s="341" customFormat="1" ht="25.5" customHeight="1">
      <c r="A2363" s="806" t="s">
        <v>110</v>
      </c>
      <c r="B2363" s="800" t="s">
        <v>110</v>
      </c>
      <c r="C2363" s="800" t="s">
        <v>8024</v>
      </c>
      <c r="D2363" s="800" t="s">
        <v>22969</v>
      </c>
      <c r="E2363" s="801">
        <v>43033</v>
      </c>
      <c r="F2363" s="800" t="s">
        <v>8279</v>
      </c>
      <c r="G2363" s="800" t="s">
        <v>22970</v>
      </c>
      <c r="H2363" s="800" t="s">
        <v>10404</v>
      </c>
      <c r="I2363" s="800" t="s">
        <v>10404</v>
      </c>
      <c r="J2363" s="800" t="s">
        <v>10447</v>
      </c>
      <c r="K2363" s="800">
        <v>1</v>
      </c>
      <c r="L2363" s="802" t="s">
        <v>10398</v>
      </c>
      <c r="M2363" s="802" t="s">
        <v>22971</v>
      </c>
      <c r="N2363" s="802" t="s">
        <v>22972</v>
      </c>
      <c r="O2363" s="802" t="s">
        <v>22973</v>
      </c>
      <c r="P2363" s="807" t="s">
        <v>22974</v>
      </c>
    </row>
    <row r="2364" spans="1:16" s="341" customFormat="1" ht="25.5" customHeight="1">
      <c r="A2364" s="806" t="s">
        <v>110</v>
      </c>
      <c r="B2364" s="800" t="s">
        <v>110</v>
      </c>
      <c r="C2364" s="800" t="s">
        <v>8024</v>
      </c>
      <c r="D2364" s="800" t="s">
        <v>22975</v>
      </c>
      <c r="E2364" s="801">
        <v>43033</v>
      </c>
      <c r="F2364" s="800" t="s">
        <v>9036</v>
      </c>
      <c r="G2364" s="800" t="s">
        <v>22976</v>
      </c>
      <c r="H2364" s="800" t="s">
        <v>10404</v>
      </c>
      <c r="I2364" s="800" t="s">
        <v>10404</v>
      </c>
      <c r="J2364" s="800" t="s">
        <v>10405</v>
      </c>
      <c r="K2364" s="800">
        <v>1</v>
      </c>
      <c r="L2364" s="802" t="s">
        <v>10398</v>
      </c>
      <c r="M2364" s="802" t="s">
        <v>32</v>
      </c>
      <c r="N2364" s="802" t="s">
        <v>20749</v>
      </c>
      <c r="O2364" s="802" t="s">
        <v>32</v>
      </c>
      <c r="P2364" s="807" t="s">
        <v>32</v>
      </c>
    </row>
    <row r="2365" spans="1:16" s="341" customFormat="1" ht="25.5" customHeight="1">
      <c r="A2365" s="806" t="s">
        <v>110</v>
      </c>
      <c r="B2365" s="800" t="s">
        <v>110</v>
      </c>
      <c r="C2365" s="800" t="s">
        <v>8024</v>
      </c>
      <c r="D2365" s="800" t="s">
        <v>22977</v>
      </c>
      <c r="E2365" s="801">
        <v>43033</v>
      </c>
      <c r="F2365" s="800" t="s">
        <v>32</v>
      </c>
      <c r="G2365" s="800" t="s">
        <v>22978</v>
      </c>
      <c r="H2365" s="800" t="s">
        <v>10433</v>
      </c>
      <c r="I2365" s="800" t="s">
        <v>10433</v>
      </c>
      <c r="J2365" s="800" t="s">
        <v>10447</v>
      </c>
      <c r="K2365" s="800">
        <v>1</v>
      </c>
      <c r="L2365" s="802" t="s">
        <v>10398</v>
      </c>
      <c r="M2365" s="802" t="s">
        <v>22979</v>
      </c>
      <c r="N2365" s="802" t="s">
        <v>22980</v>
      </c>
      <c r="O2365" s="802" t="s">
        <v>22981</v>
      </c>
      <c r="P2365" s="807" t="s">
        <v>22982</v>
      </c>
    </row>
    <row r="2366" spans="1:16" s="341" customFormat="1" ht="25.5" customHeight="1">
      <c r="A2366" s="806" t="s">
        <v>110</v>
      </c>
      <c r="B2366" s="800" t="s">
        <v>110</v>
      </c>
      <c r="C2366" s="800" t="s">
        <v>8024</v>
      </c>
      <c r="D2366" s="800" t="s">
        <v>22983</v>
      </c>
      <c r="E2366" s="801">
        <v>43033</v>
      </c>
      <c r="F2366" s="800" t="s">
        <v>9036</v>
      </c>
      <c r="G2366" s="800" t="s">
        <v>22984</v>
      </c>
      <c r="H2366" s="800" t="s">
        <v>10404</v>
      </c>
      <c r="I2366" s="800" t="s">
        <v>10404</v>
      </c>
      <c r="J2366" s="800" t="s">
        <v>10447</v>
      </c>
      <c r="K2366" s="800">
        <v>1</v>
      </c>
      <c r="L2366" s="802" t="s">
        <v>10398</v>
      </c>
      <c r="M2366" s="802" t="s">
        <v>22985</v>
      </c>
      <c r="N2366" s="802" t="s">
        <v>22986</v>
      </c>
      <c r="O2366" s="802" t="s">
        <v>22987</v>
      </c>
      <c r="P2366" s="807" t="s">
        <v>22988</v>
      </c>
    </row>
    <row r="2367" spans="1:16" s="341" customFormat="1" ht="25.5" customHeight="1">
      <c r="A2367" s="806" t="s">
        <v>110</v>
      </c>
      <c r="B2367" s="800" t="s">
        <v>110</v>
      </c>
      <c r="C2367" s="800" t="s">
        <v>8024</v>
      </c>
      <c r="D2367" s="800" t="s">
        <v>22989</v>
      </c>
      <c r="E2367" s="801">
        <v>43033</v>
      </c>
      <c r="F2367" s="800" t="s">
        <v>9036</v>
      </c>
      <c r="G2367" s="800" t="s">
        <v>22990</v>
      </c>
      <c r="H2367" s="800" t="s">
        <v>10396</v>
      </c>
      <c r="I2367" s="800" t="s">
        <v>10396</v>
      </c>
      <c r="J2367" s="800" t="s">
        <v>10447</v>
      </c>
      <c r="K2367" s="800">
        <v>1</v>
      </c>
      <c r="L2367" s="802" t="s">
        <v>10398</v>
      </c>
      <c r="M2367" s="802" t="s">
        <v>22991</v>
      </c>
      <c r="N2367" s="802" t="s">
        <v>17339</v>
      </c>
      <c r="O2367" s="802" t="s">
        <v>22992</v>
      </c>
      <c r="P2367" s="807" t="s">
        <v>22993</v>
      </c>
    </row>
    <row r="2368" spans="1:16" s="341" customFormat="1" ht="25.5" customHeight="1">
      <c r="A2368" s="806" t="s">
        <v>110</v>
      </c>
      <c r="B2368" s="800" t="s">
        <v>110</v>
      </c>
      <c r="C2368" s="800" t="s">
        <v>8024</v>
      </c>
      <c r="D2368" s="800" t="s">
        <v>22994</v>
      </c>
      <c r="E2368" s="801">
        <v>43033</v>
      </c>
      <c r="F2368" s="800" t="s">
        <v>9036</v>
      </c>
      <c r="G2368" s="800" t="s">
        <v>22995</v>
      </c>
      <c r="H2368" s="800" t="s">
        <v>10531</v>
      </c>
      <c r="I2368" s="800" t="s">
        <v>10531</v>
      </c>
      <c r="J2368" s="800" t="s">
        <v>10447</v>
      </c>
      <c r="K2368" s="800">
        <v>1</v>
      </c>
      <c r="L2368" s="802" t="s">
        <v>10398</v>
      </c>
      <c r="M2368" s="802" t="s">
        <v>22996</v>
      </c>
      <c r="N2368" s="802" t="s">
        <v>22997</v>
      </c>
      <c r="O2368" s="802" t="s">
        <v>22998</v>
      </c>
      <c r="P2368" s="807" t="s">
        <v>22999</v>
      </c>
    </row>
    <row r="2369" spans="1:16" s="341" customFormat="1" ht="25.5" customHeight="1">
      <c r="A2369" s="806" t="s">
        <v>110</v>
      </c>
      <c r="B2369" s="800" t="s">
        <v>110</v>
      </c>
      <c r="C2369" s="800" t="s">
        <v>8024</v>
      </c>
      <c r="D2369" s="800" t="s">
        <v>23000</v>
      </c>
      <c r="E2369" s="801">
        <v>43033</v>
      </c>
      <c r="F2369" s="800" t="s">
        <v>23001</v>
      </c>
      <c r="G2369" s="800" t="s">
        <v>23002</v>
      </c>
      <c r="H2369" s="800" t="s">
        <v>10433</v>
      </c>
      <c r="I2369" s="800" t="s">
        <v>10433</v>
      </c>
      <c r="J2369" s="800" t="s">
        <v>10447</v>
      </c>
      <c r="K2369" s="800">
        <v>1</v>
      </c>
      <c r="L2369" s="802" t="s">
        <v>10398</v>
      </c>
      <c r="M2369" s="802" t="s">
        <v>23003</v>
      </c>
      <c r="N2369" s="802" t="s">
        <v>13121</v>
      </c>
      <c r="O2369" s="802" t="s">
        <v>23004</v>
      </c>
      <c r="P2369" s="807" t="s">
        <v>23005</v>
      </c>
    </row>
    <row r="2370" spans="1:16" s="341" customFormat="1" ht="15" customHeight="1">
      <c r="A2370" s="806" t="s">
        <v>110</v>
      </c>
      <c r="B2370" s="800" t="s">
        <v>110</v>
      </c>
      <c r="C2370" s="800" t="s">
        <v>8024</v>
      </c>
      <c r="D2370" s="800" t="s">
        <v>23006</v>
      </c>
      <c r="E2370" s="801">
        <v>43033</v>
      </c>
      <c r="F2370" s="800" t="s">
        <v>23007</v>
      </c>
      <c r="G2370" s="800" t="s">
        <v>23008</v>
      </c>
      <c r="H2370" s="800" t="s">
        <v>10404</v>
      </c>
      <c r="I2370" s="800" t="s">
        <v>10404</v>
      </c>
      <c r="J2370" s="800" t="s">
        <v>10447</v>
      </c>
      <c r="K2370" s="800">
        <v>1</v>
      </c>
      <c r="L2370" s="802" t="s">
        <v>10398</v>
      </c>
      <c r="M2370" s="802" t="s">
        <v>23009</v>
      </c>
      <c r="N2370" s="802" t="s">
        <v>23010</v>
      </c>
      <c r="O2370" s="802" t="s">
        <v>23011</v>
      </c>
      <c r="P2370" s="807" t="s">
        <v>23012</v>
      </c>
    </row>
    <row r="2371" spans="1:16" s="341" customFormat="1" ht="25.5" customHeight="1">
      <c r="A2371" s="806" t="s">
        <v>110</v>
      </c>
      <c r="B2371" s="800" t="s">
        <v>110</v>
      </c>
      <c r="C2371" s="800" t="s">
        <v>8024</v>
      </c>
      <c r="D2371" s="800" t="s">
        <v>23013</v>
      </c>
      <c r="E2371" s="801">
        <v>43041</v>
      </c>
      <c r="F2371" s="800" t="s">
        <v>23014</v>
      </c>
      <c r="G2371" s="800" t="s">
        <v>23015</v>
      </c>
      <c r="H2371" s="800" t="s">
        <v>10433</v>
      </c>
      <c r="I2371" s="800" t="s">
        <v>10433</v>
      </c>
      <c r="J2371" s="800" t="s">
        <v>10447</v>
      </c>
      <c r="K2371" s="800">
        <v>1</v>
      </c>
      <c r="L2371" s="802" t="s">
        <v>10398</v>
      </c>
      <c r="M2371" s="802" t="s">
        <v>23016</v>
      </c>
      <c r="N2371" s="802" t="s">
        <v>13166</v>
      </c>
      <c r="O2371" s="802" t="s">
        <v>23017</v>
      </c>
      <c r="P2371" s="807" t="s">
        <v>23018</v>
      </c>
    </row>
    <row r="2372" spans="1:16" s="341" customFormat="1" ht="38.25" customHeight="1">
      <c r="A2372" s="806" t="s">
        <v>110</v>
      </c>
      <c r="B2372" s="800" t="s">
        <v>110</v>
      </c>
      <c r="C2372" s="800" t="s">
        <v>8024</v>
      </c>
      <c r="D2372" s="800" t="s">
        <v>23019</v>
      </c>
      <c r="E2372" s="801">
        <v>43041</v>
      </c>
      <c r="F2372" s="800" t="s">
        <v>4431</v>
      </c>
      <c r="G2372" s="800" t="s">
        <v>23020</v>
      </c>
      <c r="H2372" s="800" t="s">
        <v>10404</v>
      </c>
      <c r="I2372" s="800" t="s">
        <v>10404</v>
      </c>
      <c r="J2372" s="800" t="s">
        <v>10447</v>
      </c>
      <c r="K2372" s="800">
        <v>1</v>
      </c>
      <c r="L2372" s="802" t="s">
        <v>10398</v>
      </c>
      <c r="M2372" s="802" t="s">
        <v>23021</v>
      </c>
      <c r="N2372" s="802" t="s">
        <v>22411</v>
      </c>
      <c r="O2372" s="802" t="s">
        <v>23022</v>
      </c>
      <c r="P2372" s="807" t="s">
        <v>23023</v>
      </c>
    </row>
    <row r="2373" spans="1:16" s="341" customFormat="1" ht="25.5" customHeight="1">
      <c r="A2373" s="806" t="s">
        <v>110</v>
      </c>
      <c r="B2373" s="800" t="s">
        <v>110</v>
      </c>
      <c r="C2373" s="800" t="s">
        <v>8024</v>
      </c>
      <c r="D2373" s="800" t="s">
        <v>23024</v>
      </c>
      <c r="E2373" s="801">
        <v>43041</v>
      </c>
      <c r="F2373" s="800" t="s">
        <v>4431</v>
      </c>
      <c r="G2373" s="800" t="s">
        <v>23025</v>
      </c>
      <c r="H2373" s="800" t="s">
        <v>10404</v>
      </c>
      <c r="I2373" s="800" t="s">
        <v>10404</v>
      </c>
      <c r="J2373" s="800" t="s">
        <v>10447</v>
      </c>
      <c r="K2373" s="800">
        <v>1</v>
      </c>
      <c r="L2373" s="802" t="s">
        <v>10398</v>
      </c>
      <c r="M2373" s="802" t="s">
        <v>23026</v>
      </c>
      <c r="N2373" s="802" t="s">
        <v>23027</v>
      </c>
      <c r="O2373" s="802" t="s">
        <v>23028</v>
      </c>
      <c r="P2373" s="807" t="s">
        <v>23029</v>
      </c>
    </row>
    <row r="2374" spans="1:16" s="341" customFormat="1" ht="25.5" customHeight="1">
      <c r="A2374" s="806" t="s">
        <v>110</v>
      </c>
      <c r="B2374" s="800" t="s">
        <v>110</v>
      </c>
      <c r="C2374" s="800" t="s">
        <v>8024</v>
      </c>
      <c r="D2374" s="800" t="s">
        <v>23030</v>
      </c>
      <c r="E2374" s="801">
        <v>43041</v>
      </c>
      <c r="F2374" s="800" t="s">
        <v>23031</v>
      </c>
      <c r="G2374" s="800" t="s">
        <v>23032</v>
      </c>
      <c r="H2374" s="800" t="s">
        <v>10404</v>
      </c>
      <c r="I2374" s="800" t="s">
        <v>10404</v>
      </c>
      <c r="J2374" s="800" t="s">
        <v>10447</v>
      </c>
      <c r="K2374" s="800">
        <v>1</v>
      </c>
      <c r="L2374" s="802" t="s">
        <v>10398</v>
      </c>
      <c r="M2374" s="802" t="s">
        <v>23033</v>
      </c>
      <c r="N2374" s="802" t="s">
        <v>21398</v>
      </c>
      <c r="O2374" s="802" t="s">
        <v>23034</v>
      </c>
      <c r="P2374" s="807" t="s">
        <v>23035</v>
      </c>
    </row>
    <row r="2375" spans="1:16" s="341" customFormat="1" ht="25.5" customHeight="1">
      <c r="A2375" s="806" t="s">
        <v>110</v>
      </c>
      <c r="B2375" s="800" t="s">
        <v>110</v>
      </c>
      <c r="C2375" s="800" t="s">
        <v>8024</v>
      </c>
      <c r="D2375" s="800" t="s">
        <v>23036</v>
      </c>
      <c r="E2375" s="801">
        <v>43041</v>
      </c>
      <c r="F2375" s="800" t="s">
        <v>22915</v>
      </c>
      <c r="G2375" s="800" t="s">
        <v>23037</v>
      </c>
      <c r="H2375" s="800" t="s">
        <v>10396</v>
      </c>
      <c r="I2375" s="800" t="s">
        <v>10396</v>
      </c>
      <c r="J2375" s="800" t="s">
        <v>10426</v>
      </c>
      <c r="K2375" s="800">
        <v>1</v>
      </c>
      <c r="L2375" s="802" t="s">
        <v>10398</v>
      </c>
      <c r="M2375" s="802" t="s">
        <v>23038</v>
      </c>
      <c r="N2375" s="802" t="s">
        <v>23039</v>
      </c>
      <c r="O2375" s="802" t="s">
        <v>23040</v>
      </c>
      <c r="P2375" s="807" t="s">
        <v>23041</v>
      </c>
    </row>
    <row r="2376" spans="1:16" s="341" customFormat="1" ht="25.5" customHeight="1">
      <c r="A2376" s="806" t="s">
        <v>110</v>
      </c>
      <c r="B2376" s="800" t="s">
        <v>110</v>
      </c>
      <c r="C2376" s="800" t="s">
        <v>8024</v>
      </c>
      <c r="D2376" s="800" t="s">
        <v>23042</v>
      </c>
      <c r="E2376" s="801">
        <v>43041</v>
      </c>
      <c r="F2376" s="800" t="s">
        <v>23043</v>
      </c>
      <c r="G2376" s="800" t="s">
        <v>23044</v>
      </c>
      <c r="H2376" s="800" t="s">
        <v>10396</v>
      </c>
      <c r="I2376" s="800" t="s">
        <v>10396</v>
      </c>
      <c r="J2376" s="800" t="s">
        <v>10447</v>
      </c>
      <c r="K2376" s="800">
        <v>1</v>
      </c>
      <c r="L2376" s="802" t="s">
        <v>10398</v>
      </c>
      <c r="M2376" s="802" t="s">
        <v>23045</v>
      </c>
      <c r="N2376" s="802" t="s">
        <v>23046</v>
      </c>
      <c r="O2376" s="802" t="s">
        <v>23047</v>
      </c>
      <c r="P2376" s="807" t="s">
        <v>23048</v>
      </c>
    </row>
    <row r="2377" spans="1:16" s="341" customFormat="1" ht="25.5" customHeight="1">
      <c r="A2377" s="806" t="s">
        <v>110</v>
      </c>
      <c r="B2377" s="800" t="s">
        <v>110</v>
      </c>
      <c r="C2377" s="800" t="s">
        <v>8024</v>
      </c>
      <c r="D2377" s="800" t="s">
        <v>23049</v>
      </c>
      <c r="E2377" s="801">
        <v>43041</v>
      </c>
      <c r="F2377" s="800" t="s">
        <v>23050</v>
      </c>
      <c r="G2377" s="800" t="s">
        <v>23051</v>
      </c>
      <c r="H2377" s="800" t="s">
        <v>10404</v>
      </c>
      <c r="I2377" s="800" t="s">
        <v>10404</v>
      </c>
      <c r="J2377" s="800" t="s">
        <v>10447</v>
      </c>
      <c r="K2377" s="800">
        <v>1</v>
      </c>
      <c r="L2377" s="802" t="s">
        <v>10398</v>
      </c>
      <c r="M2377" s="802" t="s">
        <v>23052</v>
      </c>
      <c r="N2377" s="802" t="s">
        <v>12992</v>
      </c>
      <c r="O2377" s="802" t="s">
        <v>23053</v>
      </c>
      <c r="P2377" s="807" t="s">
        <v>23054</v>
      </c>
    </row>
    <row r="2378" spans="1:16" s="341" customFormat="1" ht="25.5" customHeight="1">
      <c r="A2378" s="806" t="s">
        <v>110</v>
      </c>
      <c r="B2378" s="800" t="s">
        <v>110</v>
      </c>
      <c r="C2378" s="800" t="s">
        <v>8024</v>
      </c>
      <c r="D2378" s="800" t="s">
        <v>23055</v>
      </c>
      <c r="E2378" s="801">
        <v>43033</v>
      </c>
      <c r="F2378" s="800" t="s">
        <v>23056</v>
      </c>
      <c r="G2378" s="800" t="s">
        <v>23057</v>
      </c>
      <c r="H2378" s="800" t="s">
        <v>10433</v>
      </c>
      <c r="I2378" s="800" t="s">
        <v>10433</v>
      </c>
      <c r="J2378" s="800" t="s">
        <v>10447</v>
      </c>
      <c r="K2378" s="800">
        <v>1</v>
      </c>
      <c r="L2378" s="802" t="s">
        <v>10398</v>
      </c>
      <c r="M2378" s="802" t="s">
        <v>23058</v>
      </c>
      <c r="N2378" s="802" t="s">
        <v>13243</v>
      </c>
      <c r="O2378" s="802" t="s">
        <v>13244</v>
      </c>
      <c r="P2378" s="807" t="s">
        <v>23059</v>
      </c>
    </row>
    <row r="2379" spans="1:16" s="341" customFormat="1" ht="25.5" customHeight="1">
      <c r="A2379" s="806" t="s">
        <v>110</v>
      </c>
      <c r="B2379" s="800" t="s">
        <v>110</v>
      </c>
      <c r="C2379" s="800" t="s">
        <v>8024</v>
      </c>
      <c r="D2379" s="800" t="s">
        <v>23060</v>
      </c>
      <c r="E2379" s="801">
        <v>43033</v>
      </c>
      <c r="F2379" s="800" t="s">
        <v>23061</v>
      </c>
      <c r="G2379" s="800" t="s">
        <v>23062</v>
      </c>
      <c r="H2379" s="800" t="s">
        <v>10433</v>
      </c>
      <c r="I2379" s="800" t="s">
        <v>10433</v>
      </c>
      <c r="J2379" s="800" t="s">
        <v>10447</v>
      </c>
      <c r="K2379" s="800">
        <v>1</v>
      </c>
      <c r="L2379" s="802" t="s">
        <v>10398</v>
      </c>
      <c r="M2379" s="802" t="s">
        <v>23063</v>
      </c>
      <c r="N2379" s="802" t="s">
        <v>23064</v>
      </c>
      <c r="O2379" s="802" t="s">
        <v>23065</v>
      </c>
      <c r="P2379" s="807" t="s">
        <v>23066</v>
      </c>
    </row>
    <row r="2380" spans="1:16" s="341" customFormat="1" ht="25.5" customHeight="1">
      <c r="A2380" s="806" t="s">
        <v>110</v>
      </c>
      <c r="B2380" s="800" t="s">
        <v>110</v>
      </c>
      <c r="C2380" s="800" t="s">
        <v>4587</v>
      </c>
      <c r="D2380" s="800" t="s">
        <v>23067</v>
      </c>
      <c r="E2380" s="801">
        <v>43042</v>
      </c>
      <c r="F2380" s="800" t="s">
        <v>23068</v>
      </c>
      <c r="G2380" s="800" t="s">
        <v>23069</v>
      </c>
      <c r="H2380" s="800" t="s">
        <v>10404</v>
      </c>
      <c r="I2380" s="800" t="s">
        <v>10404</v>
      </c>
      <c r="J2380" s="800" t="s">
        <v>10447</v>
      </c>
      <c r="K2380" s="800">
        <v>2</v>
      </c>
      <c r="L2380" s="802" t="s">
        <v>10398</v>
      </c>
      <c r="M2380" s="802" t="s">
        <v>23070</v>
      </c>
      <c r="N2380" s="802" t="s">
        <v>16660</v>
      </c>
      <c r="O2380" s="802" t="s">
        <v>23071</v>
      </c>
      <c r="P2380" s="807" t="s">
        <v>23072</v>
      </c>
    </row>
    <row r="2381" spans="1:16" s="341" customFormat="1" ht="25.5" customHeight="1">
      <c r="A2381" s="806" t="s">
        <v>110</v>
      </c>
      <c r="B2381" s="800" t="s">
        <v>110</v>
      </c>
      <c r="C2381" s="800" t="s">
        <v>4587</v>
      </c>
      <c r="D2381" s="800" t="s">
        <v>23067</v>
      </c>
      <c r="E2381" s="801">
        <v>43042</v>
      </c>
      <c r="F2381" s="800" t="s">
        <v>23068</v>
      </c>
      <c r="G2381" s="800" t="s">
        <v>23069</v>
      </c>
      <c r="H2381" s="800" t="s">
        <v>10404</v>
      </c>
      <c r="I2381" s="800" t="s">
        <v>10404</v>
      </c>
      <c r="J2381" s="800" t="s">
        <v>10447</v>
      </c>
      <c r="K2381" s="800">
        <v>2</v>
      </c>
      <c r="L2381" s="802" t="s">
        <v>10398</v>
      </c>
      <c r="M2381" s="802" t="s">
        <v>23073</v>
      </c>
      <c r="N2381" s="802" t="s">
        <v>23074</v>
      </c>
      <c r="O2381" s="802" t="s">
        <v>23075</v>
      </c>
      <c r="P2381" s="807" t="s">
        <v>23072</v>
      </c>
    </row>
    <row r="2382" spans="1:16" s="341" customFormat="1" ht="25.5" customHeight="1">
      <c r="A2382" s="806" t="s">
        <v>110</v>
      </c>
      <c r="B2382" s="800" t="s">
        <v>110</v>
      </c>
      <c r="C2382" s="800" t="s">
        <v>4587</v>
      </c>
      <c r="D2382" s="800" t="s">
        <v>23076</v>
      </c>
      <c r="E2382" s="801">
        <v>43042</v>
      </c>
      <c r="F2382" s="800" t="s">
        <v>23068</v>
      </c>
      <c r="G2382" s="800" t="s">
        <v>23077</v>
      </c>
      <c r="H2382" s="800" t="s">
        <v>10531</v>
      </c>
      <c r="I2382" s="800" t="s">
        <v>10531</v>
      </c>
      <c r="J2382" s="800" t="s">
        <v>10447</v>
      </c>
      <c r="K2382" s="800">
        <v>1</v>
      </c>
      <c r="L2382" s="802" t="s">
        <v>11026</v>
      </c>
      <c r="M2382" s="802" t="s">
        <v>23078</v>
      </c>
      <c r="N2382" s="802" t="s">
        <v>10848</v>
      </c>
      <c r="O2382" s="802" t="s">
        <v>23079</v>
      </c>
      <c r="P2382" s="807" t="s">
        <v>23080</v>
      </c>
    </row>
    <row r="2383" spans="1:16" s="341" customFormat="1" ht="25.5" customHeight="1">
      <c r="A2383" s="806" t="s">
        <v>110</v>
      </c>
      <c r="B2383" s="800" t="s">
        <v>110</v>
      </c>
      <c r="C2383" s="800" t="s">
        <v>4587</v>
      </c>
      <c r="D2383" s="800" t="s">
        <v>23081</v>
      </c>
      <c r="E2383" s="801">
        <v>43042</v>
      </c>
      <c r="F2383" s="800" t="s">
        <v>23068</v>
      </c>
      <c r="G2383" s="800" t="s">
        <v>23082</v>
      </c>
      <c r="H2383" s="800" t="s">
        <v>10531</v>
      </c>
      <c r="I2383" s="800" t="s">
        <v>10531</v>
      </c>
      <c r="J2383" s="800" t="s">
        <v>10447</v>
      </c>
      <c r="K2383" s="800">
        <v>1</v>
      </c>
      <c r="L2383" s="802" t="s">
        <v>10398</v>
      </c>
      <c r="M2383" s="802" t="s">
        <v>23083</v>
      </c>
      <c r="N2383" s="802" t="s">
        <v>23084</v>
      </c>
      <c r="O2383" s="802" t="s">
        <v>23085</v>
      </c>
      <c r="P2383" s="807" t="s">
        <v>23086</v>
      </c>
    </row>
    <row r="2384" spans="1:16" s="341" customFormat="1" ht="25.5" customHeight="1">
      <c r="A2384" s="806" t="s">
        <v>110</v>
      </c>
      <c r="B2384" s="800" t="s">
        <v>110</v>
      </c>
      <c r="C2384" s="800" t="s">
        <v>4587</v>
      </c>
      <c r="D2384" s="800" t="s">
        <v>23087</v>
      </c>
      <c r="E2384" s="801">
        <v>43042</v>
      </c>
      <c r="F2384" s="800" t="s">
        <v>23068</v>
      </c>
      <c r="G2384" s="800" t="s">
        <v>23088</v>
      </c>
      <c r="H2384" s="800" t="s">
        <v>10396</v>
      </c>
      <c r="I2384" s="800" t="s">
        <v>10396</v>
      </c>
      <c r="J2384" s="800" t="s">
        <v>10447</v>
      </c>
      <c r="K2384" s="800">
        <v>1</v>
      </c>
      <c r="L2384" s="802" t="s">
        <v>10398</v>
      </c>
      <c r="M2384" s="802" t="s">
        <v>23089</v>
      </c>
      <c r="N2384" s="802" t="s">
        <v>23090</v>
      </c>
      <c r="O2384" s="802" t="s">
        <v>23091</v>
      </c>
      <c r="P2384" s="807" t="s">
        <v>23092</v>
      </c>
    </row>
    <row r="2385" spans="1:16" s="341" customFormat="1" ht="25.5" customHeight="1">
      <c r="A2385" s="806" t="s">
        <v>110</v>
      </c>
      <c r="B2385" s="800" t="s">
        <v>110</v>
      </c>
      <c r="C2385" s="800" t="s">
        <v>4587</v>
      </c>
      <c r="D2385" s="800" t="s">
        <v>23093</v>
      </c>
      <c r="E2385" s="801">
        <v>43042</v>
      </c>
      <c r="F2385" s="800" t="s">
        <v>23068</v>
      </c>
      <c r="G2385" s="800" t="s">
        <v>23088</v>
      </c>
      <c r="H2385" s="800" t="s">
        <v>10531</v>
      </c>
      <c r="I2385" s="800" t="s">
        <v>10531</v>
      </c>
      <c r="J2385" s="800" t="s">
        <v>10447</v>
      </c>
      <c r="K2385" s="800">
        <v>1</v>
      </c>
      <c r="L2385" s="802" t="s">
        <v>10398</v>
      </c>
      <c r="M2385" s="802" t="s">
        <v>23094</v>
      </c>
      <c r="N2385" s="802" t="s">
        <v>23095</v>
      </c>
      <c r="O2385" s="802" t="s">
        <v>23096</v>
      </c>
      <c r="P2385" s="807" t="s">
        <v>23097</v>
      </c>
    </row>
    <row r="2386" spans="1:16" s="341" customFormat="1" ht="25.5" customHeight="1">
      <c r="A2386" s="806" t="s">
        <v>110</v>
      </c>
      <c r="B2386" s="800" t="s">
        <v>110</v>
      </c>
      <c r="C2386" s="800" t="s">
        <v>4587</v>
      </c>
      <c r="D2386" s="800" t="s">
        <v>23098</v>
      </c>
      <c r="E2386" s="801">
        <v>43042</v>
      </c>
      <c r="F2386" s="800" t="s">
        <v>23068</v>
      </c>
      <c r="G2386" s="800" t="s">
        <v>23099</v>
      </c>
      <c r="H2386" s="800" t="s">
        <v>10531</v>
      </c>
      <c r="I2386" s="800" t="s">
        <v>10531</v>
      </c>
      <c r="J2386" s="800" t="s">
        <v>10447</v>
      </c>
      <c r="K2386" s="800">
        <v>1</v>
      </c>
      <c r="L2386" s="802" t="s">
        <v>11026</v>
      </c>
      <c r="M2386" s="802" t="s">
        <v>23100</v>
      </c>
      <c r="N2386" s="802" t="s">
        <v>23101</v>
      </c>
      <c r="O2386" s="802" t="s">
        <v>23102</v>
      </c>
      <c r="P2386" s="807" t="s">
        <v>23103</v>
      </c>
    </row>
    <row r="2387" spans="1:16" s="341" customFormat="1" ht="25.5" customHeight="1">
      <c r="A2387" s="806" t="s">
        <v>110</v>
      </c>
      <c r="B2387" s="800" t="s">
        <v>110</v>
      </c>
      <c r="C2387" s="800" t="s">
        <v>4587</v>
      </c>
      <c r="D2387" s="800" t="s">
        <v>23104</v>
      </c>
      <c r="E2387" s="801">
        <v>43042</v>
      </c>
      <c r="F2387" s="800" t="s">
        <v>23068</v>
      </c>
      <c r="G2387" s="800" t="s">
        <v>23105</v>
      </c>
      <c r="H2387" s="800" t="s">
        <v>10531</v>
      </c>
      <c r="I2387" s="800" t="s">
        <v>10531</v>
      </c>
      <c r="J2387" s="800" t="s">
        <v>10447</v>
      </c>
      <c r="K2387" s="800">
        <v>1</v>
      </c>
      <c r="L2387" s="802" t="s">
        <v>12826</v>
      </c>
      <c r="M2387" s="802" t="s">
        <v>32</v>
      </c>
      <c r="N2387" s="802" t="s">
        <v>23106</v>
      </c>
      <c r="O2387" s="802" t="s">
        <v>23107</v>
      </c>
      <c r="P2387" s="807" t="s">
        <v>23108</v>
      </c>
    </row>
    <row r="2388" spans="1:16" s="341" customFormat="1" ht="25.5" customHeight="1">
      <c r="A2388" s="806" t="s">
        <v>110</v>
      </c>
      <c r="B2388" s="800" t="s">
        <v>110</v>
      </c>
      <c r="C2388" s="800" t="s">
        <v>4587</v>
      </c>
      <c r="D2388" s="800" t="s">
        <v>23109</v>
      </c>
      <c r="E2388" s="801">
        <v>43042</v>
      </c>
      <c r="F2388" s="800" t="s">
        <v>23068</v>
      </c>
      <c r="G2388" s="800" t="s">
        <v>23110</v>
      </c>
      <c r="H2388" s="800" t="s">
        <v>10531</v>
      </c>
      <c r="I2388" s="800" t="s">
        <v>10531</v>
      </c>
      <c r="J2388" s="800" t="s">
        <v>10447</v>
      </c>
      <c r="K2388" s="800">
        <v>1</v>
      </c>
      <c r="L2388" s="802" t="s">
        <v>11026</v>
      </c>
      <c r="M2388" s="802" t="s">
        <v>23111</v>
      </c>
      <c r="N2388" s="802" t="s">
        <v>18754</v>
      </c>
      <c r="O2388" s="802" t="s">
        <v>23112</v>
      </c>
      <c r="P2388" s="807" t="s">
        <v>23113</v>
      </c>
    </row>
    <row r="2389" spans="1:16" s="341" customFormat="1" ht="25.5" customHeight="1">
      <c r="A2389" s="806" t="s">
        <v>110</v>
      </c>
      <c r="B2389" s="800" t="s">
        <v>110</v>
      </c>
      <c r="C2389" s="800" t="s">
        <v>4587</v>
      </c>
      <c r="D2389" s="800" t="s">
        <v>23114</v>
      </c>
      <c r="E2389" s="801">
        <v>43042</v>
      </c>
      <c r="F2389" s="800" t="s">
        <v>23068</v>
      </c>
      <c r="G2389" s="800" t="s">
        <v>23110</v>
      </c>
      <c r="H2389" s="800" t="s">
        <v>10404</v>
      </c>
      <c r="I2389" s="800" t="s">
        <v>10404</v>
      </c>
      <c r="J2389" s="800" t="s">
        <v>10447</v>
      </c>
      <c r="K2389" s="800">
        <v>1</v>
      </c>
      <c r="L2389" s="802" t="s">
        <v>11026</v>
      </c>
      <c r="M2389" s="802" t="s">
        <v>23115</v>
      </c>
      <c r="N2389" s="802" t="s">
        <v>23116</v>
      </c>
      <c r="O2389" s="802" t="s">
        <v>23117</v>
      </c>
      <c r="P2389" s="807" t="s">
        <v>23118</v>
      </c>
    </row>
    <row r="2390" spans="1:16" s="341" customFormat="1" ht="25.5" customHeight="1">
      <c r="A2390" s="806" t="s">
        <v>110</v>
      </c>
      <c r="B2390" s="800" t="s">
        <v>110</v>
      </c>
      <c r="C2390" s="800" t="s">
        <v>4587</v>
      </c>
      <c r="D2390" s="800" t="s">
        <v>23119</v>
      </c>
      <c r="E2390" s="801">
        <v>43042</v>
      </c>
      <c r="F2390" s="800" t="s">
        <v>23068</v>
      </c>
      <c r="G2390" s="800" t="s">
        <v>23120</v>
      </c>
      <c r="H2390" s="800" t="s">
        <v>10531</v>
      </c>
      <c r="I2390" s="800" t="s">
        <v>10531</v>
      </c>
      <c r="J2390" s="800" t="s">
        <v>10447</v>
      </c>
      <c r="K2390" s="800">
        <v>1</v>
      </c>
      <c r="L2390" s="802" t="s">
        <v>11026</v>
      </c>
      <c r="M2390" s="802" t="s">
        <v>23121</v>
      </c>
      <c r="N2390" s="802" t="s">
        <v>23122</v>
      </c>
      <c r="O2390" s="802" t="s">
        <v>23123</v>
      </c>
      <c r="P2390" s="807" t="s">
        <v>23124</v>
      </c>
    </row>
    <row r="2391" spans="1:16" s="341" customFormat="1" ht="25.5" customHeight="1">
      <c r="A2391" s="806" t="s">
        <v>110</v>
      </c>
      <c r="B2391" s="800" t="s">
        <v>110</v>
      </c>
      <c r="C2391" s="800" t="s">
        <v>4587</v>
      </c>
      <c r="D2391" s="800" t="s">
        <v>23125</v>
      </c>
      <c r="E2391" s="801">
        <v>43042</v>
      </c>
      <c r="F2391" s="800" t="s">
        <v>23068</v>
      </c>
      <c r="G2391" s="800" t="s">
        <v>23126</v>
      </c>
      <c r="H2391" s="800" t="s">
        <v>10531</v>
      </c>
      <c r="I2391" s="800" t="s">
        <v>10531</v>
      </c>
      <c r="J2391" s="800" t="s">
        <v>10447</v>
      </c>
      <c r="K2391" s="800">
        <v>1</v>
      </c>
      <c r="L2391" s="802" t="s">
        <v>10398</v>
      </c>
      <c r="M2391" s="802" t="s">
        <v>23127</v>
      </c>
      <c r="N2391" s="802" t="s">
        <v>12038</v>
      </c>
      <c r="O2391" s="802" t="s">
        <v>23128</v>
      </c>
      <c r="P2391" s="807" t="s">
        <v>23129</v>
      </c>
    </row>
    <row r="2392" spans="1:16" s="341" customFormat="1" ht="25.5" customHeight="1">
      <c r="A2392" s="806" t="s">
        <v>110</v>
      </c>
      <c r="B2392" s="800" t="s">
        <v>110</v>
      </c>
      <c r="C2392" s="800" t="s">
        <v>4587</v>
      </c>
      <c r="D2392" s="800" t="s">
        <v>23130</v>
      </c>
      <c r="E2392" s="801">
        <v>43042</v>
      </c>
      <c r="F2392" s="800" t="s">
        <v>23068</v>
      </c>
      <c r="G2392" s="800" t="s">
        <v>23131</v>
      </c>
      <c r="H2392" s="800" t="s">
        <v>10531</v>
      </c>
      <c r="I2392" s="800" t="s">
        <v>10531</v>
      </c>
      <c r="J2392" s="800" t="s">
        <v>10447</v>
      </c>
      <c r="K2392" s="800">
        <v>1</v>
      </c>
      <c r="L2392" s="802" t="s">
        <v>10398</v>
      </c>
      <c r="M2392" s="802" t="s">
        <v>23132</v>
      </c>
      <c r="N2392" s="802" t="s">
        <v>13730</v>
      </c>
      <c r="O2392" s="802" t="s">
        <v>23133</v>
      </c>
      <c r="P2392" s="807" t="s">
        <v>23134</v>
      </c>
    </row>
    <row r="2393" spans="1:16" s="341" customFormat="1" ht="25.5" customHeight="1">
      <c r="A2393" s="806" t="s">
        <v>110</v>
      </c>
      <c r="B2393" s="800" t="s">
        <v>110</v>
      </c>
      <c r="C2393" s="800" t="s">
        <v>4587</v>
      </c>
      <c r="D2393" s="800" t="s">
        <v>23135</v>
      </c>
      <c r="E2393" s="801">
        <v>43042</v>
      </c>
      <c r="F2393" s="800" t="s">
        <v>23068</v>
      </c>
      <c r="G2393" s="800" t="s">
        <v>23126</v>
      </c>
      <c r="H2393" s="800" t="s">
        <v>10531</v>
      </c>
      <c r="I2393" s="800" t="s">
        <v>10531</v>
      </c>
      <c r="J2393" s="800" t="s">
        <v>10447</v>
      </c>
      <c r="K2393" s="800">
        <v>1</v>
      </c>
      <c r="L2393" s="802" t="s">
        <v>12826</v>
      </c>
      <c r="M2393" s="802" t="s">
        <v>32</v>
      </c>
      <c r="N2393" s="802" t="s">
        <v>12406</v>
      </c>
      <c r="O2393" s="802" t="s">
        <v>23136</v>
      </c>
      <c r="P2393" s="807" t="s">
        <v>23137</v>
      </c>
    </row>
    <row r="2394" spans="1:16" s="341" customFormat="1" ht="15" customHeight="1">
      <c r="A2394" s="806" t="s">
        <v>110</v>
      </c>
      <c r="B2394" s="800" t="s">
        <v>110</v>
      </c>
      <c r="C2394" s="800" t="s">
        <v>4587</v>
      </c>
      <c r="D2394" s="800" t="s">
        <v>23138</v>
      </c>
      <c r="E2394" s="801">
        <v>43042</v>
      </c>
      <c r="F2394" s="800" t="s">
        <v>23068</v>
      </c>
      <c r="G2394" s="800" t="s">
        <v>23139</v>
      </c>
      <c r="H2394" s="800" t="s">
        <v>10531</v>
      </c>
      <c r="I2394" s="800" t="s">
        <v>10531</v>
      </c>
      <c r="J2394" s="800" t="s">
        <v>10447</v>
      </c>
      <c r="K2394" s="800">
        <v>1</v>
      </c>
      <c r="L2394" s="802" t="s">
        <v>11026</v>
      </c>
      <c r="M2394" s="802" t="s">
        <v>23140</v>
      </c>
      <c r="N2394" s="802" t="s">
        <v>15411</v>
      </c>
      <c r="O2394" s="802" t="s">
        <v>23102</v>
      </c>
      <c r="P2394" s="807" t="s">
        <v>23141</v>
      </c>
    </row>
    <row r="2395" spans="1:16" s="341" customFormat="1" ht="25.5" customHeight="1">
      <c r="A2395" s="806" t="s">
        <v>110</v>
      </c>
      <c r="B2395" s="800" t="s">
        <v>110</v>
      </c>
      <c r="C2395" s="800" t="s">
        <v>4587</v>
      </c>
      <c r="D2395" s="800" t="s">
        <v>23142</v>
      </c>
      <c r="E2395" s="801">
        <v>43042</v>
      </c>
      <c r="F2395" s="800" t="s">
        <v>23068</v>
      </c>
      <c r="G2395" s="800" t="s">
        <v>23139</v>
      </c>
      <c r="H2395" s="800" t="s">
        <v>10531</v>
      </c>
      <c r="I2395" s="800" t="s">
        <v>10531</v>
      </c>
      <c r="J2395" s="800" t="s">
        <v>10447</v>
      </c>
      <c r="K2395" s="800">
        <v>1</v>
      </c>
      <c r="L2395" s="802" t="s">
        <v>10398</v>
      </c>
      <c r="M2395" s="802" t="s">
        <v>23143</v>
      </c>
      <c r="N2395" s="802" t="s">
        <v>23144</v>
      </c>
      <c r="O2395" s="802" t="s">
        <v>23145</v>
      </c>
      <c r="P2395" s="807" t="s">
        <v>23146</v>
      </c>
    </row>
    <row r="2396" spans="1:16" s="341" customFormat="1" ht="25.5" customHeight="1">
      <c r="A2396" s="806" t="s">
        <v>110</v>
      </c>
      <c r="B2396" s="800" t="s">
        <v>110</v>
      </c>
      <c r="C2396" s="800" t="s">
        <v>4587</v>
      </c>
      <c r="D2396" s="800" t="s">
        <v>23147</v>
      </c>
      <c r="E2396" s="801">
        <v>43042</v>
      </c>
      <c r="F2396" s="800" t="s">
        <v>23148</v>
      </c>
      <c r="G2396" s="800" t="s">
        <v>32</v>
      </c>
      <c r="H2396" s="800" t="s">
        <v>10404</v>
      </c>
      <c r="I2396" s="800" t="s">
        <v>10404</v>
      </c>
      <c r="J2396" s="800" t="s">
        <v>10447</v>
      </c>
      <c r="K2396" s="800">
        <v>1</v>
      </c>
      <c r="L2396" s="802" t="s">
        <v>10398</v>
      </c>
      <c r="M2396" s="802" t="s">
        <v>23149</v>
      </c>
      <c r="N2396" s="802" t="s">
        <v>23150</v>
      </c>
      <c r="O2396" s="802" t="s">
        <v>23151</v>
      </c>
      <c r="P2396" s="807" t="s">
        <v>23152</v>
      </c>
    </row>
    <row r="2397" spans="1:16" s="341" customFormat="1" ht="25.5" customHeight="1">
      <c r="A2397" s="806" t="s">
        <v>110</v>
      </c>
      <c r="B2397" s="800" t="s">
        <v>110</v>
      </c>
      <c r="C2397" s="800" t="s">
        <v>4587</v>
      </c>
      <c r="D2397" s="800" t="s">
        <v>23153</v>
      </c>
      <c r="E2397" s="801">
        <v>43042</v>
      </c>
      <c r="F2397" s="800" t="s">
        <v>23148</v>
      </c>
      <c r="G2397" s="800" t="s">
        <v>23154</v>
      </c>
      <c r="H2397" s="800" t="s">
        <v>10404</v>
      </c>
      <c r="I2397" s="800" t="s">
        <v>10404</v>
      </c>
      <c r="J2397" s="800" t="s">
        <v>10447</v>
      </c>
      <c r="K2397" s="800">
        <v>1</v>
      </c>
      <c r="L2397" s="802" t="s">
        <v>10398</v>
      </c>
      <c r="M2397" s="802" t="s">
        <v>23155</v>
      </c>
      <c r="N2397" s="802" t="s">
        <v>10855</v>
      </c>
      <c r="O2397" s="802" t="s">
        <v>23091</v>
      </c>
      <c r="P2397" s="807" t="s">
        <v>23156</v>
      </c>
    </row>
    <row r="2398" spans="1:16" s="341" customFormat="1" ht="25.5" customHeight="1">
      <c r="A2398" s="806" t="s">
        <v>110</v>
      </c>
      <c r="B2398" s="800" t="s">
        <v>110</v>
      </c>
      <c r="C2398" s="800" t="s">
        <v>4587</v>
      </c>
      <c r="D2398" s="800" t="s">
        <v>23157</v>
      </c>
      <c r="E2398" s="801">
        <v>43042</v>
      </c>
      <c r="F2398" s="800" t="s">
        <v>23148</v>
      </c>
      <c r="G2398" s="800" t="s">
        <v>23154</v>
      </c>
      <c r="H2398" s="800" t="s">
        <v>10404</v>
      </c>
      <c r="I2398" s="800" t="s">
        <v>10404</v>
      </c>
      <c r="J2398" s="800" t="s">
        <v>10447</v>
      </c>
      <c r="K2398" s="800">
        <v>1</v>
      </c>
      <c r="L2398" s="802" t="s">
        <v>11026</v>
      </c>
      <c r="M2398" s="802" t="s">
        <v>23158</v>
      </c>
      <c r="N2398" s="802" t="s">
        <v>13777</v>
      </c>
      <c r="O2398" s="802" t="s">
        <v>23159</v>
      </c>
      <c r="P2398" s="807" t="s">
        <v>23160</v>
      </c>
    </row>
    <row r="2399" spans="1:16" s="341" customFormat="1" ht="25.5" customHeight="1">
      <c r="A2399" s="806" t="s">
        <v>110</v>
      </c>
      <c r="B2399" s="800" t="s">
        <v>110</v>
      </c>
      <c r="C2399" s="800" t="s">
        <v>4587</v>
      </c>
      <c r="D2399" s="800" t="s">
        <v>23161</v>
      </c>
      <c r="E2399" s="801">
        <v>43042</v>
      </c>
      <c r="F2399" s="800" t="s">
        <v>23162</v>
      </c>
      <c r="G2399" s="800" t="s">
        <v>23154</v>
      </c>
      <c r="H2399" s="800" t="s">
        <v>10404</v>
      </c>
      <c r="I2399" s="800" t="s">
        <v>10404</v>
      </c>
      <c r="J2399" s="800" t="s">
        <v>10447</v>
      </c>
      <c r="K2399" s="800">
        <v>1</v>
      </c>
      <c r="L2399" s="802" t="s">
        <v>11026</v>
      </c>
      <c r="M2399" s="802" t="s">
        <v>23163</v>
      </c>
      <c r="N2399" s="802" t="s">
        <v>18472</v>
      </c>
      <c r="O2399" s="802" t="s">
        <v>23164</v>
      </c>
      <c r="P2399" s="807" t="s">
        <v>23165</v>
      </c>
    </row>
    <row r="2400" spans="1:16" s="341" customFormat="1" ht="25.5" customHeight="1">
      <c r="A2400" s="806" t="s">
        <v>110</v>
      </c>
      <c r="B2400" s="800" t="s">
        <v>110</v>
      </c>
      <c r="C2400" s="800" t="s">
        <v>4587</v>
      </c>
      <c r="D2400" s="800" t="s">
        <v>23166</v>
      </c>
      <c r="E2400" s="801">
        <v>43042</v>
      </c>
      <c r="F2400" s="800" t="s">
        <v>23148</v>
      </c>
      <c r="G2400" s="800" t="s">
        <v>23167</v>
      </c>
      <c r="H2400" s="800" t="s">
        <v>10404</v>
      </c>
      <c r="I2400" s="800" t="s">
        <v>10404</v>
      </c>
      <c r="J2400" s="800" t="s">
        <v>10447</v>
      </c>
      <c r="K2400" s="800">
        <v>1</v>
      </c>
      <c r="L2400" s="802" t="s">
        <v>10398</v>
      </c>
      <c r="M2400" s="802" t="s">
        <v>23168</v>
      </c>
      <c r="N2400" s="802" t="s">
        <v>23169</v>
      </c>
      <c r="O2400" s="802" t="s">
        <v>23170</v>
      </c>
      <c r="P2400" s="807" t="s">
        <v>23171</v>
      </c>
    </row>
    <row r="2401" spans="1:16" s="341" customFormat="1" ht="25.5" customHeight="1">
      <c r="A2401" s="806" t="s">
        <v>110</v>
      </c>
      <c r="B2401" s="800" t="s">
        <v>110</v>
      </c>
      <c r="C2401" s="800" t="s">
        <v>4587</v>
      </c>
      <c r="D2401" s="800" t="s">
        <v>23172</v>
      </c>
      <c r="E2401" s="801">
        <v>43042</v>
      </c>
      <c r="F2401" s="800" t="s">
        <v>23148</v>
      </c>
      <c r="G2401" s="800" t="s">
        <v>23173</v>
      </c>
      <c r="H2401" s="800" t="s">
        <v>10404</v>
      </c>
      <c r="I2401" s="800" t="s">
        <v>10404</v>
      </c>
      <c r="J2401" s="800" t="s">
        <v>10447</v>
      </c>
      <c r="K2401" s="800">
        <v>1</v>
      </c>
      <c r="L2401" s="802" t="s">
        <v>11026</v>
      </c>
      <c r="M2401" s="802" t="s">
        <v>23174</v>
      </c>
      <c r="N2401" s="802" t="s">
        <v>23175</v>
      </c>
      <c r="O2401" s="802" t="s">
        <v>15807</v>
      </c>
      <c r="P2401" s="807" t="s">
        <v>23176</v>
      </c>
    </row>
    <row r="2402" spans="1:16" s="341" customFormat="1" ht="25.5" customHeight="1">
      <c r="A2402" s="806" t="s">
        <v>110</v>
      </c>
      <c r="B2402" s="800" t="s">
        <v>110</v>
      </c>
      <c r="C2402" s="800" t="s">
        <v>4587</v>
      </c>
      <c r="D2402" s="800" t="s">
        <v>23177</v>
      </c>
      <c r="E2402" s="801">
        <v>43042</v>
      </c>
      <c r="F2402" s="800" t="s">
        <v>23148</v>
      </c>
      <c r="G2402" s="800" t="s">
        <v>23173</v>
      </c>
      <c r="H2402" s="800" t="s">
        <v>10404</v>
      </c>
      <c r="I2402" s="800" t="s">
        <v>10404</v>
      </c>
      <c r="J2402" s="800" t="s">
        <v>10447</v>
      </c>
      <c r="K2402" s="800">
        <v>1</v>
      </c>
      <c r="L2402" s="802" t="s">
        <v>10398</v>
      </c>
      <c r="M2402" s="802" t="s">
        <v>23178</v>
      </c>
      <c r="N2402" s="802" t="s">
        <v>23179</v>
      </c>
      <c r="O2402" s="802" t="s">
        <v>23180</v>
      </c>
      <c r="P2402" s="807" t="s">
        <v>23181</v>
      </c>
    </row>
    <row r="2403" spans="1:16" s="341" customFormat="1" ht="25.5" customHeight="1">
      <c r="A2403" s="806" t="s">
        <v>110</v>
      </c>
      <c r="B2403" s="800" t="s">
        <v>110</v>
      </c>
      <c r="C2403" s="800" t="s">
        <v>4587</v>
      </c>
      <c r="D2403" s="800" t="s">
        <v>23182</v>
      </c>
      <c r="E2403" s="801">
        <v>43042</v>
      </c>
      <c r="F2403" s="800" t="s">
        <v>23148</v>
      </c>
      <c r="G2403" s="800" t="s">
        <v>23154</v>
      </c>
      <c r="H2403" s="800" t="s">
        <v>10404</v>
      </c>
      <c r="I2403" s="800" t="s">
        <v>10404</v>
      </c>
      <c r="J2403" s="800" t="s">
        <v>10447</v>
      </c>
      <c r="K2403" s="800">
        <v>1</v>
      </c>
      <c r="L2403" s="802" t="s">
        <v>10398</v>
      </c>
      <c r="M2403" s="802" t="s">
        <v>23183</v>
      </c>
      <c r="N2403" s="802" t="s">
        <v>23184</v>
      </c>
      <c r="O2403" s="802" t="s">
        <v>23185</v>
      </c>
      <c r="P2403" s="807" t="s">
        <v>23186</v>
      </c>
    </row>
    <row r="2404" spans="1:16" s="341" customFormat="1" ht="25.5" customHeight="1">
      <c r="A2404" s="806" t="s">
        <v>110</v>
      </c>
      <c r="B2404" s="800" t="s">
        <v>110</v>
      </c>
      <c r="C2404" s="800" t="s">
        <v>4587</v>
      </c>
      <c r="D2404" s="800" t="s">
        <v>23187</v>
      </c>
      <c r="E2404" s="801">
        <v>43042</v>
      </c>
      <c r="F2404" s="800" t="s">
        <v>23148</v>
      </c>
      <c r="G2404" s="800" t="s">
        <v>23188</v>
      </c>
      <c r="H2404" s="800" t="s">
        <v>10404</v>
      </c>
      <c r="I2404" s="800" t="s">
        <v>10404</v>
      </c>
      <c r="J2404" s="800" t="s">
        <v>10447</v>
      </c>
      <c r="K2404" s="800">
        <v>1</v>
      </c>
      <c r="L2404" s="802" t="s">
        <v>11026</v>
      </c>
      <c r="M2404" s="802" t="s">
        <v>23189</v>
      </c>
      <c r="N2404" s="802" t="s">
        <v>10435</v>
      </c>
      <c r="O2404" s="802" t="s">
        <v>23164</v>
      </c>
      <c r="P2404" s="807" t="s">
        <v>23190</v>
      </c>
    </row>
    <row r="2405" spans="1:16" s="341" customFormat="1" ht="25.5" customHeight="1">
      <c r="A2405" s="806" t="s">
        <v>110</v>
      </c>
      <c r="B2405" s="800" t="s">
        <v>110</v>
      </c>
      <c r="C2405" s="800" t="s">
        <v>4587</v>
      </c>
      <c r="D2405" s="800" t="s">
        <v>23191</v>
      </c>
      <c r="E2405" s="801">
        <v>43042</v>
      </c>
      <c r="F2405" s="800" t="s">
        <v>23148</v>
      </c>
      <c r="G2405" s="800" t="s">
        <v>23154</v>
      </c>
      <c r="H2405" s="800" t="s">
        <v>10404</v>
      </c>
      <c r="I2405" s="800" t="s">
        <v>10404</v>
      </c>
      <c r="J2405" s="800" t="s">
        <v>10447</v>
      </c>
      <c r="K2405" s="800">
        <v>1</v>
      </c>
      <c r="L2405" s="802" t="s">
        <v>10398</v>
      </c>
      <c r="M2405" s="802" t="s">
        <v>23192</v>
      </c>
      <c r="N2405" s="802" t="s">
        <v>10972</v>
      </c>
      <c r="O2405" s="802" t="s">
        <v>23193</v>
      </c>
      <c r="P2405" s="807" t="s">
        <v>23194</v>
      </c>
    </row>
    <row r="2406" spans="1:16" s="341" customFormat="1" ht="25.5" customHeight="1">
      <c r="A2406" s="806" t="s">
        <v>110</v>
      </c>
      <c r="B2406" s="800" t="s">
        <v>110</v>
      </c>
      <c r="C2406" s="800" t="s">
        <v>4587</v>
      </c>
      <c r="D2406" s="800" t="s">
        <v>23195</v>
      </c>
      <c r="E2406" s="801">
        <v>43042</v>
      </c>
      <c r="F2406" s="800" t="s">
        <v>23148</v>
      </c>
      <c r="G2406" s="800" t="s">
        <v>23196</v>
      </c>
      <c r="H2406" s="800" t="s">
        <v>10404</v>
      </c>
      <c r="I2406" s="800" t="s">
        <v>10404</v>
      </c>
      <c r="J2406" s="800" t="s">
        <v>10447</v>
      </c>
      <c r="K2406" s="800">
        <v>1</v>
      </c>
      <c r="L2406" s="802" t="s">
        <v>10398</v>
      </c>
      <c r="M2406" s="802" t="s">
        <v>23197</v>
      </c>
      <c r="N2406" s="802" t="s">
        <v>11739</v>
      </c>
      <c r="O2406" s="802" t="s">
        <v>23198</v>
      </c>
      <c r="P2406" s="807" t="s">
        <v>23199</v>
      </c>
    </row>
    <row r="2407" spans="1:16" s="341" customFormat="1" ht="25.5" customHeight="1">
      <c r="A2407" s="806" t="s">
        <v>110</v>
      </c>
      <c r="B2407" s="800" t="s">
        <v>110</v>
      </c>
      <c r="C2407" s="800" t="s">
        <v>4587</v>
      </c>
      <c r="D2407" s="800" t="s">
        <v>23200</v>
      </c>
      <c r="E2407" s="801">
        <v>43042</v>
      </c>
      <c r="F2407" s="800" t="s">
        <v>23148</v>
      </c>
      <c r="G2407" s="800" t="s">
        <v>23196</v>
      </c>
      <c r="H2407" s="800" t="s">
        <v>10404</v>
      </c>
      <c r="I2407" s="800" t="s">
        <v>10404</v>
      </c>
      <c r="J2407" s="800" t="s">
        <v>10447</v>
      </c>
      <c r="K2407" s="800">
        <v>1</v>
      </c>
      <c r="L2407" s="802" t="s">
        <v>10398</v>
      </c>
      <c r="M2407" s="802" t="s">
        <v>23201</v>
      </c>
      <c r="N2407" s="802" t="s">
        <v>23202</v>
      </c>
      <c r="O2407" s="802" t="s">
        <v>23203</v>
      </c>
      <c r="P2407" s="807" t="s">
        <v>23204</v>
      </c>
    </row>
    <row r="2408" spans="1:16" s="341" customFormat="1" ht="25.5" customHeight="1">
      <c r="A2408" s="806" t="s">
        <v>110</v>
      </c>
      <c r="B2408" s="800" t="s">
        <v>110</v>
      </c>
      <c r="C2408" s="800" t="s">
        <v>4587</v>
      </c>
      <c r="D2408" s="800" t="s">
        <v>23205</v>
      </c>
      <c r="E2408" s="801">
        <v>43042</v>
      </c>
      <c r="F2408" s="800" t="s">
        <v>23148</v>
      </c>
      <c r="G2408" s="800" t="s">
        <v>23196</v>
      </c>
      <c r="H2408" s="800" t="s">
        <v>10404</v>
      </c>
      <c r="I2408" s="800" t="s">
        <v>10404</v>
      </c>
      <c r="J2408" s="800" t="s">
        <v>10447</v>
      </c>
      <c r="K2408" s="800">
        <v>1</v>
      </c>
      <c r="L2408" s="802" t="s">
        <v>11026</v>
      </c>
      <c r="M2408" s="802" t="s">
        <v>23206</v>
      </c>
      <c r="N2408" s="802" t="s">
        <v>10520</v>
      </c>
      <c r="O2408" s="802" t="s">
        <v>23207</v>
      </c>
      <c r="P2408" s="807" t="s">
        <v>23208</v>
      </c>
    </row>
    <row r="2409" spans="1:16" s="341" customFormat="1" ht="25.5" customHeight="1">
      <c r="A2409" s="806" t="s">
        <v>110</v>
      </c>
      <c r="B2409" s="800" t="s">
        <v>110</v>
      </c>
      <c r="C2409" s="800" t="s">
        <v>4587</v>
      </c>
      <c r="D2409" s="800" t="s">
        <v>23209</v>
      </c>
      <c r="E2409" s="801">
        <v>43042</v>
      </c>
      <c r="F2409" s="800" t="s">
        <v>23148</v>
      </c>
      <c r="G2409" s="800" t="s">
        <v>23196</v>
      </c>
      <c r="H2409" s="800" t="s">
        <v>10404</v>
      </c>
      <c r="I2409" s="800" t="s">
        <v>10404</v>
      </c>
      <c r="J2409" s="800" t="s">
        <v>10447</v>
      </c>
      <c r="K2409" s="800">
        <v>1</v>
      </c>
      <c r="L2409" s="802" t="s">
        <v>11026</v>
      </c>
      <c r="M2409" s="802" t="s">
        <v>23210</v>
      </c>
      <c r="N2409" s="802" t="s">
        <v>23211</v>
      </c>
      <c r="O2409" s="802" t="s">
        <v>23212</v>
      </c>
      <c r="P2409" s="807" t="s">
        <v>23213</v>
      </c>
    </row>
    <row r="2410" spans="1:16" s="341" customFormat="1" ht="25.5" customHeight="1">
      <c r="A2410" s="806" t="s">
        <v>110</v>
      </c>
      <c r="B2410" s="800" t="s">
        <v>110</v>
      </c>
      <c r="C2410" s="800" t="s">
        <v>4587</v>
      </c>
      <c r="D2410" s="800" t="s">
        <v>23214</v>
      </c>
      <c r="E2410" s="801">
        <v>43042</v>
      </c>
      <c r="F2410" s="800" t="s">
        <v>23148</v>
      </c>
      <c r="G2410" s="800" t="s">
        <v>23196</v>
      </c>
      <c r="H2410" s="800" t="s">
        <v>10404</v>
      </c>
      <c r="I2410" s="800" t="s">
        <v>10404</v>
      </c>
      <c r="J2410" s="800" t="s">
        <v>10447</v>
      </c>
      <c r="K2410" s="800">
        <v>1</v>
      </c>
      <c r="L2410" s="802" t="s">
        <v>11026</v>
      </c>
      <c r="M2410" s="802" t="s">
        <v>23215</v>
      </c>
      <c r="N2410" s="802" t="s">
        <v>18950</v>
      </c>
      <c r="O2410" s="802" t="s">
        <v>23216</v>
      </c>
      <c r="P2410" s="807" t="s">
        <v>23217</v>
      </c>
    </row>
    <row r="2411" spans="1:16" s="341" customFormat="1" ht="25.5" customHeight="1">
      <c r="A2411" s="806" t="s">
        <v>110</v>
      </c>
      <c r="B2411" s="800" t="s">
        <v>110</v>
      </c>
      <c r="C2411" s="800" t="s">
        <v>4587</v>
      </c>
      <c r="D2411" s="800" t="s">
        <v>23218</v>
      </c>
      <c r="E2411" s="801">
        <v>43042</v>
      </c>
      <c r="F2411" s="800" t="s">
        <v>23148</v>
      </c>
      <c r="G2411" s="800" t="s">
        <v>23196</v>
      </c>
      <c r="H2411" s="800" t="s">
        <v>10404</v>
      </c>
      <c r="I2411" s="800" t="s">
        <v>10404</v>
      </c>
      <c r="J2411" s="800" t="s">
        <v>10447</v>
      </c>
      <c r="K2411" s="800">
        <v>1</v>
      </c>
      <c r="L2411" s="802" t="s">
        <v>11026</v>
      </c>
      <c r="M2411" s="802" t="s">
        <v>23219</v>
      </c>
      <c r="N2411" s="802" t="s">
        <v>16311</v>
      </c>
      <c r="O2411" s="802" t="s">
        <v>23220</v>
      </c>
      <c r="P2411" s="807" t="s">
        <v>23221</v>
      </c>
    </row>
    <row r="2412" spans="1:16" s="341" customFormat="1" ht="25.5" customHeight="1">
      <c r="A2412" s="806" t="s">
        <v>110</v>
      </c>
      <c r="B2412" s="800" t="s">
        <v>110</v>
      </c>
      <c r="C2412" s="800" t="s">
        <v>4587</v>
      </c>
      <c r="D2412" s="800" t="s">
        <v>23222</v>
      </c>
      <c r="E2412" s="801">
        <v>43042</v>
      </c>
      <c r="F2412" s="800" t="s">
        <v>23148</v>
      </c>
      <c r="G2412" s="800" t="s">
        <v>23196</v>
      </c>
      <c r="H2412" s="800" t="s">
        <v>10404</v>
      </c>
      <c r="I2412" s="800" t="s">
        <v>10404</v>
      </c>
      <c r="J2412" s="800" t="s">
        <v>10447</v>
      </c>
      <c r="K2412" s="800">
        <v>1</v>
      </c>
      <c r="L2412" s="802" t="s">
        <v>11026</v>
      </c>
      <c r="M2412" s="802" t="s">
        <v>23223</v>
      </c>
      <c r="N2412" s="802" t="s">
        <v>23224</v>
      </c>
      <c r="O2412" s="802" t="s">
        <v>23225</v>
      </c>
      <c r="P2412" s="807" t="s">
        <v>23226</v>
      </c>
    </row>
    <row r="2413" spans="1:16" s="341" customFormat="1" ht="25.5" customHeight="1">
      <c r="A2413" s="806" t="s">
        <v>110</v>
      </c>
      <c r="B2413" s="800" t="s">
        <v>110</v>
      </c>
      <c r="C2413" s="800" t="s">
        <v>4587</v>
      </c>
      <c r="D2413" s="800" t="s">
        <v>23227</v>
      </c>
      <c r="E2413" s="801">
        <v>43042</v>
      </c>
      <c r="F2413" s="800" t="s">
        <v>23148</v>
      </c>
      <c r="G2413" s="800" t="s">
        <v>23196</v>
      </c>
      <c r="H2413" s="800" t="s">
        <v>10404</v>
      </c>
      <c r="I2413" s="800" t="s">
        <v>10404</v>
      </c>
      <c r="J2413" s="800" t="s">
        <v>10447</v>
      </c>
      <c r="K2413" s="800">
        <v>1</v>
      </c>
      <c r="L2413" s="802" t="s">
        <v>10398</v>
      </c>
      <c r="M2413" s="802" t="s">
        <v>23228</v>
      </c>
      <c r="N2413" s="802" t="s">
        <v>11364</v>
      </c>
      <c r="O2413" s="802" t="s">
        <v>23229</v>
      </c>
      <c r="P2413" s="807" t="s">
        <v>23230</v>
      </c>
    </row>
    <row r="2414" spans="1:16" s="341" customFormat="1" ht="25.5" customHeight="1">
      <c r="A2414" s="806" t="s">
        <v>110</v>
      </c>
      <c r="B2414" s="800" t="s">
        <v>110</v>
      </c>
      <c r="C2414" s="800" t="s">
        <v>4587</v>
      </c>
      <c r="D2414" s="800" t="s">
        <v>23231</v>
      </c>
      <c r="E2414" s="801">
        <v>43042</v>
      </c>
      <c r="F2414" s="800" t="s">
        <v>23068</v>
      </c>
      <c r="G2414" s="800" t="s">
        <v>23232</v>
      </c>
      <c r="H2414" s="800" t="s">
        <v>10531</v>
      </c>
      <c r="I2414" s="800" t="s">
        <v>10531</v>
      </c>
      <c r="J2414" s="800" t="s">
        <v>10447</v>
      </c>
      <c r="K2414" s="800">
        <v>1</v>
      </c>
      <c r="L2414" s="802" t="s">
        <v>11026</v>
      </c>
      <c r="M2414" s="802" t="s">
        <v>23233</v>
      </c>
      <c r="N2414" s="802" t="s">
        <v>23234</v>
      </c>
      <c r="O2414" s="802" t="s">
        <v>23235</v>
      </c>
      <c r="P2414" s="807" t="s">
        <v>23236</v>
      </c>
    </row>
    <row r="2415" spans="1:16" s="341" customFormat="1" ht="25.5" customHeight="1">
      <c r="A2415" s="806" t="s">
        <v>110</v>
      </c>
      <c r="B2415" s="800" t="s">
        <v>110</v>
      </c>
      <c r="C2415" s="800" t="s">
        <v>4587</v>
      </c>
      <c r="D2415" s="800" t="s">
        <v>23237</v>
      </c>
      <c r="E2415" s="801">
        <v>43042</v>
      </c>
      <c r="F2415" s="800" t="s">
        <v>23068</v>
      </c>
      <c r="G2415" s="800" t="s">
        <v>23238</v>
      </c>
      <c r="H2415" s="800" t="s">
        <v>10531</v>
      </c>
      <c r="I2415" s="800" t="s">
        <v>10531</v>
      </c>
      <c r="J2415" s="800" t="s">
        <v>10447</v>
      </c>
      <c r="K2415" s="800">
        <v>1</v>
      </c>
      <c r="L2415" s="802" t="s">
        <v>11026</v>
      </c>
      <c r="M2415" s="802" t="s">
        <v>23239</v>
      </c>
      <c r="N2415" s="802" t="s">
        <v>23240</v>
      </c>
      <c r="O2415" s="802" t="s">
        <v>23241</v>
      </c>
      <c r="P2415" s="807" t="s">
        <v>32</v>
      </c>
    </row>
    <row r="2416" spans="1:16" s="341" customFormat="1" ht="25.5" customHeight="1">
      <c r="A2416" s="806" t="s">
        <v>110</v>
      </c>
      <c r="B2416" s="800" t="s">
        <v>110</v>
      </c>
      <c r="C2416" s="800" t="s">
        <v>4587</v>
      </c>
      <c r="D2416" s="800" t="s">
        <v>23242</v>
      </c>
      <c r="E2416" s="801">
        <v>43042</v>
      </c>
      <c r="F2416" s="800" t="s">
        <v>23068</v>
      </c>
      <c r="G2416" s="800" t="s">
        <v>23243</v>
      </c>
      <c r="H2416" s="800" t="s">
        <v>10531</v>
      </c>
      <c r="I2416" s="800" t="s">
        <v>10531</v>
      </c>
      <c r="J2416" s="800" t="s">
        <v>10447</v>
      </c>
      <c r="K2416" s="800">
        <v>1</v>
      </c>
      <c r="L2416" s="802" t="s">
        <v>10398</v>
      </c>
      <c r="M2416" s="802" t="s">
        <v>23244</v>
      </c>
      <c r="N2416" s="802" t="s">
        <v>23245</v>
      </c>
      <c r="O2416" s="802" t="s">
        <v>23246</v>
      </c>
      <c r="P2416" s="807" t="s">
        <v>32</v>
      </c>
    </row>
    <row r="2417" spans="1:16" s="341" customFormat="1" ht="25.5" customHeight="1">
      <c r="A2417" s="806" t="s">
        <v>110</v>
      </c>
      <c r="B2417" s="800" t="s">
        <v>110</v>
      </c>
      <c r="C2417" s="800" t="s">
        <v>4587</v>
      </c>
      <c r="D2417" s="800" t="s">
        <v>23247</v>
      </c>
      <c r="E2417" s="801">
        <v>43042</v>
      </c>
      <c r="F2417" s="800" t="s">
        <v>23068</v>
      </c>
      <c r="G2417" s="800" t="s">
        <v>23243</v>
      </c>
      <c r="H2417" s="800" t="s">
        <v>10531</v>
      </c>
      <c r="I2417" s="800" t="s">
        <v>10531</v>
      </c>
      <c r="J2417" s="800" t="s">
        <v>10447</v>
      </c>
      <c r="K2417" s="800">
        <v>1</v>
      </c>
      <c r="L2417" s="802" t="s">
        <v>10605</v>
      </c>
      <c r="M2417" s="802" t="s">
        <v>32</v>
      </c>
      <c r="N2417" s="802" t="s">
        <v>23248</v>
      </c>
      <c r="O2417" s="802" t="s">
        <v>23249</v>
      </c>
      <c r="P2417" s="807" t="s">
        <v>23250</v>
      </c>
    </row>
    <row r="2418" spans="1:16" s="341" customFormat="1" ht="25.5" customHeight="1">
      <c r="A2418" s="806" t="s">
        <v>110</v>
      </c>
      <c r="B2418" s="800" t="s">
        <v>110</v>
      </c>
      <c r="C2418" s="800" t="s">
        <v>4587</v>
      </c>
      <c r="D2418" s="800" t="s">
        <v>23251</v>
      </c>
      <c r="E2418" s="801">
        <v>43042</v>
      </c>
      <c r="F2418" s="800" t="s">
        <v>23068</v>
      </c>
      <c r="G2418" s="800" t="s">
        <v>23252</v>
      </c>
      <c r="H2418" s="800" t="s">
        <v>10531</v>
      </c>
      <c r="I2418" s="800" t="s">
        <v>10531</v>
      </c>
      <c r="J2418" s="800" t="s">
        <v>10447</v>
      </c>
      <c r="K2418" s="800">
        <v>1</v>
      </c>
      <c r="L2418" s="802" t="s">
        <v>10398</v>
      </c>
      <c r="M2418" s="802" t="s">
        <v>23253</v>
      </c>
      <c r="N2418" s="802" t="s">
        <v>10951</v>
      </c>
      <c r="O2418" s="802" t="s">
        <v>23185</v>
      </c>
      <c r="P2418" s="807" t="s">
        <v>23254</v>
      </c>
    </row>
    <row r="2419" spans="1:16" s="341" customFormat="1" ht="25.5" customHeight="1">
      <c r="A2419" s="806" t="s">
        <v>110</v>
      </c>
      <c r="B2419" s="800" t="s">
        <v>110</v>
      </c>
      <c r="C2419" s="800" t="s">
        <v>4587</v>
      </c>
      <c r="D2419" s="800" t="s">
        <v>23255</v>
      </c>
      <c r="E2419" s="801">
        <v>43042</v>
      </c>
      <c r="F2419" s="800" t="s">
        <v>23068</v>
      </c>
      <c r="G2419" s="800" t="s">
        <v>23243</v>
      </c>
      <c r="H2419" s="800" t="s">
        <v>10531</v>
      </c>
      <c r="I2419" s="800" t="s">
        <v>10531</v>
      </c>
      <c r="J2419" s="800" t="s">
        <v>10447</v>
      </c>
      <c r="K2419" s="800">
        <v>1</v>
      </c>
      <c r="L2419" s="802" t="s">
        <v>11045</v>
      </c>
      <c r="M2419" s="802" t="s">
        <v>23256</v>
      </c>
      <c r="N2419" s="802" t="s">
        <v>13243</v>
      </c>
      <c r="O2419" s="802" t="s">
        <v>23257</v>
      </c>
      <c r="P2419" s="807" t="s">
        <v>23258</v>
      </c>
    </row>
    <row r="2420" spans="1:16" s="341" customFormat="1" ht="25.5" customHeight="1">
      <c r="A2420" s="806" t="s">
        <v>110</v>
      </c>
      <c r="B2420" s="800" t="s">
        <v>110</v>
      </c>
      <c r="C2420" s="800" t="s">
        <v>4587</v>
      </c>
      <c r="D2420" s="800" t="s">
        <v>23259</v>
      </c>
      <c r="E2420" s="801">
        <v>43042</v>
      </c>
      <c r="F2420" s="800" t="s">
        <v>23068</v>
      </c>
      <c r="G2420" s="800" t="s">
        <v>23260</v>
      </c>
      <c r="H2420" s="800" t="s">
        <v>10404</v>
      </c>
      <c r="I2420" s="800" t="s">
        <v>10404</v>
      </c>
      <c r="J2420" s="800" t="s">
        <v>10447</v>
      </c>
      <c r="K2420" s="800">
        <v>1</v>
      </c>
      <c r="L2420" s="802" t="s">
        <v>10398</v>
      </c>
      <c r="M2420" s="802" t="s">
        <v>23261</v>
      </c>
      <c r="N2420" s="802" t="s">
        <v>11990</v>
      </c>
      <c r="O2420" s="802" t="s">
        <v>23085</v>
      </c>
      <c r="P2420" s="807" t="s">
        <v>23262</v>
      </c>
    </row>
    <row r="2421" spans="1:16" s="341" customFormat="1" ht="15" customHeight="1">
      <c r="A2421" s="806" t="s">
        <v>110</v>
      </c>
      <c r="B2421" s="800" t="s">
        <v>110</v>
      </c>
      <c r="C2421" s="800" t="s">
        <v>4587</v>
      </c>
      <c r="D2421" s="800" t="s">
        <v>23263</v>
      </c>
      <c r="E2421" s="801">
        <v>43042</v>
      </c>
      <c r="F2421" s="800" t="s">
        <v>23068</v>
      </c>
      <c r="G2421" s="800" t="s">
        <v>23264</v>
      </c>
      <c r="H2421" s="800" t="s">
        <v>10531</v>
      </c>
      <c r="I2421" s="800" t="s">
        <v>10531</v>
      </c>
      <c r="J2421" s="800" t="s">
        <v>10447</v>
      </c>
      <c r="K2421" s="800">
        <v>1</v>
      </c>
      <c r="L2421" s="802" t="s">
        <v>11026</v>
      </c>
      <c r="M2421" s="802" t="s">
        <v>23265</v>
      </c>
      <c r="N2421" s="802" t="s">
        <v>11718</v>
      </c>
      <c r="O2421" s="802" t="s">
        <v>23266</v>
      </c>
      <c r="P2421" s="807" t="s">
        <v>23267</v>
      </c>
    </row>
    <row r="2422" spans="1:16" s="341" customFormat="1" ht="38.25" customHeight="1">
      <c r="A2422" s="806" t="s">
        <v>110</v>
      </c>
      <c r="B2422" s="800" t="s">
        <v>110</v>
      </c>
      <c r="C2422" s="800" t="s">
        <v>4587</v>
      </c>
      <c r="D2422" s="800" t="s">
        <v>23268</v>
      </c>
      <c r="E2422" s="801">
        <v>43042</v>
      </c>
      <c r="F2422" s="800" t="s">
        <v>23068</v>
      </c>
      <c r="G2422" s="800" t="s">
        <v>23238</v>
      </c>
      <c r="H2422" s="800" t="s">
        <v>10531</v>
      </c>
      <c r="I2422" s="800" t="s">
        <v>10531</v>
      </c>
      <c r="J2422" s="800" t="s">
        <v>10447</v>
      </c>
      <c r="K2422" s="800">
        <v>1</v>
      </c>
      <c r="L2422" s="802" t="s">
        <v>10398</v>
      </c>
      <c r="M2422" s="802" t="s">
        <v>23269</v>
      </c>
      <c r="N2422" s="802" t="s">
        <v>23270</v>
      </c>
      <c r="O2422" s="802" t="s">
        <v>23241</v>
      </c>
      <c r="P2422" s="807" t="s">
        <v>23271</v>
      </c>
    </row>
    <row r="2423" spans="1:16" s="341" customFormat="1" ht="25.5" customHeight="1">
      <c r="A2423" s="806" t="s">
        <v>110</v>
      </c>
      <c r="B2423" s="800" t="s">
        <v>110</v>
      </c>
      <c r="C2423" s="800" t="s">
        <v>4587</v>
      </c>
      <c r="D2423" s="800" t="s">
        <v>23272</v>
      </c>
      <c r="E2423" s="801">
        <v>43042</v>
      </c>
      <c r="F2423" s="800" t="s">
        <v>23273</v>
      </c>
      <c r="G2423" s="800" t="s">
        <v>23274</v>
      </c>
      <c r="H2423" s="800" t="s">
        <v>10531</v>
      </c>
      <c r="I2423" s="800" t="s">
        <v>10531</v>
      </c>
      <c r="J2423" s="800" t="s">
        <v>10447</v>
      </c>
      <c r="K2423" s="800">
        <v>1</v>
      </c>
      <c r="L2423" s="802" t="s">
        <v>10398</v>
      </c>
      <c r="M2423" s="802" t="s">
        <v>32</v>
      </c>
      <c r="N2423" s="802" t="s">
        <v>14219</v>
      </c>
      <c r="O2423" s="802" t="s">
        <v>23275</v>
      </c>
      <c r="P2423" s="807" t="s">
        <v>23276</v>
      </c>
    </row>
    <row r="2424" spans="1:16" s="341" customFormat="1" ht="25.5" customHeight="1">
      <c r="A2424" s="806" t="s">
        <v>110</v>
      </c>
      <c r="B2424" s="800" t="s">
        <v>110</v>
      </c>
      <c r="C2424" s="800" t="s">
        <v>4587</v>
      </c>
      <c r="D2424" s="800" t="s">
        <v>23277</v>
      </c>
      <c r="E2424" s="801">
        <v>43042</v>
      </c>
      <c r="F2424" s="800" t="s">
        <v>23273</v>
      </c>
      <c r="G2424" s="800" t="s">
        <v>23278</v>
      </c>
      <c r="H2424" s="800" t="s">
        <v>10404</v>
      </c>
      <c r="I2424" s="800" t="s">
        <v>10404</v>
      </c>
      <c r="J2424" s="800" t="s">
        <v>10447</v>
      </c>
      <c r="K2424" s="800">
        <v>1</v>
      </c>
      <c r="L2424" s="802" t="s">
        <v>11026</v>
      </c>
      <c r="M2424" s="802" t="s">
        <v>23279</v>
      </c>
      <c r="N2424" s="802" t="s">
        <v>23280</v>
      </c>
      <c r="O2424" s="802" t="s">
        <v>23281</v>
      </c>
      <c r="P2424" s="807" t="s">
        <v>23282</v>
      </c>
    </row>
    <row r="2425" spans="1:16" s="341" customFormat="1" ht="25.5" customHeight="1">
      <c r="A2425" s="806" t="s">
        <v>110</v>
      </c>
      <c r="B2425" s="800" t="s">
        <v>110</v>
      </c>
      <c r="C2425" s="800" t="s">
        <v>4587</v>
      </c>
      <c r="D2425" s="800" t="s">
        <v>23283</v>
      </c>
      <c r="E2425" s="801">
        <v>43042</v>
      </c>
      <c r="F2425" s="800" t="s">
        <v>23273</v>
      </c>
      <c r="G2425" s="800" t="s">
        <v>23284</v>
      </c>
      <c r="H2425" s="800" t="s">
        <v>10531</v>
      </c>
      <c r="I2425" s="800" t="s">
        <v>10531</v>
      </c>
      <c r="J2425" s="800" t="s">
        <v>10447</v>
      </c>
      <c r="K2425" s="800">
        <v>1</v>
      </c>
      <c r="L2425" s="802" t="s">
        <v>10398</v>
      </c>
      <c r="M2425" s="802" t="s">
        <v>23285</v>
      </c>
      <c r="N2425" s="802" t="s">
        <v>23286</v>
      </c>
      <c r="O2425" s="802" t="s">
        <v>23287</v>
      </c>
      <c r="P2425" s="807" t="s">
        <v>23288</v>
      </c>
    </row>
    <row r="2426" spans="1:16" s="341" customFormat="1" ht="25.5" customHeight="1">
      <c r="A2426" s="806" t="s">
        <v>110</v>
      </c>
      <c r="B2426" s="800" t="s">
        <v>110</v>
      </c>
      <c r="C2426" s="800" t="s">
        <v>4587</v>
      </c>
      <c r="D2426" s="800" t="s">
        <v>23289</v>
      </c>
      <c r="E2426" s="801">
        <v>43042</v>
      </c>
      <c r="F2426" s="800" t="s">
        <v>23273</v>
      </c>
      <c r="G2426" s="800" t="s">
        <v>23290</v>
      </c>
      <c r="H2426" s="800" t="s">
        <v>10404</v>
      </c>
      <c r="I2426" s="800" t="s">
        <v>10404</v>
      </c>
      <c r="J2426" s="800" t="s">
        <v>10447</v>
      </c>
      <c r="K2426" s="800">
        <v>1</v>
      </c>
      <c r="L2426" s="802" t="s">
        <v>11026</v>
      </c>
      <c r="M2426" s="802" t="s">
        <v>23291</v>
      </c>
      <c r="N2426" s="802" t="s">
        <v>23292</v>
      </c>
      <c r="O2426" s="802" t="s">
        <v>23293</v>
      </c>
      <c r="P2426" s="807" t="s">
        <v>23294</v>
      </c>
    </row>
    <row r="2427" spans="1:16" s="341" customFormat="1" ht="25.5" customHeight="1">
      <c r="A2427" s="806" t="s">
        <v>110</v>
      </c>
      <c r="B2427" s="800" t="s">
        <v>110</v>
      </c>
      <c r="C2427" s="800" t="s">
        <v>4587</v>
      </c>
      <c r="D2427" s="800" t="s">
        <v>23295</v>
      </c>
      <c r="E2427" s="801">
        <v>43042</v>
      </c>
      <c r="F2427" s="800" t="s">
        <v>23273</v>
      </c>
      <c r="G2427" s="800" t="s">
        <v>23296</v>
      </c>
      <c r="H2427" s="800" t="s">
        <v>10404</v>
      </c>
      <c r="I2427" s="800" t="s">
        <v>10404</v>
      </c>
      <c r="J2427" s="800" t="s">
        <v>10447</v>
      </c>
      <c r="K2427" s="800">
        <v>1</v>
      </c>
      <c r="L2427" s="802" t="s">
        <v>10398</v>
      </c>
      <c r="M2427" s="802" t="s">
        <v>32</v>
      </c>
      <c r="N2427" s="802" t="s">
        <v>13561</v>
      </c>
      <c r="O2427" s="802" t="s">
        <v>23297</v>
      </c>
      <c r="P2427" s="807" t="s">
        <v>23298</v>
      </c>
    </row>
    <row r="2428" spans="1:16" s="341" customFormat="1" ht="25.5" customHeight="1">
      <c r="A2428" s="806" t="s">
        <v>110</v>
      </c>
      <c r="B2428" s="800" t="s">
        <v>110</v>
      </c>
      <c r="C2428" s="800" t="s">
        <v>4587</v>
      </c>
      <c r="D2428" s="800" t="s">
        <v>23299</v>
      </c>
      <c r="E2428" s="801">
        <v>43042</v>
      </c>
      <c r="F2428" s="800" t="s">
        <v>23273</v>
      </c>
      <c r="G2428" s="800" t="s">
        <v>23300</v>
      </c>
      <c r="H2428" s="800" t="s">
        <v>10531</v>
      </c>
      <c r="I2428" s="800" t="s">
        <v>10531</v>
      </c>
      <c r="J2428" s="800" t="s">
        <v>10447</v>
      </c>
      <c r="K2428" s="800">
        <v>1</v>
      </c>
      <c r="L2428" s="802" t="s">
        <v>11026</v>
      </c>
      <c r="M2428" s="802" t="s">
        <v>23301</v>
      </c>
      <c r="N2428" s="802" t="s">
        <v>23302</v>
      </c>
      <c r="O2428" s="802" t="s">
        <v>23303</v>
      </c>
      <c r="P2428" s="807" t="s">
        <v>32</v>
      </c>
    </row>
    <row r="2429" spans="1:16" s="341" customFormat="1" ht="25.5" customHeight="1">
      <c r="A2429" s="806" t="s">
        <v>110</v>
      </c>
      <c r="B2429" s="800" t="s">
        <v>110</v>
      </c>
      <c r="C2429" s="800" t="s">
        <v>4587</v>
      </c>
      <c r="D2429" s="800" t="s">
        <v>23304</v>
      </c>
      <c r="E2429" s="801">
        <v>43040</v>
      </c>
      <c r="F2429" s="800" t="s">
        <v>4587</v>
      </c>
      <c r="G2429" s="800" t="s">
        <v>23305</v>
      </c>
      <c r="H2429" s="800" t="s">
        <v>10531</v>
      </c>
      <c r="I2429" s="800" t="s">
        <v>10531</v>
      </c>
      <c r="J2429" s="800" t="s">
        <v>10397</v>
      </c>
      <c r="K2429" s="800">
        <v>1</v>
      </c>
      <c r="L2429" s="802" t="s">
        <v>10398</v>
      </c>
      <c r="M2429" s="802" t="s">
        <v>23306</v>
      </c>
      <c r="N2429" s="802" t="s">
        <v>13021</v>
      </c>
      <c r="O2429" s="802" t="s">
        <v>20660</v>
      </c>
      <c r="P2429" s="807" t="s">
        <v>23307</v>
      </c>
    </row>
    <row r="2430" spans="1:16" s="341" customFormat="1" ht="15" customHeight="1">
      <c r="A2430" s="806" t="s">
        <v>110</v>
      </c>
      <c r="B2430" s="800" t="s">
        <v>110</v>
      </c>
      <c r="C2430" s="800" t="s">
        <v>4587</v>
      </c>
      <c r="D2430" s="800" t="s">
        <v>23308</v>
      </c>
      <c r="E2430" s="801">
        <v>43040</v>
      </c>
      <c r="F2430" s="800" t="s">
        <v>23309</v>
      </c>
      <c r="G2430" s="800" t="s">
        <v>23310</v>
      </c>
      <c r="H2430" s="800" t="s">
        <v>10404</v>
      </c>
      <c r="I2430" s="800" t="s">
        <v>10404</v>
      </c>
      <c r="J2430" s="800" t="s">
        <v>10397</v>
      </c>
      <c r="K2430" s="800">
        <v>1</v>
      </c>
      <c r="L2430" s="802" t="s">
        <v>10398</v>
      </c>
      <c r="M2430" s="802" t="s">
        <v>23311</v>
      </c>
      <c r="N2430" s="802" t="s">
        <v>21094</v>
      </c>
      <c r="O2430" s="802" t="s">
        <v>23312</v>
      </c>
      <c r="P2430" s="807" t="s">
        <v>23313</v>
      </c>
    </row>
    <row r="2431" spans="1:16" s="341" customFormat="1" ht="25.5" customHeight="1">
      <c r="A2431" s="806" t="s">
        <v>110</v>
      </c>
      <c r="B2431" s="800" t="s">
        <v>110</v>
      </c>
      <c r="C2431" s="800" t="s">
        <v>4587</v>
      </c>
      <c r="D2431" s="800" t="s">
        <v>23314</v>
      </c>
      <c r="E2431" s="801">
        <v>43040</v>
      </c>
      <c r="F2431" s="800" t="s">
        <v>4587</v>
      </c>
      <c r="G2431" s="800" t="s">
        <v>23315</v>
      </c>
      <c r="H2431" s="800" t="s">
        <v>10396</v>
      </c>
      <c r="I2431" s="800" t="s">
        <v>10396</v>
      </c>
      <c r="J2431" s="800" t="s">
        <v>10397</v>
      </c>
      <c r="K2431" s="800">
        <v>1</v>
      </c>
      <c r="L2431" s="802" t="s">
        <v>10398</v>
      </c>
      <c r="M2431" s="802" t="s">
        <v>23316</v>
      </c>
      <c r="N2431" s="802" t="s">
        <v>23317</v>
      </c>
      <c r="O2431" s="802" t="s">
        <v>23318</v>
      </c>
      <c r="P2431" s="807" t="s">
        <v>23319</v>
      </c>
    </row>
    <row r="2432" spans="1:16" s="341" customFormat="1" ht="25.5" customHeight="1">
      <c r="A2432" s="806" t="s">
        <v>110</v>
      </c>
      <c r="B2432" s="800" t="s">
        <v>110</v>
      </c>
      <c r="C2432" s="800" t="s">
        <v>4587</v>
      </c>
      <c r="D2432" s="800" t="s">
        <v>23320</v>
      </c>
      <c r="E2432" s="801">
        <v>43040</v>
      </c>
      <c r="F2432" s="800" t="s">
        <v>4587</v>
      </c>
      <c r="G2432" s="800" t="s">
        <v>23321</v>
      </c>
      <c r="H2432" s="800" t="s">
        <v>10396</v>
      </c>
      <c r="I2432" s="800" t="s">
        <v>10396</v>
      </c>
      <c r="J2432" s="800" t="s">
        <v>10397</v>
      </c>
      <c r="K2432" s="800">
        <v>1</v>
      </c>
      <c r="L2432" s="802" t="s">
        <v>10398</v>
      </c>
      <c r="M2432" s="802" t="s">
        <v>23322</v>
      </c>
      <c r="N2432" s="802" t="s">
        <v>23323</v>
      </c>
      <c r="O2432" s="802" t="s">
        <v>23324</v>
      </c>
      <c r="P2432" s="807" t="s">
        <v>23325</v>
      </c>
    </row>
    <row r="2433" spans="1:16" s="341" customFormat="1" ht="25.5" customHeight="1">
      <c r="A2433" s="806" t="s">
        <v>110</v>
      </c>
      <c r="B2433" s="800" t="s">
        <v>110</v>
      </c>
      <c r="C2433" s="800" t="s">
        <v>4587</v>
      </c>
      <c r="D2433" s="800" t="s">
        <v>23326</v>
      </c>
      <c r="E2433" s="801">
        <v>43040</v>
      </c>
      <c r="F2433" s="800" t="s">
        <v>4587</v>
      </c>
      <c r="G2433" s="800" t="s">
        <v>23327</v>
      </c>
      <c r="H2433" s="800" t="s">
        <v>10396</v>
      </c>
      <c r="I2433" s="800" t="s">
        <v>10396</v>
      </c>
      <c r="J2433" s="800" t="s">
        <v>10397</v>
      </c>
      <c r="K2433" s="800">
        <v>1</v>
      </c>
      <c r="L2433" s="802" t="s">
        <v>10398</v>
      </c>
      <c r="M2433" s="802" t="s">
        <v>23328</v>
      </c>
      <c r="N2433" s="802" t="s">
        <v>23329</v>
      </c>
      <c r="O2433" s="802" t="s">
        <v>23330</v>
      </c>
      <c r="P2433" s="807" t="s">
        <v>23331</v>
      </c>
    </row>
    <row r="2434" spans="1:16" s="341" customFormat="1" ht="15" customHeight="1">
      <c r="A2434" s="806" t="s">
        <v>110</v>
      </c>
      <c r="B2434" s="800" t="s">
        <v>110</v>
      </c>
      <c r="C2434" s="800" t="s">
        <v>4587</v>
      </c>
      <c r="D2434" s="800" t="s">
        <v>23332</v>
      </c>
      <c r="E2434" s="801">
        <v>43040</v>
      </c>
      <c r="F2434" s="800" t="s">
        <v>4587</v>
      </c>
      <c r="G2434" s="800" t="s">
        <v>23333</v>
      </c>
      <c r="H2434" s="800" t="s">
        <v>10531</v>
      </c>
      <c r="I2434" s="800" t="s">
        <v>10531</v>
      </c>
      <c r="J2434" s="800" t="s">
        <v>4342</v>
      </c>
      <c r="K2434" s="800">
        <v>1</v>
      </c>
      <c r="L2434" s="802" t="s">
        <v>10398</v>
      </c>
      <c r="M2434" s="802" t="s">
        <v>23334</v>
      </c>
      <c r="N2434" s="802" t="s">
        <v>23335</v>
      </c>
      <c r="O2434" s="802" t="s">
        <v>23336</v>
      </c>
      <c r="P2434" s="807" t="s">
        <v>23337</v>
      </c>
    </row>
    <row r="2435" spans="1:16" s="341" customFormat="1" ht="15" customHeight="1">
      <c r="A2435" s="806" t="s">
        <v>110</v>
      </c>
      <c r="B2435" s="800" t="s">
        <v>110</v>
      </c>
      <c r="C2435" s="800" t="s">
        <v>4587</v>
      </c>
      <c r="D2435" s="800" t="s">
        <v>23338</v>
      </c>
      <c r="E2435" s="801">
        <v>43040</v>
      </c>
      <c r="F2435" s="800" t="s">
        <v>4587</v>
      </c>
      <c r="G2435" s="800" t="s">
        <v>23339</v>
      </c>
      <c r="H2435" s="800" t="s">
        <v>10531</v>
      </c>
      <c r="I2435" s="800" t="s">
        <v>10531</v>
      </c>
      <c r="J2435" s="800" t="s">
        <v>10397</v>
      </c>
      <c r="K2435" s="800">
        <v>1</v>
      </c>
      <c r="L2435" s="802" t="s">
        <v>10398</v>
      </c>
      <c r="M2435" s="802" t="s">
        <v>23340</v>
      </c>
      <c r="N2435" s="802" t="s">
        <v>21382</v>
      </c>
      <c r="O2435" s="802" t="s">
        <v>23341</v>
      </c>
      <c r="P2435" s="807" t="s">
        <v>23342</v>
      </c>
    </row>
    <row r="2436" spans="1:16" s="341" customFormat="1" ht="25.5" customHeight="1">
      <c r="A2436" s="806" t="s">
        <v>110</v>
      </c>
      <c r="B2436" s="800" t="s">
        <v>110</v>
      </c>
      <c r="C2436" s="800" t="s">
        <v>4587</v>
      </c>
      <c r="D2436" s="800" t="s">
        <v>23343</v>
      </c>
      <c r="E2436" s="801">
        <v>43040</v>
      </c>
      <c r="F2436" s="800" t="s">
        <v>4587</v>
      </c>
      <c r="G2436" s="800" t="s">
        <v>23344</v>
      </c>
      <c r="H2436" s="800" t="s">
        <v>10404</v>
      </c>
      <c r="I2436" s="800" t="s">
        <v>10404</v>
      </c>
      <c r="J2436" s="800" t="s">
        <v>4342</v>
      </c>
      <c r="K2436" s="800">
        <v>1</v>
      </c>
      <c r="L2436" s="802" t="s">
        <v>10398</v>
      </c>
      <c r="M2436" s="802" t="s">
        <v>23345</v>
      </c>
      <c r="N2436" s="802" t="s">
        <v>23346</v>
      </c>
      <c r="O2436" s="802" t="s">
        <v>20660</v>
      </c>
      <c r="P2436" s="807" t="s">
        <v>23347</v>
      </c>
    </row>
    <row r="2437" spans="1:16" s="341" customFormat="1" ht="25.5" customHeight="1">
      <c r="A2437" s="806" t="s">
        <v>110</v>
      </c>
      <c r="B2437" s="800" t="s">
        <v>110</v>
      </c>
      <c r="C2437" s="800" t="s">
        <v>4587</v>
      </c>
      <c r="D2437" s="800" t="s">
        <v>23348</v>
      </c>
      <c r="E2437" s="801">
        <v>43040</v>
      </c>
      <c r="F2437" s="800" t="s">
        <v>4587</v>
      </c>
      <c r="G2437" s="800" t="s">
        <v>23349</v>
      </c>
      <c r="H2437" s="800" t="s">
        <v>10531</v>
      </c>
      <c r="I2437" s="800" t="s">
        <v>10531</v>
      </c>
      <c r="J2437" s="800" t="s">
        <v>4342</v>
      </c>
      <c r="K2437" s="800">
        <v>1</v>
      </c>
      <c r="L2437" s="802" t="s">
        <v>10398</v>
      </c>
      <c r="M2437" s="802" t="s">
        <v>23350</v>
      </c>
      <c r="N2437" s="802" t="s">
        <v>23351</v>
      </c>
      <c r="O2437" s="802" t="s">
        <v>23352</v>
      </c>
      <c r="P2437" s="807" t="s">
        <v>23347</v>
      </c>
    </row>
    <row r="2438" spans="1:16" s="341" customFormat="1" ht="25.5" customHeight="1">
      <c r="A2438" s="806" t="s">
        <v>110</v>
      </c>
      <c r="B2438" s="800" t="s">
        <v>110</v>
      </c>
      <c r="C2438" s="800" t="s">
        <v>4587</v>
      </c>
      <c r="D2438" s="800" t="s">
        <v>23353</v>
      </c>
      <c r="E2438" s="801">
        <v>43040</v>
      </c>
      <c r="F2438" s="800" t="s">
        <v>32</v>
      </c>
      <c r="G2438" s="800" t="s">
        <v>23354</v>
      </c>
      <c r="H2438" s="800" t="s">
        <v>10531</v>
      </c>
      <c r="I2438" s="800" t="s">
        <v>10531</v>
      </c>
      <c r="J2438" s="800" t="s">
        <v>10426</v>
      </c>
      <c r="K2438" s="800">
        <v>1</v>
      </c>
      <c r="L2438" s="802" t="s">
        <v>10398</v>
      </c>
      <c r="M2438" s="802" t="s">
        <v>23355</v>
      </c>
      <c r="N2438" s="802" t="s">
        <v>23356</v>
      </c>
      <c r="O2438" s="802" t="s">
        <v>23357</v>
      </c>
      <c r="P2438" s="807" t="s">
        <v>23358</v>
      </c>
    </row>
    <row r="2439" spans="1:16" s="341" customFormat="1" ht="25.5" customHeight="1">
      <c r="A2439" s="806" t="s">
        <v>110</v>
      </c>
      <c r="B2439" s="800" t="s">
        <v>110</v>
      </c>
      <c r="C2439" s="800" t="s">
        <v>4587</v>
      </c>
      <c r="D2439" s="800" t="s">
        <v>23359</v>
      </c>
      <c r="E2439" s="801">
        <v>43040</v>
      </c>
      <c r="F2439" s="800" t="s">
        <v>32</v>
      </c>
      <c r="G2439" s="800" t="s">
        <v>23360</v>
      </c>
      <c r="H2439" s="800" t="s">
        <v>10396</v>
      </c>
      <c r="I2439" s="800" t="s">
        <v>10396</v>
      </c>
      <c r="J2439" s="800" t="s">
        <v>10426</v>
      </c>
      <c r="K2439" s="800">
        <v>1</v>
      </c>
      <c r="L2439" s="802" t="s">
        <v>10398</v>
      </c>
      <c r="M2439" s="802" t="s">
        <v>23361</v>
      </c>
      <c r="N2439" s="802" t="s">
        <v>21925</v>
      </c>
      <c r="O2439" s="802" t="s">
        <v>23362</v>
      </c>
      <c r="P2439" s="807" t="s">
        <v>23363</v>
      </c>
    </row>
    <row r="2440" spans="1:16" s="341" customFormat="1" ht="25.5" customHeight="1">
      <c r="A2440" s="806" t="s">
        <v>110</v>
      </c>
      <c r="B2440" s="800" t="s">
        <v>110</v>
      </c>
      <c r="C2440" s="800" t="s">
        <v>4587</v>
      </c>
      <c r="D2440" s="800" t="s">
        <v>23364</v>
      </c>
      <c r="E2440" s="801">
        <v>43040</v>
      </c>
      <c r="F2440" s="800" t="s">
        <v>32</v>
      </c>
      <c r="G2440" s="800" t="s">
        <v>23365</v>
      </c>
      <c r="H2440" s="800" t="s">
        <v>10404</v>
      </c>
      <c r="I2440" s="800" t="s">
        <v>10404</v>
      </c>
      <c r="J2440" s="800" t="s">
        <v>10426</v>
      </c>
      <c r="K2440" s="800">
        <v>1</v>
      </c>
      <c r="L2440" s="802" t="s">
        <v>10398</v>
      </c>
      <c r="M2440" s="802" t="s">
        <v>23366</v>
      </c>
      <c r="N2440" s="802" t="s">
        <v>23367</v>
      </c>
      <c r="O2440" s="802" t="s">
        <v>23368</v>
      </c>
      <c r="P2440" s="807" t="s">
        <v>32</v>
      </c>
    </row>
    <row r="2441" spans="1:16" s="341" customFormat="1" ht="25.5" customHeight="1">
      <c r="A2441" s="806" t="s">
        <v>110</v>
      </c>
      <c r="B2441" s="800" t="s">
        <v>110</v>
      </c>
      <c r="C2441" s="800" t="s">
        <v>4587</v>
      </c>
      <c r="D2441" s="800" t="s">
        <v>23369</v>
      </c>
      <c r="E2441" s="801">
        <v>43040</v>
      </c>
      <c r="F2441" s="800" t="s">
        <v>32</v>
      </c>
      <c r="G2441" s="800" t="s">
        <v>23370</v>
      </c>
      <c r="H2441" s="800" t="s">
        <v>10404</v>
      </c>
      <c r="I2441" s="800" t="s">
        <v>10404</v>
      </c>
      <c r="J2441" s="800" t="s">
        <v>10426</v>
      </c>
      <c r="K2441" s="800">
        <v>1</v>
      </c>
      <c r="L2441" s="802" t="s">
        <v>10398</v>
      </c>
      <c r="M2441" s="802" t="s">
        <v>23371</v>
      </c>
      <c r="N2441" s="802" t="s">
        <v>22004</v>
      </c>
      <c r="O2441" s="802" t="s">
        <v>23372</v>
      </c>
      <c r="P2441" s="807" t="s">
        <v>23373</v>
      </c>
    </row>
    <row r="2442" spans="1:16" s="341" customFormat="1" ht="25.5" customHeight="1">
      <c r="A2442" s="806" t="s">
        <v>110</v>
      </c>
      <c r="B2442" s="800" t="s">
        <v>110</v>
      </c>
      <c r="C2442" s="800" t="s">
        <v>4587</v>
      </c>
      <c r="D2442" s="800" t="s">
        <v>23374</v>
      </c>
      <c r="E2442" s="801">
        <v>43040</v>
      </c>
      <c r="F2442" s="800" t="s">
        <v>32</v>
      </c>
      <c r="G2442" s="800" t="s">
        <v>23375</v>
      </c>
      <c r="H2442" s="800" t="s">
        <v>10404</v>
      </c>
      <c r="I2442" s="800" t="s">
        <v>10404</v>
      </c>
      <c r="J2442" s="800" t="s">
        <v>10426</v>
      </c>
      <c r="K2442" s="800">
        <v>1</v>
      </c>
      <c r="L2442" s="802" t="s">
        <v>10398</v>
      </c>
      <c r="M2442" s="802" t="s">
        <v>23376</v>
      </c>
      <c r="N2442" s="802" t="s">
        <v>23377</v>
      </c>
      <c r="O2442" s="802" t="s">
        <v>23378</v>
      </c>
      <c r="P2442" s="807" t="s">
        <v>23379</v>
      </c>
    </row>
    <row r="2443" spans="1:16" s="341" customFormat="1" ht="15" customHeight="1">
      <c r="A2443" s="806" t="s">
        <v>110</v>
      </c>
      <c r="B2443" s="800" t="s">
        <v>110</v>
      </c>
      <c r="C2443" s="800" t="s">
        <v>4587</v>
      </c>
      <c r="D2443" s="800" t="s">
        <v>23380</v>
      </c>
      <c r="E2443" s="801">
        <v>43040</v>
      </c>
      <c r="F2443" s="800" t="s">
        <v>32</v>
      </c>
      <c r="G2443" s="800" t="s">
        <v>23381</v>
      </c>
      <c r="H2443" s="800" t="s">
        <v>10404</v>
      </c>
      <c r="I2443" s="800" t="s">
        <v>10404</v>
      </c>
      <c r="J2443" s="800" t="s">
        <v>10426</v>
      </c>
      <c r="K2443" s="800">
        <v>1</v>
      </c>
      <c r="L2443" s="802" t="s">
        <v>10398</v>
      </c>
      <c r="M2443" s="802" t="s">
        <v>23382</v>
      </c>
      <c r="N2443" s="802" t="s">
        <v>22428</v>
      </c>
      <c r="O2443" s="802" t="s">
        <v>23383</v>
      </c>
      <c r="P2443" s="807" t="s">
        <v>23384</v>
      </c>
    </row>
    <row r="2444" spans="1:16" s="341" customFormat="1" ht="25.5" customHeight="1">
      <c r="A2444" s="806" t="s">
        <v>110</v>
      </c>
      <c r="B2444" s="800" t="s">
        <v>110</v>
      </c>
      <c r="C2444" s="800" t="s">
        <v>4587</v>
      </c>
      <c r="D2444" s="800" t="s">
        <v>23385</v>
      </c>
      <c r="E2444" s="801">
        <v>43040</v>
      </c>
      <c r="F2444" s="800" t="s">
        <v>32</v>
      </c>
      <c r="G2444" s="800" t="s">
        <v>23386</v>
      </c>
      <c r="H2444" s="800" t="s">
        <v>10404</v>
      </c>
      <c r="I2444" s="800" t="s">
        <v>10404</v>
      </c>
      <c r="J2444" s="800" t="s">
        <v>10426</v>
      </c>
      <c r="K2444" s="800">
        <v>1</v>
      </c>
      <c r="L2444" s="802" t="s">
        <v>10398</v>
      </c>
      <c r="M2444" s="802" t="s">
        <v>23387</v>
      </c>
      <c r="N2444" s="802" t="s">
        <v>23388</v>
      </c>
      <c r="O2444" s="802" t="s">
        <v>23389</v>
      </c>
      <c r="P2444" s="807" t="s">
        <v>23390</v>
      </c>
    </row>
    <row r="2445" spans="1:16" s="341" customFormat="1" ht="15" customHeight="1">
      <c r="A2445" s="806" t="s">
        <v>110</v>
      </c>
      <c r="B2445" s="800" t="s">
        <v>110</v>
      </c>
      <c r="C2445" s="800" t="s">
        <v>4587</v>
      </c>
      <c r="D2445" s="800" t="s">
        <v>23391</v>
      </c>
      <c r="E2445" s="801">
        <v>43040</v>
      </c>
      <c r="F2445" s="800" t="s">
        <v>32</v>
      </c>
      <c r="G2445" s="800" t="s">
        <v>23392</v>
      </c>
      <c r="H2445" s="800" t="s">
        <v>10531</v>
      </c>
      <c r="I2445" s="800" t="s">
        <v>10531</v>
      </c>
      <c r="J2445" s="800" t="s">
        <v>10426</v>
      </c>
      <c r="K2445" s="800">
        <v>1</v>
      </c>
      <c r="L2445" s="802" t="s">
        <v>10398</v>
      </c>
      <c r="M2445" s="802" t="s">
        <v>23393</v>
      </c>
      <c r="N2445" s="802" t="s">
        <v>11307</v>
      </c>
      <c r="O2445" s="802" t="s">
        <v>20587</v>
      </c>
      <c r="P2445" s="807" t="s">
        <v>32</v>
      </c>
    </row>
    <row r="2446" spans="1:16" s="341" customFormat="1" ht="25.5" customHeight="1">
      <c r="A2446" s="806" t="s">
        <v>110</v>
      </c>
      <c r="B2446" s="800" t="s">
        <v>110</v>
      </c>
      <c r="C2446" s="800" t="s">
        <v>4587</v>
      </c>
      <c r="D2446" s="800" t="s">
        <v>23394</v>
      </c>
      <c r="E2446" s="801">
        <v>43040</v>
      </c>
      <c r="F2446" s="800" t="s">
        <v>32</v>
      </c>
      <c r="G2446" s="800" t="s">
        <v>23381</v>
      </c>
      <c r="H2446" s="800" t="s">
        <v>10531</v>
      </c>
      <c r="I2446" s="800" t="s">
        <v>10531</v>
      </c>
      <c r="J2446" s="800" t="s">
        <v>10426</v>
      </c>
      <c r="K2446" s="800">
        <v>1</v>
      </c>
      <c r="L2446" s="802" t="s">
        <v>10398</v>
      </c>
      <c r="M2446" s="802" t="s">
        <v>23395</v>
      </c>
      <c r="N2446" s="802" t="s">
        <v>21484</v>
      </c>
      <c r="O2446" s="802" t="s">
        <v>23396</v>
      </c>
      <c r="P2446" s="807" t="s">
        <v>23397</v>
      </c>
    </row>
    <row r="2447" spans="1:16" s="341" customFormat="1" ht="25.5" customHeight="1">
      <c r="A2447" s="806" t="s">
        <v>110</v>
      </c>
      <c r="B2447" s="800" t="s">
        <v>110</v>
      </c>
      <c r="C2447" s="800" t="s">
        <v>4587</v>
      </c>
      <c r="D2447" s="800" t="s">
        <v>23398</v>
      </c>
      <c r="E2447" s="801">
        <v>43040</v>
      </c>
      <c r="F2447" s="800" t="s">
        <v>32</v>
      </c>
      <c r="G2447" s="800" t="s">
        <v>23392</v>
      </c>
      <c r="H2447" s="800" t="s">
        <v>10531</v>
      </c>
      <c r="I2447" s="800" t="s">
        <v>10531</v>
      </c>
      <c r="J2447" s="800" t="s">
        <v>10426</v>
      </c>
      <c r="K2447" s="800">
        <v>1</v>
      </c>
      <c r="L2447" s="802" t="s">
        <v>10398</v>
      </c>
      <c r="M2447" s="802" t="s">
        <v>23399</v>
      </c>
      <c r="N2447" s="802" t="s">
        <v>23400</v>
      </c>
      <c r="O2447" s="802" t="s">
        <v>15271</v>
      </c>
      <c r="P2447" s="807" t="s">
        <v>32</v>
      </c>
    </row>
    <row r="2448" spans="1:16" s="341" customFormat="1" ht="25.5" customHeight="1">
      <c r="A2448" s="806" t="s">
        <v>110</v>
      </c>
      <c r="B2448" s="800" t="s">
        <v>110</v>
      </c>
      <c r="C2448" s="800" t="s">
        <v>4587</v>
      </c>
      <c r="D2448" s="800" t="s">
        <v>23401</v>
      </c>
      <c r="E2448" s="801">
        <v>43040</v>
      </c>
      <c r="F2448" s="800" t="s">
        <v>4587</v>
      </c>
      <c r="G2448" s="800" t="s">
        <v>23402</v>
      </c>
      <c r="H2448" s="800" t="s">
        <v>10396</v>
      </c>
      <c r="I2448" s="800" t="s">
        <v>10396</v>
      </c>
      <c r="J2448" s="800" t="s">
        <v>10397</v>
      </c>
      <c r="K2448" s="800">
        <v>1</v>
      </c>
      <c r="L2448" s="802" t="s">
        <v>10398</v>
      </c>
      <c r="M2448" s="802" t="s">
        <v>23403</v>
      </c>
      <c r="N2448" s="802" t="s">
        <v>23404</v>
      </c>
      <c r="O2448" s="802" t="s">
        <v>23405</v>
      </c>
      <c r="P2448" s="807" t="s">
        <v>23406</v>
      </c>
    </row>
    <row r="2449" spans="1:17" s="341" customFormat="1" ht="15" customHeight="1">
      <c r="A2449" s="806" t="s">
        <v>110</v>
      </c>
      <c r="B2449" s="800" t="s">
        <v>110</v>
      </c>
      <c r="C2449" s="800" t="s">
        <v>4587</v>
      </c>
      <c r="D2449" s="800" t="s">
        <v>23407</v>
      </c>
      <c r="E2449" s="801">
        <v>43040</v>
      </c>
      <c r="F2449" s="800" t="s">
        <v>4587</v>
      </c>
      <c r="G2449" s="800" t="s">
        <v>23402</v>
      </c>
      <c r="H2449" s="800" t="s">
        <v>10531</v>
      </c>
      <c r="I2449" s="800" t="s">
        <v>10531</v>
      </c>
      <c r="J2449" s="800" t="s">
        <v>4342</v>
      </c>
      <c r="K2449" s="800">
        <v>1</v>
      </c>
      <c r="L2449" s="802" t="s">
        <v>10398</v>
      </c>
      <c r="M2449" s="802" t="s">
        <v>23408</v>
      </c>
      <c r="N2449" s="802" t="s">
        <v>20616</v>
      </c>
      <c r="O2449" s="802" t="s">
        <v>23409</v>
      </c>
      <c r="P2449" s="807" t="s">
        <v>23410</v>
      </c>
    </row>
    <row r="2450" spans="1:17" s="341" customFormat="1" ht="15" customHeight="1">
      <c r="A2450" s="806" t="s">
        <v>110</v>
      </c>
      <c r="B2450" s="800" t="s">
        <v>110</v>
      </c>
      <c r="C2450" s="800" t="s">
        <v>4587</v>
      </c>
      <c r="D2450" s="800" t="s">
        <v>23411</v>
      </c>
      <c r="E2450" s="801">
        <v>43040</v>
      </c>
      <c r="F2450" s="800" t="s">
        <v>4587</v>
      </c>
      <c r="G2450" s="800" t="s">
        <v>23412</v>
      </c>
      <c r="H2450" s="800" t="s">
        <v>10531</v>
      </c>
      <c r="I2450" s="800" t="s">
        <v>10531</v>
      </c>
      <c r="J2450" s="800" t="s">
        <v>4342</v>
      </c>
      <c r="K2450" s="800">
        <v>1</v>
      </c>
      <c r="L2450" s="802" t="s">
        <v>10398</v>
      </c>
      <c r="M2450" s="802" t="s">
        <v>23413</v>
      </c>
      <c r="N2450" s="802" t="s">
        <v>23414</v>
      </c>
      <c r="O2450" s="802" t="s">
        <v>23415</v>
      </c>
      <c r="P2450" s="807" t="s">
        <v>23416</v>
      </c>
    </row>
    <row r="2451" spans="1:17" s="341" customFormat="1" ht="15" customHeight="1">
      <c r="A2451" s="806" t="s">
        <v>110</v>
      </c>
      <c r="B2451" s="800" t="s">
        <v>110</v>
      </c>
      <c r="C2451" s="800" t="s">
        <v>4587</v>
      </c>
      <c r="D2451" s="800" t="s">
        <v>23417</v>
      </c>
      <c r="E2451" s="801">
        <v>43040</v>
      </c>
      <c r="F2451" s="800" t="s">
        <v>4587</v>
      </c>
      <c r="G2451" s="800" t="s">
        <v>23418</v>
      </c>
      <c r="H2451" s="800" t="s">
        <v>10396</v>
      </c>
      <c r="I2451" s="800" t="s">
        <v>10396</v>
      </c>
      <c r="J2451" s="800" t="s">
        <v>10397</v>
      </c>
      <c r="K2451" s="800">
        <v>1</v>
      </c>
      <c r="L2451" s="802" t="s">
        <v>10398</v>
      </c>
      <c r="M2451" s="802" t="s">
        <v>23419</v>
      </c>
      <c r="N2451" s="802" t="s">
        <v>23420</v>
      </c>
      <c r="O2451" s="802" t="s">
        <v>23421</v>
      </c>
      <c r="P2451" s="807" t="s">
        <v>23422</v>
      </c>
    </row>
    <row r="2452" spans="1:17" s="341" customFormat="1" ht="25.5" customHeight="1">
      <c r="A2452" s="806" t="s">
        <v>110</v>
      </c>
      <c r="B2452" s="800" t="s">
        <v>110</v>
      </c>
      <c r="C2452" s="800" t="s">
        <v>4587</v>
      </c>
      <c r="D2452" s="800" t="s">
        <v>23423</v>
      </c>
      <c r="E2452" s="801">
        <v>43040</v>
      </c>
      <c r="F2452" s="800" t="s">
        <v>4587</v>
      </c>
      <c r="G2452" s="800" t="s">
        <v>23424</v>
      </c>
      <c r="H2452" s="800" t="s">
        <v>10396</v>
      </c>
      <c r="I2452" s="800" t="s">
        <v>10396</v>
      </c>
      <c r="J2452" s="800" t="s">
        <v>10397</v>
      </c>
      <c r="K2452" s="800">
        <v>1</v>
      </c>
      <c r="L2452" s="802" t="s">
        <v>10398</v>
      </c>
      <c r="M2452" s="802" t="s">
        <v>23425</v>
      </c>
      <c r="N2452" s="802" t="s">
        <v>10648</v>
      </c>
      <c r="O2452" s="802" t="s">
        <v>23426</v>
      </c>
      <c r="P2452" s="807" t="s">
        <v>23427</v>
      </c>
    </row>
    <row r="2453" spans="1:17" s="341" customFormat="1" ht="25.5" customHeight="1">
      <c r="A2453" s="806" t="s">
        <v>110</v>
      </c>
      <c r="B2453" s="800" t="s">
        <v>110</v>
      </c>
      <c r="C2453" s="800" t="s">
        <v>4587</v>
      </c>
      <c r="D2453" s="800" t="s">
        <v>23428</v>
      </c>
      <c r="E2453" s="801">
        <v>43040</v>
      </c>
      <c r="F2453" s="800" t="s">
        <v>4587</v>
      </c>
      <c r="G2453" s="800" t="s">
        <v>23429</v>
      </c>
      <c r="H2453" s="800" t="s">
        <v>10396</v>
      </c>
      <c r="I2453" s="800" t="s">
        <v>10396</v>
      </c>
      <c r="J2453" s="800" t="s">
        <v>10397</v>
      </c>
      <c r="K2453" s="800">
        <v>1</v>
      </c>
      <c r="L2453" s="802" t="s">
        <v>10398</v>
      </c>
      <c r="M2453" s="802" t="s">
        <v>23430</v>
      </c>
      <c r="N2453" s="802" t="s">
        <v>21398</v>
      </c>
      <c r="O2453" s="802" t="s">
        <v>19572</v>
      </c>
      <c r="P2453" s="807" t="s">
        <v>23431</v>
      </c>
    </row>
    <row r="2454" spans="1:17" s="341" customFormat="1" ht="25.5" customHeight="1">
      <c r="A2454" s="806" t="s">
        <v>110</v>
      </c>
      <c r="B2454" s="800" t="s">
        <v>110</v>
      </c>
      <c r="C2454" s="800" t="s">
        <v>4587</v>
      </c>
      <c r="D2454" s="800" t="s">
        <v>23432</v>
      </c>
      <c r="E2454" s="801">
        <v>43040</v>
      </c>
      <c r="F2454" s="800" t="s">
        <v>4587</v>
      </c>
      <c r="G2454" s="800" t="s">
        <v>23433</v>
      </c>
      <c r="H2454" s="800" t="s">
        <v>10396</v>
      </c>
      <c r="I2454" s="800" t="s">
        <v>10396</v>
      </c>
      <c r="J2454" s="800" t="s">
        <v>10397</v>
      </c>
      <c r="K2454" s="800">
        <v>1</v>
      </c>
      <c r="L2454" s="802" t="s">
        <v>10398</v>
      </c>
      <c r="M2454" s="802" t="s">
        <v>23434</v>
      </c>
      <c r="N2454" s="802" t="s">
        <v>23435</v>
      </c>
      <c r="O2454" s="802" t="s">
        <v>23436</v>
      </c>
      <c r="P2454" s="807" t="s">
        <v>23437</v>
      </c>
    </row>
    <row r="2455" spans="1:17" ht="25.5">
      <c r="A2455" s="806" t="s">
        <v>110</v>
      </c>
      <c r="B2455" s="800" t="s">
        <v>110</v>
      </c>
      <c r="C2455" s="800" t="s">
        <v>4587</v>
      </c>
      <c r="D2455" s="800" t="s">
        <v>23438</v>
      </c>
      <c r="E2455" s="801">
        <v>43040</v>
      </c>
      <c r="F2455" s="800" t="s">
        <v>4587</v>
      </c>
      <c r="G2455" s="800" t="s">
        <v>23439</v>
      </c>
      <c r="H2455" s="800" t="s">
        <v>10433</v>
      </c>
      <c r="I2455" s="800" t="s">
        <v>10433</v>
      </c>
      <c r="J2455" s="800" t="s">
        <v>4342</v>
      </c>
      <c r="K2455" s="800">
        <v>1</v>
      </c>
      <c r="L2455" s="802" t="s">
        <v>10398</v>
      </c>
      <c r="M2455" s="802" t="s">
        <v>23440</v>
      </c>
      <c r="N2455" s="802" t="s">
        <v>11635</v>
      </c>
      <c r="O2455" s="802" t="s">
        <v>23441</v>
      </c>
      <c r="P2455" s="807" t="s">
        <v>23442</v>
      </c>
    </row>
    <row r="2456" spans="1:17" ht="30" customHeight="1" thickBot="1">
      <c r="A2456" s="808" t="s">
        <v>110</v>
      </c>
      <c r="B2456" s="809" t="s">
        <v>110</v>
      </c>
      <c r="C2456" s="809" t="s">
        <v>4587</v>
      </c>
      <c r="D2456" s="809" t="s">
        <v>23443</v>
      </c>
      <c r="E2456" s="810">
        <v>43040</v>
      </c>
      <c r="F2456" s="809" t="s">
        <v>4587</v>
      </c>
      <c r="G2456" s="809" t="s">
        <v>23444</v>
      </c>
      <c r="H2456" s="809" t="s">
        <v>10396</v>
      </c>
      <c r="I2456" s="809" t="s">
        <v>10396</v>
      </c>
      <c r="J2456" s="809" t="s">
        <v>10397</v>
      </c>
      <c r="K2456" s="809">
        <v>1</v>
      </c>
      <c r="L2456" s="811" t="s">
        <v>11026</v>
      </c>
      <c r="M2456" s="811" t="s">
        <v>23445</v>
      </c>
      <c r="N2456" s="811" t="s">
        <v>23446</v>
      </c>
      <c r="O2456" s="811" t="s">
        <v>23447</v>
      </c>
      <c r="P2456" s="812" t="s">
        <v>23448</v>
      </c>
      <c r="Q2456" s="342"/>
    </row>
    <row r="2457" spans="1:17" ht="30" customHeight="1" thickBot="1">
      <c r="A2457" s="343"/>
      <c r="B2457" s="343"/>
      <c r="C2457" s="343"/>
      <c r="D2457" s="343"/>
      <c r="E2457" s="344"/>
      <c r="F2457" s="343"/>
      <c r="G2457" s="343"/>
      <c r="H2457" s="343"/>
      <c r="I2457" s="343"/>
      <c r="J2457" s="343"/>
      <c r="K2457" s="343"/>
      <c r="L2457" s="345"/>
      <c r="M2457" s="345"/>
      <c r="N2457" s="345"/>
      <c r="O2457" s="345"/>
      <c r="P2457" s="345"/>
      <c r="Q2457" s="342"/>
    </row>
    <row r="2458" spans="1:17" ht="35.25" customHeight="1" thickBot="1">
      <c r="A2458" s="346" t="s">
        <v>92</v>
      </c>
      <c r="B2458" s="1168" t="s">
        <v>4342</v>
      </c>
      <c r="C2458" s="1169"/>
      <c r="D2458" s="1168" t="s">
        <v>23449</v>
      </c>
      <c r="E2458" s="1169"/>
      <c r="F2458" s="1170" t="s">
        <v>10397</v>
      </c>
      <c r="G2458" s="1171"/>
      <c r="H2458" s="1172" t="s">
        <v>23450</v>
      </c>
      <c r="I2458" s="1173"/>
      <c r="J2458" s="1174"/>
    </row>
    <row r="2459" spans="1:17" ht="16.5" customHeight="1" thickBot="1">
      <c r="A2459" s="347"/>
      <c r="B2459" s="348" t="s">
        <v>34</v>
      </c>
      <c r="C2459" s="349" t="s">
        <v>23451</v>
      </c>
      <c r="D2459" s="348" t="s">
        <v>34</v>
      </c>
      <c r="E2459" s="349" t="s">
        <v>23451</v>
      </c>
      <c r="F2459" s="348" t="s">
        <v>34</v>
      </c>
      <c r="G2459" s="349" t="s">
        <v>23451</v>
      </c>
      <c r="H2459" s="1175"/>
      <c r="I2459" s="1176"/>
      <c r="J2459" s="1177"/>
    </row>
    <row r="2460" spans="1:17" ht="18">
      <c r="A2460" s="350" t="s">
        <v>4358</v>
      </c>
      <c r="B2460" s="351"/>
      <c r="C2460" s="352">
        <f>B2460*6500000</f>
        <v>0</v>
      </c>
      <c r="D2460" s="351">
        <v>28</v>
      </c>
      <c r="E2460" s="352">
        <f>D2460*18000000</f>
        <v>504000000</v>
      </c>
      <c r="F2460" s="351">
        <v>11</v>
      </c>
      <c r="G2460" s="352">
        <f>F2460*5000000</f>
        <v>55000000</v>
      </c>
      <c r="H2460" s="1178">
        <f>C2460+G2460+E2460</f>
        <v>559000000</v>
      </c>
      <c r="I2460" s="1179"/>
      <c r="J2460" s="1180"/>
    </row>
    <row r="2461" spans="1:17" ht="18">
      <c r="A2461" s="353" t="s">
        <v>18378</v>
      </c>
      <c r="B2461" s="354">
        <v>4</v>
      </c>
      <c r="C2461" s="355">
        <f t="shared" ref="C2461:C2491" si="0">B2461*6500000</f>
        <v>26000000</v>
      </c>
      <c r="D2461" s="354">
        <v>19</v>
      </c>
      <c r="E2461" s="355">
        <f>D2461*18000000</f>
        <v>342000000</v>
      </c>
      <c r="F2461" s="354">
        <v>9</v>
      </c>
      <c r="G2461" s="355">
        <f t="shared" ref="G2461:G2491" si="1">F2461*5000000</f>
        <v>45000000</v>
      </c>
      <c r="H2461" s="1155">
        <f t="shared" ref="H2461:H2491" si="2">C2461+G2461+E2461</f>
        <v>413000000</v>
      </c>
      <c r="I2461" s="1156"/>
      <c r="J2461" s="1157"/>
    </row>
    <row r="2462" spans="1:17" ht="18">
      <c r="A2462" s="353" t="s">
        <v>4526</v>
      </c>
      <c r="B2462" s="354">
        <v>0</v>
      </c>
      <c r="C2462" s="355">
        <f t="shared" si="0"/>
        <v>0</v>
      </c>
      <c r="D2462" s="354">
        <v>17</v>
      </c>
      <c r="E2462" s="355">
        <f>D2462*18000000</f>
        <v>306000000</v>
      </c>
      <c r="F2462" s="354">
        <v>0</v>
      </c>
      <c r="G2462" s="355">
        <f t="shared" si="1"/>
        <v>0</v>
      </c>
      <c r="H2462" s="1155">
        <f t="shared" si="2"/>
        <v>306000000</v>
      </c>
      <c r="I2462" s="1156"/>
      <c r="J2462" s="1157"/>
    </row>
    <row r="2463" spans="1:17" ht="18">
      <c r="A2463" s="353" t="s">
        <v>23452</v>
      </c>
      <c r="B2463" s="354">
        <v>3</v>
      </c>
      <c r="C2463" s="355">
        <f t="shared" si="0"/>
        <v>19500000</v>
      </c>
      <c r="D2463" s="354">
        <v>2</v>
      </c>
      <c r="E2463" s="355">
        <f>D2463*24000000</f>
        <v>48000000</v>
      </c>
      <c r="F2463" s="354">
        <v>1</v>
      </c>
      <c r="G2463" s="355">
        <f t="shared" si="1"/>
        <v>5000000</v>
      </c>
      <c r="H2463" s="1155">
        <f t="shared" si="2"/>
        <v>72500000</v>
      </c>
      <c r="I2463" s="1156"/>
      <c r="J2463" s="1157"/>
      <c r="K2463" s="813">
        <f>H2463+H2464</f>
        <v>1324000000</v>
      </c>
    </row>
    <row r="2464" spans="1:17" ht="18">
      <c r="A2464" s="353" t="s">
        <v>23453</v>
      </c>
      <c r="B2464" s="354">
        <v>9</v>
      </c>
      <c r="C2464" s="355">
        <f t="shared" si="0"/>
        <v>58500000</v>
      </c>
      <c r="D2464" s="354">
        <v>61</v>
      </c>
      <c r="E2464" s="355">
        <f>D2464*18000000</f>
        <v>1098000000</v>
      </c>
      <c r="F2464" s="354">
        <v>19</v>
      </c>
      <c r="G2464" s="355">
        <f t="shared" si="1"/>
        <v>95000000</v>
      </c>
      <c r="H2464" s="1155">
        <f t="shared" si="2"/>
        <v>1251500000</v>
      </c>
      <c r="I2464" s="1156"/>
      <c r="J2464" s="1157"/>
    </row>
    <row r="2465" spans="1:10" ht="18">
      <c r="A2465" s="353" t="s">
        <v>82</v>
      </c>
      <c r="B2465" s="354">
        <v>3</v>
      </c>
      <c r="C2465" s="355">
        <f t="shared" si="0"/>
        <v>19500000</v>
      </c>
      <c r="D2465" s="354">
        <v>38</v>
      </c>
      <c r="E2465" s="355">
        <f>D2465*18000000</f>
        <v>684000000</v>
      </c>
      <c r="F2465" s="354">
        <v>0</v>
      </c>
      <c r="G2465" s="355">
        <f t="shared" si="1"/>
        <v>0</v>
      </c>
      <c r="H2465" s="1155">
        <f t="shared" si="2"/>
        <v>703500000</v>
      </c>
      <c r="I2465" s="1156"/>
      <c r="J2465" s="1157"/>
    </row>
    <row r="2466" spans="1:10" ht="18">
      <c r="A2466" s="353" t="s">
        <v>3751</v>
      </c>
      <c r="B2466" s="354">
        <v>0</v>
      </c>
      <c r="C2466" s="355">
        <f t="shared" si="0"/>
        <v>0</v>
      </c>
      <c r="D2466" s="354">
        <v>157</v>
      </c>
      <c r="E2466" s="355">
        <f>D2466*18000000</f>
        <v>2826000000</v>
      </c>
      <c r="F2466" s="354">
        <v>0</v>
      </c>
      <c r="G2466" s="355">
        <f t="shared" si="1"/>
        <v>0</v>
      </c>
      <c r="H2466" s="1155">
        <f t="shared" si="2"/>
        <v>2826000000</v>
      </c>
      <c r="I2466" s="1156"/>
      <c r="J2466" s="1157"/>
    </row>
    <row r="2467" spans="1:10" ht="18">
      <c r="A2467" s="353" t="s">
        <v>130</v>
      </c>
      <c r="B2467" s="354">
        <v>16</v>
      </c>
      <c r="C2467" s="355">
        <f t="shared" si="0"/>
        <v>104000000</v>
      </c>
      <c r="D2467" s="354">
        <v>246</v>
      </c>
      <c r="E2467" s="355">
        <f t="shared" ref="E2467:E2468" si="3">D2467*18000000</f>
        <v>4428000000</v>
      </c>
      <c r="F2467" s="354">
        <v>81</v>
      </c>
      <c r="G2467" s="355">
        <f t="shared" si="1"/>
        <v>405000000</v>
      </c>
      <c r="H2467" s="1155">
        <f t="shared" si="2"/>
        <v>4937000000</v>
      </c>
      <c r="I2467" s="1156"/>
      <c r="J2467" s="1157"/>
    </row>
    <row r="2468" spans="1:10" ht="18">
      <c r="A2468" s="353" t="s">
        <v>4469</v>
      </c>
      <c r="B2468" s="354">
        <v>3</v>
      </c>
      <c r="C2468" s="355">
        <f t="shared" si="0"/>
        <v>19500000</v>
      </c>
      <c r="D2468" s="354">
        <v>2</v>
      </c>
      <c r="E2468" s="355">
        <f t="shared" si="3"/>
        <v>36000000</v>
      </c>
      <c r="F2468" s="354">
        <v>10</v>
      </c>
      <c r="G2468" s="355">
        <f t="shared" si="1"/>
        <v>50000000</v>
      </c>
      <c r="H2468" s="1155">
        <f t="shared" si="2"/>
        <v>105500000</v>
      </c>
      <c r="I2468" s="1156"/>
      <c r="J2468" s="1157"/>
    </row>
    <row r="2469" spans="1:10" ht="18">
      <c r="A2469" s="353" t="s">
        <v>4084</v>
      </c>
      <c r="B2469" s="354">
        <v>3</v>
      </c>
      <c r="C2469" s="355">
        <f t="shared" si="0"/>
        <v>19500000</v>
      </c>
      <c r="D2469" s="354">
        <v>1</v>
      </c>
      <c r="E2469" s="355">
        <f>D2469*24000000</f>
        <v>24000000</v>
      </c>
      <c r="F2469" s="354"/>
      <c r="G2469" s="355">
        <f t="shared" si="1"/>
        <v>0</v>
      </c>
      <c r="H2469" s="1155">
        <f t="shared" si="2"/>
        <v>43500000</v>
      </c>
      <c r="I2469" s="1156"/>
      <c r="J2469" s="1157"/>
    </row>
    <row r="2470" spans="1:10" ht="18">
      <c r="A2470" s="353" t="s">
        <v>3782</v>
      </c>
      <c r="B2470" s="354">
        <v>2</v>
      </c>
      <c r="C2470" s="355">
        <f t="shared" si="0"/>
        <v>13000000</v>
      </c>
      <c r="D2470" s="354">
        <v>8</v>
      </c>
      <c r="E2470" s="355">
        <f>D2470*18000000</f>
        <v>144000000</v>
      </c>
      <c r="F2470" s="354"/>
      <c r="G2470" s="355">
        <f t="shared" si="1"/>
        <v>0</v>
      </c>
      <c r="H2470" s="1155">
        <f t="shared" si="2"/>
        <v>157000000</v>
      </c>
      <c r="I2470" s="1156"/>
      <c r="J2470" s="1157"/>
    </row>
    <row r="2471" spans="1:10" ht="18">
      <c r="A2471" s="353" t="s">
        <v>4070</v>
      </c>
      <c r="B2471" s="354"/>
      <c r="C2471" s="355">
        <f t="shared" si="0"/>
        <v>0</v>
      </c>
      <c r="D2471" s="354">
        <v>1</v>
      </c>
      <c r="E2471" s="355">
        <f>D2471*24000000</f>
        <v>24000000</v>
      </c>
      <c r="F2471" s="354"/>
      <c r="G2471" s="355">
        <f t="shared" si="1"/>
        <v>0</v>
      </c>
      <c r="H2471" s="1155">
        <f t="shared" si="2"/>
        <v>24000000</v>
      </c>
      <c r="I2471" s="1156"/>
      <c r="J2471" s="1157"/>
    </row>
    <row r="2472" spans="1:10" ht="18">
      <c r="A2472" s="353" t="s">
        <v>4156</v>
      </c>
      <c r="B2472" s="354"/>
      <c r="C2472" s="355">
        <f t="shared" si="0"/>
        <v>0</v>
      </c>
      <c r="D2472" s="354">
        <v>10</v>
      </c>
      <c r="E2472" s="355">
        <f>D2472*18000000</f>
        <v>180000000</v>
      </c>
      <c r="F2472" s="354">
        <v>2</v>
      </c>
      <c r="G2472" s="355">
        <f t="shared" si="1"/>
        <v>10000000</v>
      </c>
      <c r="H2472" s="1155">
        <f t="shared" si="2"/>
        <v>190000000</v>
      </c>
      <c r="I2472" s="1156"/>
      <c r="J2472" s="1157"/>
    </row>
    <row r="2473" spans="1:10" ht="18">
      <c r="A2473" s="353" t="s">
        <v>4197</v>
      </c>
      <c r="B2473" s="354"/>
      <c r="C2473" s="355">
        <f t="shared" si="0"/>
        <v>0</v>
      </c>
      <c r="D2473" s="354">
        <v>3</v>
      </c>
      <c r="E2473" s="355">
        <f>D2473*24000000</f>
        <v>72000000</v>
      </c>
      <c r="F2473" s="354"/>
      <c r="G2473" s="355">
        <f t="shared" si="1"/>
        <v>0</v>
      </c>
      <c r="H2473" s="1155">
        <f t="shared" si="2"/>
        <v>72000000</v>
      </c>
      <c r="I2473" s="1156"/>
      <c r="J2473" s="1157"/>
    </row>
    <row r="2474" spans="1:10" ht="18">
      <c r="A2474" s="353" t="s">
        <v>84</v>
      </c>
      <c r="B2474" s="354">
        <v>1</v>
      </c>
      <c r="C2474" s="355">
        <f t="shared" si="0"/>
        <v>6500000</v>
      </c>
      <c r="D2474" s="354"/>
      <c r="E2474" s="355">
        <f>D2474*18000000</f>
        <v>0</v>
      </c>
      <c r="F2474" s="354">
        <v>1</v>
      </c>
      <c r="G2474" s="355">
        <f t="shared" si="1"/>
        <v>5000000</v>
      </c>
      <c r="H2474" s="1155">
        <f t="shared" si="2"/>
        <v>11500000</v>
      </c>
      <c r="I2474" s="1156"/>
      <c r="J2474" s="1157"/>
    </row>
    <row r="2475" spans="1:10" ht="18">
      <c r="A2475" s="353" t="s">
        <v>304</v>
      </c>
      <c r="B2475" s="354">
        <v>1</v>
      </c>
      <c r="C2475" s="355">
        <f t="shared" si="0"/>
        <v>6500000</v>
      </c>
      <c r="D2475" s="354">
        <v>3</v>
      </c>
      <c r="E2475" s="355">
        <f>D2475*18000000</f>
        <v>54000000</v>
      </c>
      <c r="F2475" s="354">
        <v>3</v>
      </c>
      <c r="G2475" s="355">
        <f t="shared" si="1"/>
        <v>15000000</v>
      </c>
      <c r="H2475" s="1155">
        <f t="shared" si="2"/>
        <v>75500000</v>
      </c>
      <c r="I2475" s="1156"/>
      <c r="J2475" s="1157"/>
    </row>
    <row r="2476" spans="1:10" ht="18">
      <c r="A2476" s="353" t="s">
        <v>58</v>
      </c>
      <c r="B2476" s="354"/>
      <c r="C2476" s="355">
        <f t="shared" si="0"/>
        <v>0</v>
      </c>
      <c r="D2476" s="354">
        <v>10</v>
      </c>
      <c r="E2476" s="355">
        <f>D2476*18000000</f>
        <v>180000000</v>
      </c>
      <c r="F2476" s="354">
        <v>13</v>
      </c>
      <c r="G2476" s="355">
        <f t="shared" si="1"/>
        <v>65000000</v>
      </c>
      <c r="H2476" s="1155">
        <f t="shared" si="2"/>
        <v>245000000</v>
      </c>
      <c r="I2476" s="1156"/>
      <c r="J2476" s="1157"/>
    </row>
    <row r="2477" spans="1:10" ht="18">
      <c r="A2477" s="353" t="s">
        <v>11728</v>
      </c>
      <c r="B2477" s="354">
        <v>2</v>
      </c>
      <c r="C2477" s="355">
        <f t="shared" si="0"/>
        <v>13000000</v>
      </c>
      <c r="D2477" s="354">
        <v>24</v>
      </c>
      <c r="E2477" s="355">
        <f>D2477*18000000</f>
        <v>432000000</v>
      </c>
      <c r="F2477" s="354">
        <v>2</v>
      </c>
      <c r="G2477" s="355">
        <f t="shared" si="1"/>
        <v>10000000</v>
      </c>
      <c r="H2477" s="1155">
        <f t="shared" si="2"/>
        <v>455000000</v>
      </c>
      <c r="I2477" s="1156"/>
      <c r="J2477" s="1157"/>
    </row>
    <row r="2478" spans="1:10" ht="18">
      <c r="A2478" s="353" t="s">
        <v>705</v>
      </c>
      <c r="B2478" s="354">
        <v>5</v>
      </c>
      <c r="C2478" s="355">
        <f t="shared" si="0"/>
        <v>32500000</v>
      </c>
      <c r="D2478" s="354">
        <v>7</v>
      </c>
      <c r="E2478" s="355">
        <f>D2478*24000000</f>
        <v>168000000</v>
      </c>
      <c r="F2478" s="354">
        <v>14</v>
      </c>
      <c r="G2478" s="355">
        <f t="shared" si="1"/>
        <v>70000000</v>
      </c>
      <c r="H2478" s="1155">
        <f t="shared" si="2"/>
        <v>270500000</v>
      </c>
      <c r="I2478" s="1156"/>
      <c r="J2478" s="1157"/>
    </row>
    <row r="2479" spans="1:10" ht="18">
      <c r="A2479" s="353" t="s">
        <v>135</v>
      </c>
      <c r="B2479" s="354">
        <v>0</v>
      </c>
      <c r="C2479" s="355">
        <f t="shared" si="0"/>
        <v>0</v>
      </c>
      <c r="D2479" s="354">
        <v>13</v>
      </c>
      <c r="E2479" s="355">
        <f t="shared" ref="E2479:E2487" si="4">D2479*18000000</f>
        <v>234000000</v>
      </c>
      <c r="F2479" s="354"/>
      <c r="G2479" s="355">
        <f t="shared" si="1"/>
        <v>0</v>
      </c>
      <c r="H2479" s="1155">
        <f t="shared" si="2"/>
        <v>234000000</v>
      </c>
      <c r="I2479" s="1156"/>
      <c r="J2479" s="1157"/>
    </row>
    <row r="2480" spans="1:10" ht="18">
      <c r="A2480" s="353" t="s">
        <v>3852</v>
      </c>
      <c r="B2480" s="354">
        <v>0</v>
      </c>
      <c r="C2480" s="355">
        <f t="shared" si="0"/>
        <v>0</v>
      </c>
      <c r="D2480" s="354">
        <v>6</v>
      </c>
      <c r="E2480" s="355">
        <f>D2480*24000000</f>
        <v>144000000</v>
      </c>
      <c r="F2480" s="354">
        <v>0</v>
      </c>
      <c r="G2480" s="355">
        <f t="shared" si="1"/>
        <v>0</v>
      </c>
      <c r="H2480" s="1155">
        <f t="shared" si="2"/>
        <v>144000000</v>
      </c>
      <c r="I2480" s="1156"/>
      <c r="J2480" s="1157"/>
    </row>
    <row r="2481" spans="1:17" ht="18">
      <c r="A2481" s="353" t="s">
        <v>4411</v>
      </c>
      <c r="B2481" s="354">
        <v>1</v>
      </c>
      <c r="C2481" s="355">
        <f t="shared" si="0"/>
        <v>6500000</v>
      </c>
      <c r="D2481" s="354">
        <v>15</v>
      </c>
      <c r="E2481" s="355">
        <f t="shared" si="4"/>
        <v>270000000</v>
      </c>
      <c r="F2481" s="354">
        <v>2</v>
      </c>
      <c r="G2481" s="355">
        <f t="shared" si="1"/>
        <v>10000000</v>
      </c>
      <c r="H2481" s="1155">
        <f t="shared" si="2"/>
        <v>286500000</v>
      </c>
      <c r="I2481" s="1156"/>
      <c r="J2481" s="1157"/>
    </row>
    <row r="2482" spans="1:17" ht="18">
      <c r="A2482" s="353" t="s">
        <v>867</v>
      </c>
      <c r="B2482" s="354">
        <v>1</v>
      </c>
      <c r="C2482" s="355">
        <f t="shared" si="0"/>
        <v>6500000</v>
      </c>
      <c r="D2482" s="354">
        <v>20</v>
      </c>
      <c r="E2482" s="355">
        <f t="shared" si="4"/>
        <v>360000000</v>
      </c>
      <c r="F2482" s="354">
        <v>20</v>
      </c>
      <c r="G2482" s="355">
        <f t="shared" si="1"/>
        <v>100000000</v>
      </c>
      <c r="H2482" s="1155">
        <f t="shared" si="2"/>
        <v>466500000</v>
      </c>
      <c r="I2482" s="1156"/>
      <c r="J2482" s="1157"/>
    </row>
    <row r="2483" spans="1:17" ht="18">
      <c r="A2483" s="353" t="s">
        <v>38</v>
      </c>
      <c r="B2483" s="354">
        <v>201</v>
      </c>
      <c r="C2483" s="355">
        <f t="shared" si="0"/>
        <v>1306500000</v>
      </c>
      <c r="D2483" s="354">
        <v>33</v>
      </c>
      <c r="E2483" s="355">
        <f t="shared" si="4"/>
        <v>594000000</v>
      </c>
      <c r="F2483" s="354">
        <v>126</v>
      </c>
      <c r="G2483" s="355">
        <f t="shared" si="1"/>
        <v>630000000</v>
      </c>
      <c r="H2483" s="1155">
        <f t="shared" si="2"/>
        <v>2530500000</v>
      </c>
      <c r="I2483" s="1156"/>
      <c r="J2483" s="1157"/>
    </row>
    <row r="2484" spans="1:17" ht="18">
      <c r="A2484" s="353" t="s">
        <v>4738</v>
      </c>
      <c r="B2484" s="354"/>
      <c r="C2484" s="355">
        <f t="shared" si="0"/>
        <v>0</v>
      </c>
      <c r="D2484" s="354">
        <v>20</v>
      </c>
      <c r="E2484" s="355">
        <f t="shared" si="4"/>
        <v>360000000</v>
      </c>
      <c r="F2484" s="354">
        <v>2</v>
      </c>
      <c r="G2484" s="355">
        <f t="shared" si="1"/>
        <v>10000000</v>
      </c>
      <c r="H2484" s="1155">
        <f t="shared" si="2"/>
        <v>370000000</v>
      </c>
      <c r="I2484" s="1156"/>
      <c r="J2484" s="1157"/>
    </row>
    <row r="2485" spans="1:17" ht="18">
      <c r="A2485" s="353" t="s">
        <v>3770</v>
      </c>
      <c r="B2485" s="354">
        <v>1</v>
      </c>
      <c r="C2485" s="355">
        <f t="shared" si="0"/>
        <v>6500000</v>
      </c>
      <c r="D2485" s="354">
        <v>53</v>
      </c>
      <c r="E2485" s="355">
        <f t="shared" si="4"/>
        <v>954000000</v>
      </c>
      <c r="F2485" s="354">
        <v>2</v>
      </c>
      <c r="G2485" s="355">
        <f t="shared" si="1"/>
        <v>10000000</v>
      </c>
      <c r="H2485" s="1155">
        <f t="shared" si="2"/>
        <v>970500000</v>
      </c>
      <c r="I2485" s="1156"/>
      <c r="J2485" s="1157"/>
    </row>
    <row r="2486" spans="1:17" ht="18">
      <c r="A2486" s="353" t="s">
        <v>110</v>
      </c>
      <c r="B2486" s="354">
        <v>14</v>
      </c>
      <c r="C2486" s="355">
        <f t="shared" si="0"/>
        <v>91000000</v>
      </c>
      <c r="D2486" s="354">
        <v>130</v>
      </c>
      <c r="E2486" s="355">
        <f t="shared" si="4"/>
        <v>2340000000</v>
      </c>
      <c r="F2486" s="354">
        <v>16</v>
      </c>
      <c r="G2486" s="355">
        <f t="shared" si="1"/>
        <v>80000000</v>
      </c>
      <c r="H2486" s="1155">
        <f t="shared" si="2"/>
        <v>2511000000</v>
      </c>
      <c r="I2486" s="1156"/>
      <c r="J2486" s="1157"/>
    </row>
    <row r="2487" spans="1:17" ht="18">
      <c r="A2487" s="353" t="s">
        <v>4346</v>
      </c>
      <c r="B2487" s="354"/>
      <c r="C2487" s="355">
        <f t="shared" si="0"/>
        <v>0</v>
      </c>
      <c r="D2487" s="354">
        <v>11</v>
      </c>
      <c r="E2487" s="355">
        <f t="shared" si="4"/>
        <v>198000000</v>
      </c>
      <c r="F2487" s="354"/>
      <c r="G2487" s="355">
        <f t="shared" si="1"/>
        <v>0</v>
      </c>
      <c r="H2487" s="1155">
        <f t="shared" si="2"/>
        <v>198000000</v>
      </c>
      <c r="I2487" s="1156"/>
      <c r="J2487" s="1157"/>
    </row>
    <row r="2488" spans="1:17" ht="18">
      <c r="A2488" s="353" t="s">
        <v>1572</v>
      </c>
      <c r="B2488" s="354">
        <v>2</v>
      </c>
      <c r="C2488" s="355">
        <f t="shared" si="0"/>
        <v>13000000</v>
      </c>
      <c r="D2488" s="354">
        <v>6</v>
      </c>
      <c r="E2488" s="355">
        <f>D2488*24000000</f>
        <v>144000000</v>
      </c>
      <c r="F2488" s="354"/>
      <c r="G2488" s="355">
        <f t="shared" si="1"/>
        <v>0</v>
      </c>
      <c r="H2488" s="1155">
        <f t="shared" si="2"/>
        <v>157000000</v>
      </c>
      <c r="I2488" s="1156"/>
      <c r="J2488" s="1157"/>
    </row>
    <row r="2489" spans="1:17" ht="18">
      <c r="A2489" s="353" t="s">
        <v>1262</v>
      </c>
      <c r="B2489" s="354"/>
      <c r="C2489" s="355">
        <f t="shared" si="0"/>
        <v>0</v>
      </c>
      <c r="D2489" s="354">
        <v>1</v>
      </c>
      <c r="E2489" s="355">
        <f>D2489*18000000</f>
        <v>18000000</v>
      </c>
      <c r="F2489" s="354">
        <v>10</v>
      </c>
      <c r="G2489" s="355">
        <f t="shared" si="1"/>
        <v>50000000</v>
      </c>
      <c r="H2489" s="1155">
        <f t="shared" si="2"/>
        <v>68000000</v>
      </c>
      <c r="I2489" s="1156"/>
      <c r="J2489" s="1157"/>
    </row>
    <row r="2490" spans="1:17" ht="18">
      <c r="A2490" s="353" t="s">
        <v>4098</v>
      </c>
      <c r="B2490" s="354">
        <v>2</v>
      </c>
      <c r="C2490" s="355">
        <f t="shared" si="0"/>
        <v>13000000</v>
      </c>
      <c r="D2490" s="354">
        <v>18</v>
      </c>
      <c r="E2490" s="355">
        <f>D2490*18000000</f>
        <v>324000000</v>
      </c>
      <c r="F2490" s="354">
        <v>2</v>
      </c>
      <c r="G2490" s="355">
        <f t="shared" si="1"/>
        <v>10000000</v>
      </c>
      <c r="H2490" s="1155">
        <f t="shared" si="2"/>
        <v>347000000</v>
      </c>
      <c r="I2490" s="1156"/>
      <c r="J2490" s="1157"/>
    </row>
    <row r="2491" spans="1:17" ht="18.75" thickBot="1">
      <c r="A2491" s="356" t="s">
        <v>13215</v>
      </c>
      <c r="B2491" s="357"/>
      <c r="C2491" s="358">
        <f t="shared" si="0"/>
        <v>0</v>
      </c>
      <c r="D2491" s="357">
        <v>22</v>
      </c>
      <c r="E2491" s="358">
        <f>D2491*24000000</f>
        <v>528000000</v>
      </c>
      <c r="F2491" s="357"/>
      <c r="G2491" s="358">
        <f t="shared" si="1"/>
        <v>0</v>
      </c>
      <c r="H2491" s="1155">
        <f t="shared" si="2"/>
        <v>528000000</v>
      </c>
      <c r="I2491" s="1156"/>
      <c r="J2491" s="1157"/>
    </row>
    <row r="2492" spans="1:17" ht="27.75" customHeight="1" thickBot="1">
      <c r="A2492" s="514" t="s">
        <v>23454</v>
      </c>
      <c r="B2492" s="515">
        <f>SUM(B2460:B2491)</f>
        <v>274</v>
      </c>
      <c r="C2492" s="516">
        <f>SUM(C2460:C2491)</f>
        <v>1781000000</v>
      </c>
      <c r="D2492" s="517">
        <f>SUM(D2460:D2491)</f>
        <v>985</v>
      </c>
      <c r="E2492" s="518">
        <f>SUM(E2460:E2491)</f>
        <v>18018000000</v>
      </c>
      <c r="F2492" s="517">
        <f t="shared" ref="F2492:J2492" si="5">SUM(F2460:F2491)</f>
        <v>346</v>
      </c>
      <c r="G2492" s="518">
        <f>SUM(G2460:G2491)</f>
        <v>1730000000</v>
      </c>
      <c r="H2492" s="1158">
        <f>SUM(H2460:H2491)</f>
        <v>21529000000</v>
      </c>
      <c r="I2492" s="1159">
        <f t="shared" si="5"/>
        <v>0</v>
      </c>
      <c r="J2492" s="1160">
        <f t="shared" si="5"/>
        <v>0</v>
      </c>
      <c r="K2492" s="359">
        <f>B2492+D2492+F2492</f>
        <v>1605</v>
      </c>
      <c r="L2492" s="360">
        <v>21529000000</v>
      </c>
      <c r="M2492" s="360">
        <v>0</v>
      </c>
      <c r="N2492" s="111">
        <v>0</v>
      </c>
    </row>
    <row r="2493" spans="1:17">
      <c r="A2493" s="361"/>
      <c r="B2493" s="362"/>
      <c r="C2493" s="363"/>
      <c r="D2493" s="362"/>
      <c r="E2493" s="362"/>
      <c r="F2493" s="362"/>
      <c r="G2493" s="362"/>
      <c r="H2493" s="362"/>
      <c r="I2493" s="363"/>
      <c r="J2493" s="363"/>
    </row>
    <row r="2495" spans="1:17" ht="176.25" customHeight="1">
      <c r="A2495" s="1164" t="s">
        <v>23455</v>
      </c>
      <c r="B2495" s="1164"/>
      <c r="C2495" s="1164"/>
      <c r="D2495" s="1164"/>
      <c r="E2495" s="1164"/>
      <c r="F2495" s="1164"/>
      <c r="G2495" s="1164"/>
      <c r="H2495" s="1164"/>
      <c r="I2495" s="1164"/>
      <c r="J2495" s="1164"/>
      <c r="K2495" s="1164"/>
      <c r="L2495" s="1164"/>
      <c r="M2495" s="1164"/>
      <c r="N2495" s="1164"/>
      <c r="O2495" s="1164"/>
      <c r="P2495" s="1164"/>
      <c r="Q2495" s="814"/>
    </row>
    <row r="2498" spans="1:17" ht="40.5" customHeight="1" thickBot="1">
      <c r="A2498" s="1146" t="s">
        <v>23456</v>
      </c>
      <c r="B2498" s="1161"/>
      <c r="C2498" s="1161"/>
      <c r="D2498" s="1161"/>
      <c r="E2498" s="1147"/>
      <c r="F2498" s="1162" t="s">
        <v>23457</v>
      </c>
      <c r="G2498" s="1163"/>
      <c r="H2498" s="1163"/>
      <c r="I2498" s="1163"/>
      <c r="J2498" s="1163"/>
      <c r="K2498" s="1163"/>
      <c r="L2498" s="364"/>
      <c r="M2498" s="365" t="s">
        <v>23458</v>
      </c>
      <c r="N2498" s="1165" t="s">
        <v>23459</v>
      </c>
      <c r="O2498" s="1165"/>
      <c r="P2498" s="1165"/>
      <c r="Q2498" s="364"/>
    </row>
    <row r="2499" spans="1:17" ht="21" thickBot="1">
      <c r="A2499" s="366"/>
      <c r="B2499" s="366"/>
      <c r="C2499" s="366"/>
      <c r="E2499" s="365" t="s">
        <v>23460</v>
      </c>
      <c r="F2499" s="1144">
        <v>22027980</v>
      </c>
      <c r="G2499" s="1145"/>
      <c r="H2499" s="1145"/>
      <c r="I2499" s="1145"/>
      <c r="J2499" s="1145"/>
      <c r="K2499" s="1145"/>
      <c r="L2499" s="1146" t="s">
        <v>23461</v>
      </c>
      <c r="M2499" s="1147"/>
      <c r="N2499" s="1154" t="s">
        <v>23462</v>
      </c>
      <c r="O2499" s="1154"/>
      <c r="P2499" s="1154"/>
      <c r="Q2499" s="364"/>
    </row>
    <row r="2500" spans="1:17" ht="15">
      <c r="D2500" s="1148"/>
      <c r="E2500" s="1148"/>
      <c r="F2500" s="1148"/>
      <c r="G2500" s="1148"/>
      <c r="H2500" s="1148"/>
      <c r="I2500" s="1148"/>
      <c r="J2500" s="1149"/>
      <c r="K2500" s="1149"/>
      <c r="L2500" s="1149"/>
      <c r="M2500" s="1148"/>
      <c r="N2500" s="1148"/>
    </row>
    <row r="2501" spans="1:17" ht="66.75" customHeight="1">
      <c r="A2501" s="1150" t="s">
        <v>23463</v>
      </c>
      <c r="B2501" s="1151"/>
      <c r="C2501" s="1151"/>
      <c r="D2501" s="1151"/>
      <c r="E2501" s="1151"/>
      <c r="F2501" s="1151"/>
      <c r="G2501" s="1151"/>
      <c r="H2501" s="1151"/>
      <c r="I2501" s="1151"/>
      <c r="J2501" s="1150" t="s">
        <v>23458</v>
      </c>
      <c r="K2501" s="1152"/>
      <c r="L2501" s="1152"/>
      <c r="M2501" s="1152"/>
      <c r="N2501" s="1153" t="s">
        <v>23464</v>
      </c>
      <c r="O2501" s="1153"/>
      <c r="P2501" s="1153"/>
      <c r="Q2501" s="815"/>
    </row>
  </sheetData>
  <mergeCells count="57">
    <mergeCell ref="A6:C6"/>
    <mergeCell ref="F6:G6"/>
    <mergeCell ref="L6:P6"/>
    <mergeCell ref="A1:P1"/>
    <mergeCell ref="A2:P2"/>
    <mergeCell ref="A3:P3"/>
    <mergeCell ref="A4:L4"/>
    <mergeCell ref="M4:P4"/>
    <mergeCell ref="H2466:J2466"/>
    <mergeCell ref="L7:M7"/>
    <mergeCell ref="B2458:C2458"/>
    <mergeCell ref="D2458:E2458"/>
    <mergeCell ref="F2458:G2458"/>
    <mergeCell ref="H2458:J2459"/>
    <mergeCell ref="H2460:J2460"/>
    <mergeCell ref="H2461:J2461"/>
    <mergeCell ref="H2462:J2462"/>
    <mergeCell ref="H2463:J2463"/>
    <mergeCell ref="H2464:J2464"/>
    <mergeCell ref="H2465:J2465"/>
    <mergeCell ref="H2478:J2478"/>
    <mergeCell ref="H2467:J2467"/>
    <mergeCell ref="H2468:J2468"/>
    <mergeCell ref="H2469:J2469"/>
    <mergeCell ref="H2470:J2470"/>
    <mergeCell ref="H2471:J2471"/>
    <mergeCell ref="H2472:J2472"/>
    <mergeCell ref="H2473:J2473"/>
    <mergeCell ref="H2474:J2474"/>
    <mergeCell ref="H2475:J2475"/>
    <mergeCell ref="H2476:J2476"/>
    <mergeCell ref="H2477:J2477"/>
    <mergeCell ref="H2490:J2490"/>
    <mergeCell ref="H2479:J2479"/>
    <mergeCell ref="H2480:J2480"/>
    <mergeCell ref="H2481:J2481"/>
    <mergeCell ref="H2482:J2482"/>
    <mergeCell ref="H2483:J2483"/>
    <mergeCell ref="H2484:J2484"/>
    <mergeCell ref="H2485:J2485"/>
    <mergeCell ref="H2486:J2486"/>
    <mergeCell ref="H2487:J2487"/>
    <mergeCell ref="H2488:J2488"/>
    <mergeCell ref="H2489:J2489"/>
    <mergeCell ref="H2491:J2491"/>
    <mergeCell ref="H2492:J2492"/>
    <mergeCell ref="A2498:E2498"/>
    <mergeCell ref="F2498:K2498"/>
    <mergeCell ref="A2495:P2495"/>
    <mergeCell ref="N2498:P2498"/>
    <mergeCell ref="F2499:K2499"/>
    <mergeCell ref="L2499:M2499"/>
    <mergeCell ref="D2500:N2500"/>
    <mergeCell ref="A2501:I2501"/>
    <mergeCell ref="J2501:M2501"/>
    <mergeCell ref="N2501:P2501"/>
    <mergeCell ref="N2499:P2499"/>
  </mergeCells>
  <hyperlinks>
    <hyperlink ref="N2499" r:id="rId1" xr:uid="{00000000-0004-0000-0900-000000000000}"/>
  </hyperlinks>
  <printOptions horizontalCentered="1" verticalCentered="1"/>
  <pageMargins left="0.70866141732283472" right="0.70866141732283472" top="0.74803149606299213" bottom="0.74803149606299213" header="0.31496062992125984" footer="0.31496062992125984"/>
  <pageSetup scale="36" fitToHeight="0" pageOrder="overThenDown" orientation="landscape" r:id="rId2"/>
  <headerFooter>
    <oddHeader>&amp;L&amp;"Arial,Negrita"COMISIÓN NACIONAL DE PREVENCIÓN DE RIESGOS Y ATENCIÓN DE EMERGENCIAS
DEPARTAMENTO DE PLANIFICACIÓN&amp;R&amp;D
&amp;T</oddHeader>
    <oddFooter>&amp;CPágina &amp;P/&amp;P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pageSetUpPr fitToPage="1"/>
  </sheetPr>
  <dimension ref="A1:P951"/>
  <sheetViews>
    <sheetView showGridLines="0" view="pageBreakPreview" topLeftCell="E929" zoomScale="87" zoomScaleNormal="60" zoomScaleSheetLayoutView="87" workbookViewId="0">
      <selection activeCell="P826" activeCellId="18" sqref="P7:P600 P604:P629 P630:P650 P651:P657 P659:P664 P665:P683 P684:P698 P699:P716 P717:P727 P728:P749 P750:P755 P756:P763 P764:P774 P775:P790 P791:P806 P807:P820 P821 P822:P824 P826:P949"/>
    </sheetView>
  </sheetViews>
  <sheetFormatPr baseColWidth="10" defaultColWidth="11.42578125" defaultRowHeight="12.75"/>
  <cols>
    <col min="1" max="1" width="16" style="186" customWidth="1"/>
    <col min="2" max="2" width="19.140625" style="187" customWidth="1"/>
    <col min="3" max="3" width="34.7109375" style="188" customWidth="1"/>
    <col min="4" max="4" width="14.7109375" style="189" customWidth="1"/>
    <col min="5" max="5" width="13.28515625" style="190" customWidth="1"/>
    <col min="6" max="6" width="18.140625" style="187" customWidth="1"/>
    <col min="7" max="7" width="19.140625" style="111" customWidth="1"/>
    <col min="8" max="8" width="14.140625" style="187" customWidth="1"/>
    <col min="9" max="9" width="11.42578125" style="190"/>
    <col min="10" max="10" width="17.7109375" style="189" customWidth="1"/>
    <col min="11" max="11" width="34" style="469" bestFit="1" customWidth="1"/>
    <col min="12" max="12" width="11.42578125" style="190"/>
    <col min="13" max="13" width="11.85546875" style="111" customWidth="1"/>
    <col min="14" max="14" width="22.140625" style="191" customWidth="1"/>
    <col min="15" max="15" width="11.42578125" style="188"/>
    <col min="16" max="16" width="26.85546875" style="469" customWidth="1"/>
    <col min="17" max="16384" width="11.42578125" style="111"/>
  </cols>
  <sheetData>
    <row r="1" spans="1:16" ht="21" customHeight="1">
      <c r="A1" s="1185" t="s">
        <v>3737</v>
      </c>
      <c r="B1" s="1185"/>
      <c r="C1" s="1185"/>
      <c r="D1" s="1185"/>
      <c r="E1" s="1185"/>
      <c r="F1" s="1185"/>
      <c r="G1" s="1185"/>
      <c r="H1" s="1185"/>
      <c r="I1" s="1185"/>
      <c r="J1" s="1185"/>
      <c r="K1" s="1185"/>
      <c r="L1" s="1185"/>
      <c r="M1" s="1185"/>
      <c r="N1" s="1185"/>
      <c r="O1" s="1185"/>
      <c r="P1" s="1185"/>
    </row>
    <row r="2" spans="1:16" ht="26.25">
      <c r="A2" s="1185" t="s">
        <v>3738</v>
      </c>
      <c r="B2" s="1185"/>
      <c r="C2" s="1185"/>
      <c r="D2" s="1185"/>
      <c r="E2" s="1185"/>
      <c r="F2" s="1185"/>
      <c r="G2" s="1185"/>
      <c r="H2" s="1185"/>
      <c r="I2" s="1185"/>
      <c r="J2" s="1185"/>
      <c r="K2" s="1185"/>
      <c r="L2" s="1185"/>
      <c r="M2" s="1185"/>
      <c r="N2" s="1185"/>
      <c r="O2" s="1185"/>
      <c r="P2" s="1185"/>
    </row>
    <row r="3" spans="1:16" ht="26.25">
      <c r="A3" s="1185" t="s">
        <v>3739</v>
      </c>
      <c r="B3" s="1185"/>
      <c r="C3" s="1185"/>
      <c r="D3" s="1185"/>
      <c r="E3" s="1185"/>
      <c r="F3" s="1185"/>
      <c r="G3" s="1185"/>
      <c r="H3" s="1185"/>
      <c r="I3" s="1185"/>
      <c r="J3" s="1185"/>
      <c r="K3" s="1185"/>
      <c r="L3" s="1185"/>
      <c r="M3" s="1185"/>
      <c r="N3" s="1185"/>
      <c r="O3" s="1185"/>
      <c r="P3" s="1185"/>
    </row>
    <row r="4" spans="1:16" ht="40.5" customHeight="1" thickBot="1">
      <c r="A4" s="1198" t="s">
        <v>3740</v>
      </c>
      <c r="B4" s="1198"/>
      <c r="C4" s="1198"/>
      <c r="D4" s="1198"/>
      <c r="E4" s="1198"/>
      <c r="F4" s="1198"/>
      <c r="G4" s="1198"/>
      <c r="H4" s="1198"/>
      <c r="I4" s="1198"/>
      <c r="J4" s="1198"/>
      <c r="K4" s="1198"/>
      <c r="L4" s="1198"/>
      <c r="M4" s="1198"/>
      <c r="N4" s="1198"/>
      <c r="O4" s="1198"/>
      <c r="P4" s="1198"/>
    </row>
    <row r="5" spans="1:16" ht="28.5" customHeight="1">
      <c r="A5" s="1194" t="s">
        <v>5</v>
      </c>
      <c r="B5" s="1195"/>
      <c r="C5" s="1195"/>
      <c r="D5" s="1196" t="s">
        <v>3741</v>
      </c>
      <c r="E5" s="1196"/>
      <c r="F5" s="1196"/>
      <c r="G5" s="1196"/>
      <c r="H5" s="1196"/>
      <c r="I5" s="1196"/>
      <c r="J5" s="1196"/>
      <c r="K5" s="1196"/>
      <c r="L5" s="1196" t="s">
        <v>3742</v>
      </c>
      <c r="M5" s="1196"/>
      <c r="N5" s="1196"/>
      <c r="O5" s="1196"/>
      <c r="P5" s="1197"/>
    </row>
    <row r="6" spans="1:16" ht="38.25">
      <c r="A6" s="771" t="s">
        <v>3743</v>
      </c>
      <c r="B6" s="724" t="s">
        <v>3744</v>
      </c>
      <c r="C6" s="723" t="s">
        <v>3745</v>
      </c>
      <c r="D6" s="725" t="s">
        <v>3746</v>
      </c>
      <c r="E6" s="725" t="s">
        <v>86</v>
      </c>
      <c r="F6" s="725" t="s">
        <v>3747</v>
      </c>
      <c r="G6" s="725" t="s">
        <v>3748</v>
      </c>
      <c r="H6" s="725" t="s">
        <v>3749</v>
      </c>
      <c r="I6" s="725" t="s">
        <v>3750</v>
      </c>
      <c r="J6" s="725" t="s">
        <v>88</v>
      </c>
      <c r="K6" s="726" t="s">
        <v>11</v>
      </c>
      <c r="L6" s="683" t="s">
        <v>12</v>
      </c>
      <c r="M6" s="725" t="s">
        <v>79</v>
      </c>
      <c r="N6" s="727" t="s">
        <v>89</v>
      </c>
      <c r="O6" s="725" t="s">
        <v>80</v>
      </c>
      <c r="P6" s="772" t="s">
        <v>56</v>
      </c>
    </row>
    <row r="7" spans="1:16" ht="31.15" customHeight="1">
      <c r="A7" s="786" t="s">
        <v>3751</v>
      </c>
      <c r="B7" s="787" t="s">
        <v>3752</v>
      </c>
      <c r="C7" s="788" t="s">
        <v>3753</v>
      </c>
      <c r="D7" s="789" t="s">
        <v>3754</v>
      </c>
      <c r="E7" s="790">
        <v>15</v>
      </c>
      <c r="F7" s="791"/>
      <c r="G7" s="792"/>
      <c r="H7" s="791"/>
      <c r="I7" s="793" t="s">
        <v>3755</v>
      </c>
      <c r="J7" s="114" t="s">
        <v>3756</v>
      </c>
      <c r="K7" s="486">
        <v>9660000</v>
      </c>
      <c r="L7" s="112"/>
      <c r="M7" s="113"/>
      <c r="N7" s="794" t="s">
        <v>3757</v>
      </c>
      <c r="O7" s="795" t="s">
        <v>3758</v>
      </c>
      <c r="P7" s="796">
        <v>22619921</v>
      </c>
    </row>
    <row r="8" spans="1:16" ht="14.45" customHeight="1">
      <c r="A8" s="773" t="s">
        <v>83</v>
      </c>
      <c r="B8" s="728" t="s">
        <v>3759</v>
      </c>
      <c r="C8" s="185" t="s">
        <v>3760</v>
      </c>
      <c r="D8" s="729" t="s">
        <v>3754</v>
      </c>
      <c r="E8" s="730">
        <v>5</v>
      </c>
      <c r="F8" s="119"/>
      <c r="G8" s="731"/>
      <c r="H8" s="119"/>
      <c r="I8" s="735">
        <v>119</v>
      </c>
      <c r="J8" s="66" t="s">
        <v>3756</v>
      </c>
      <c r="K8" s="732">
        <v>55895115</v>
      </c>
      <c r="L8" s="116"/>
      <c r="M8" s="117"/>
      <c r="N8" s="733"/>
      <c r="O8" s="734"/>
      <c r="P8" s="774"/>
    </row>
    <row r="9" spans="1:16" ht="14.45" customHeight="1">
      <c r="A9" s="773" t="s">
        <v>59</v>
      </c>
      <c r="B9" s="728" t="s">
        <v>3761</v>
      </c>
      <c r="C9" s="185" t="s">
        <v>3762</v>
      </c>
      <c r="D9" s="729" t="s">
        <v>3754</v>
      </c>
      <c r="E9" s="730">
        <v>1</v>
      </c>
      <c r="F9" s="119"/>
      <c r="G9" s="731"/>
      <c r="H9" s="119"/>
      <c r="I9" s="735">
        <v>4</v>
      </c>
      <c r="J9" s="66" t="s">
        <v>3756</v>
      </c>
      <c r="K9" s="732">
        <v>1716520</v>
      </c>
      <c r="L9" s="116"/>
      <c r="M9" s="117"/>
      <c r="N9" s="733"/>
      <c r="O9" s="734"/>
      <c r="P9" s="774"/>
    </row>
    <row r="10" spans="1:16" ht="44.45" customHeight="1">
      <c r="A10" s="773" t="s">
        <v>38</v>
      </c>
      <c r="B10" s="728" t="s">
        <v>3763</v>
      </c>
      <c r="C10" s="185" t="s">
        <v>3764</v>
      </c>
      <c r="D10" s="729" t="s">
        <v>3754</v>
      </c>
      <c r="E10" s="730">
        <v>35</v>
      </c>
      <c r="F10" s="119"/>
      <c r="G10" s="731"/>
      <c r="H10" s="119"/>
      <c r="I10" s="735">
        <v>123.35</v>
      </c>
      <c r="J10" s="66" t="s">
        <v>3756</v>
      </c>
      <c r="K10" s="732">
        <v>108137735</v>
      </c>
      <c r="L10" s="116"/>
      <c r="M10" s="117"/>
      <c r="N10" s="733"/>
      <c r="O10" s="734"/>
      <c r="P10" s="774"/>
    </row>
    <row r="11" spans="1:16" ht="30.6" customHeight="1">
      <c r="A11" s="773" t="s">
        <v>3751</v>
      </c>
      <c r="B11" s="728" t="s">
        <v>3765</v>
      </c>
      <c r="C11" s="185" t="s">
        <v>3766</v>
      </c>
      <c r="D11" s="729" t="s">
        <v>3767</v>
      </c>
      <c r="E11" s="730">
        <v>11</v>
      </c>
      <c r="F11" s="119"/>
      <c r="G11" s="731"/>
      <c r="H11" s="119"/>
      <c r="I11" s="735">
        <v>17.84</v>
      </c>
      <c r="J11" s="66" t="s">
        <v>3756</v>
      </c>
      <c r="K11" s="732">
        <v>22000000</v>
      </c>
      <c r="L11" s="116"/>
      <c r="M11" s="731"/>
      <c r="N11" s="736" t="s">
        <v>3768</v>
      </c>
      <c r="O11" s="734" t="s">
        <v>3769</v>
      </c>
      <c r="P11" s="774">
        <v>5724300</v>
      </c>
    </row>
    <row r="12" spans="1:16" ht="34.15" customHeight="1">
      <c r="A12" s="773" t="s">
        <v>3770</v>
      </c>
      <c r="B12" s="728" t="s">
        <v>3771</v>
      </c>
      <c r="C12" s="185" t="s">
        <v>3772</v>
      </c>
      <c r="D12" s="729" t="s">
        <v>3767</v>
      </c>
      <c r="E12" s="730">
        <v>4</v>
      </c>
      <c r="F12" s="119"/>
      <c r="G12" s="731"/>
      <c r="H12" s="119"/>
      <c r="I12" s="735">
        <v>8.15</v>
      </c>
      <c r="J12" s="66" t="s">
        <v>3756</v>
      </c>
      <c r="K12" s="732">
        <v>8837500</v>
      </c>
      <c r="L12" s="116"/>
      <c r="M12" s="731"/>
      <c r="N12" s="736"/>
      <c r="O12" s="734"/>
      <c r="P12" s="774"/>
    </row>
    <row r="13" spans="1:16" ht="22.9" customHeight="1">
      <c r="A13" s="773" t="s">
        <v>38</v>
      </c>
      <c r="B13" s="728" t="s">
        <v>3773</v>
      </c>
      <c r="C13" s="185" t="s">
        <v>3774</v>
      </c>
      <c r="D13" s="729" t="s">
        <v>3767</v>
      </c>
      <c r="E13" s="730">
        <v>56</v>
      </c>
      <c r="F13" s="119"/>
      <c r="G13" s="731"/>
      <c r="H13" s="119"/>
      <c r="I13" s="737">
        <v>45.4</v>
      </c>
      <c r="J13" s="66" t="s">
        <v>3756</v>
      </c>
      <c r="K13" s="732">
        <v>63807000</v>
      </c>
      <c r="L13" s="116"/>
      <c r="M13" s="731"/>
      <c r="N13" s="736"/>
      <c r="O13" s="734"/>
      <c r="P13" s="774"/>
    </row>
    <row r="14" spans="1:16" ht="25.9" customHeight="1">
      <c r="A14" s="773" t="s">
        <v>59</v>
      </c>
      <c r="B14" s="728" t="s">
        <v>3761</v>
      </c>
      <c r="C14" s="185" t="s">
        <v>3775</v>
      </c>
      <c r="D14" s="729" t="s">
        <v>3767</v>
      </c>
      <c r="E14" s="730">
        <v>1</v>
      </c>
      <c r="F14" s="119"/>
      <c r="G14" s="731"/>
      <c r="H14" s="119"/>
      <c r="I14" s="735">
        <v>1</v>
      </c>
      <c r="J14" s="66" t="s">
        <v>3756</v>
      </c>
      <c r="K14" s="732">
        <v>200000</v>
      </c>
      <c r="L14" s="116"/>
      <c r="M14" s="731"/>
      <c r="N14" s="736"/>
      <c r="O14" s="734"/>
      <c r="P14" s="774"/>
    </row>
    <row r="15" spans="1:16" ht="49.15" customHeight="1">
      <c r="A15" s="773" t="s">
        <v>3751</v>
      </c>
      <c r="B15" s="728" t="s">
        <v>3776</v>
      </c>
      <c r="C15" s="185" t="s">
        <v>3777</v>
      </c>
      <c r="D15" s="729" t="s">
        <v>3778</v>
      </c>
      <c r="E15" s="730">
        <v>105</v>
      </c>
      <c r="F15" s="119"/>
      <c r="G15" s="731"/>
      <c r="H15" s="119"/>
      <c r="I15" s="735">
        <v>280</v>
      </c>
      <c r="J15" s="66" t="s">
        <v>3756</v>
      </c>
      <c r="K15" s="732">
        <v>43082500</v>
      </c>
      <c r="L15" s="116"/>
      <c r="M15" s="731"/>
      <c r="N15" s="738" t="s">
        <v>3779</v>
      </c>
      <c r="O15" s="734" t="s">
        <v>3758</v>
      </c>
      <c r="P15" s="774">
        <v>75515400</v>
      </c>
    </row>
    <row r="16" spans="1:16" ht="148.9" customHeight="1">
      <c r="A16" s="773" t="s">
        <v>3770</v>
      </c>
      <c r="B16" s="728" t="s">
        <v>3780</v>
      </c>
      <c r="C16" s="185" t="s">
        <v>3781</v>
      </c>
      <c r="D16" s="729" t="s">
        <v>3778</v>
      </c>
      <c r="E16" s="730">
        <v>129</v>
      </c>
      <c r="F16" s="119"/>
      <c r="G16" s="731"/>
      <c r="H16" s="119"/>
      <c r="I16" s="735">
        <v>79.5</v>
      </c>
      <c r="J16" s="66" t="s">
        <v>3756</v>
      </c>
      <c r="K16" s="732">
        <v>231112000</v>
      </c>
      <c r="L16" s="116"/>
      <c r="M16" s="731"/>
      <c r="N16" s="738"/>
      <c r="O16" s="734"/>
      <c r="P16" s="774"/>
    </row>
    <row r="17" spans="1:16">
      <c r="A17" s="773" t="s">
        <v>3782</v>
      </c>
      <c r="B17" s="728" t="s">
        <v>3783</v>
      </c>
      <c r="C17" s="185" t="s">
        <v>3784</v>
      </c>
      <c r="D17" s="729" t="s">
        <v>3778</v>
      </c>
      <c r="E17" s="730">
        <v>1</v>
      </c>
      <c r="F17" s="119"/>
      <c r="G17" s="731"/>
      <c r="H17" s="119"/>
      <c r="I17" s="735">
        <v>0.25</v>
      </c>
      <c r="J17" s="66" t="s">
        <v>3756</v>
      </c>
      <c r="K17" s="732">
        <v>200000</v>
      </c>
      <c r="L17" s="116"/>
      <c r="M17" s="731"/>
      <c r="N17" s="738"/>
      <c r="O17" s="734"/>
      <c r="P17" s="774"/>
    </row>
    <row r="18" spans="1:16">
      <c r="A18" s="773" t="s">
        <v>38</v>
      </c>
      <c r="B18" s="728" t="s">
        <v>3773</v>
      </c>
      <c r="C18" s="185" t="s">
        <v>3785</v>
      </c>
      <c r="D18" s="729" t="s">
        <v>3778</v>
      </c>
      <c r="E18" s="730">
        <v>1</v>
      </c>
      <c r="F18" s="119"/>
      <c r="G18" s="731"/>
      <c r="H18" s="119"/>
      <c r="I18" s="735">
        <v>0.1</v>
      </c>
      <c r="J18" s="66" t="s">
        <v>3756</v>
      </c>
      <c r="K18" s="732">
        <v>125000</v>
      </c>
      <c r="L18" s="116"/>
      <c r="M18" s="731"/>
      <c r="N18" s="738"/>
      <c r="O18" s="734"/>
      <c r="P18" s="774"/>
    </row>
    <row r="19" spans="1:16" ht="26.45" customHeight="1">
      <c r="A19" s="773" t="s">
        <v>3751</v>
      </c>
      <c r="B19" s="728" t="s">
        <v>3786</v>
      </c>
      <c r="C19" s="185" t="s">
        <v>3787</v>
      </c>
      <c r="D19" s="729" t="s">
        <v>3788</v>
      </c>
      <c r="E19" s="730">
        <v>2</v>
      </c>
      <c r="F19" s="119"/>
      <c r="G19" s="731"/>
      <c r="H19" s="119"/>
      <c r="I19" s="735">
        <v>0.51</v>
      </c>
      <c r="J19" s="66" t="s">
        <v>3756</v>
      </c>
      <c r="K19" s="732">
        <v>1100000</v>
      </c>
      <c r="L19" s="116"/>
      <c r="M19" s="731"/>
      <c r="N19" s="738" t="s">
        <v>3789</v>
      </c>
      <c r="O19" s="734" t="s">
        <v>3758</v>
      </c>
      <c r="P19" s="774">
        <v>16357392</v>
      </c>
    </row>
    <row r="20" spans="1:16">
      <c r="A20" s="773" t="s">
        <v>38</v>
      </c>
      <c r="B20" s="728" t="s">
        <v>3773</v>
      </c>
      <c r="C20" s="185" t="s">
        <v>3790</v>
      </c>
      <c r="D20" s="729" t="s">
        <v>3788</v>
      </c>
      <c r="E20" s="730">
        <v>3</v>
      </c>
      <c r="F20" s="119"/>
      <c r="G20" s="731"/>
      <c r="H20" s="119"/>
      <c r="I20" s="735">
        <v>0.7</v>
      </c>
      <c r="J20" s="66" t="s">
        <v>3756</v>
      </c>
      <c r="K20" s="470">
        <v>1425000</v>
      </c>
      <c r="L20" s="116"/>
      <c r="M20" s="731"/>
      <c r="N20" s="738"/>
      <c r="O20" s="734"/>
      <c r="P20" s="774"/>
    </row>
    <row r="21" spans="1:16" ht="48.6" customHeight="1">
      <c r="A21" s="773" t="s">
        <v>3770</v>
      </c>
      <c r="B21" s="728" t="s">
        <v>3791</v>
      </c>
      <c r="C21" s="185" t="s">
        <v>3792</v>
      </c>
      <c r="D21" s="729" t="s">
        <v>3788</v>
      </c>
      <c r="E21" s="730">
        <v>25</v>
      </c>
      <c r="F21" s="119"/>
      <c r="G21" s="731"/>
      <c r="H21" s="119"/>
      <c r="I21" s="735">
        <v>56.7</v>
      </c>
      <c r="J21" s="66" t="s">
        <v>3756</v>
      </c>
      <c r="K21" s="732">
        <v>38165000</v>
      </c>
      <c r="L21" s="116"/>
      <c r="M21" s="731"/>
      <c r="N21" s="738"/>
      <c r="O21" s="734"/>
      <c r="P21" s="774"/>
    </row>
    <row r="22" spans="1:16" ht="31.9" customHeight="1">
      <c r="A22" s="773" t="s">
        <v>3751</v>
      </c>
      <c r="B22" s="728" t="s">
        <v>3793</v>
      </c>
      <c r="C22" s="185" t="s">
        <v>3794</v>
      </c>
      <c r="D22" s="729" t="s">
        <v>3795</v>
      </c>
      <c r="E22" s="730">
        <v>13</v>
      </c>
      <c r="F22" s="119"/>
      <c r="G22" s="731"/>
      <c r="H22" s="119"/>
      <c r="I22" s="735">
        <v>6.81</v>
      </c>
      <c r="J22" s="66" t="s">
        <v>3756</v>
      </c>
      <c r="K22" s="732">
        <v>12955000</v>
      </c>
      <c r="L22" s="116"/>
      <c r="M22" s="731"/>
      <c r="N22" s="738" t="s">
        <v>3796</v>
      </c>
      <c r="O22" s="734" t="s">
        <v>3758</v>
      </c>
      <c r="P22" s="774">
        <v>10137218</v>
      </c>
    </row>
    <row r="23" spans="1:16" ht="25.9" customHeight="1">
      <c r="A23" s="773" t="s">
        <v>3782</v>
      </c>
      <c r="B23" s="728" t="s">
        <v>3797</v>
      </c>
      <c r="C23" s="185" t="s">
        <v>3798</v>
      </c>
      <c r="D23" s="729" t="s">
        <v>3795</v>
      </c>
      <c r="E23" s="730">
        <v>3</v>
      </c>
      <c r="F23" s="119"/>
      <c r="G23" s="731"/>
      <c r="H23" s="119"/>
      <c r="I23" s="735">
        <v>1.45</v>
      </c>
      <c r="J23" s="66" t="s">
        <v>3756</v>
      </c>
      <c r="K23" s="732">
        <v>6300000</v>
      </c>
      <c r="L23" s="116"/>
      <c r="M23" s="731"/>
      <c r="N23" s="738"/>
      <c r="O23" s="734"/>
      <c r="P23" s="774"/>
    </row>
    <row r="24" spans="1:16" ht="48" customHeight="1">
      <c r="A24" s="773" t="s">
        <v>3799</v>
      </c>
      <c r="B24" s="728" t="s">
        <v>3800</v>
      </c>
      <c r="C24" s="185" t="s">
        <v>3801</v>
      </c>
      <c r="D24" s="729" t="s">
        <v>3795</v>
      </c>
      <c r="E24" s="730">
        <v>7</v>
      </c>
      <c r="F24" s="119"/>
      <c r="G24" s="731"/>
      <c r="H24" s="119"/>
      <c r="I24" s="735">
        <v>2.6</v>
      </c>
      <c r="J24" s="66" t="s">
        <v>3756</v>
      </c>
      <c r="K24" s="732">
        <v>16350000</v>
      </c>
      <c r="L24" s="116"/>
      <c r="M24" s="731"/>
      <c r="N24" s="738"/>
      <c r="O24" s="734"/>
      <c r="P24" s="774"/>
    </row>
    <row r="25" spans="1:16" ht="86.45" customHeight="1">
      <c r="A25" s="773" t="s">
        <v>3799</v>
      </c>
      <c r="B25" s="728" t="s">
        <v>3802</v>
      </c>
      <c r="C25" s="185" t="s">
        <v>3803</v>
      </c>
      <c r="D25" s="729" t="s">
        <v>3804</v>
      </c>
      <c r="E25" s="730">
        <v>9</v>
      </c>
      <c r="F25" s="119"/>
      <c r="G25" s="731"/>
      <c r="H25" s="119"/>
      <c r="I25" s="735">
        <v>4.5999999999999996</v>
      </c>
      <c r="J25" s="66" t="s">
        <v>3756</v>
      </c>
      <c r="K25" s="732">
        <v>8200000</v>
      </c>
      <c r="L25" s="116"/>
      <c r="M25" s="731"/>
      <c r="N25" s="738" t="s">
        <v>3805</v>
      </c>
      <c r="O25" s="734" t="s">
        <v>3758</v>
      </c>
      <c r="P25" s="774">
        <v>1335500</v>
      </c>
    </row>
    <row r="26" spans="1:16" ht="17.45" customHeight="1">
      <c r="A26" s="773" t="s">
        <v>38</v>
      </c>
      <c r="B26" s="728" t="s">
        <v>3773</v>
      </c>
      <c r="C26" s="185" t="s">
        <v>3806</v>
      </c>
      <c r="D26" s="729" t="s">
        <v>3804</v>
      </c>
      <c r="E26" s="730">
        <v>11</v>
      </c>
      <c r="F26" s="119"/>
      <c r="G26" s="731"/>
      <c r="H26" s="119"/>
      <c r="I26" s="735">
        <v>6.65</v>
      </c>
      <c r="J26" s="66" t="s">
        <v>3756</v>
      </c>
      <c r="K26" s="732">
        <v>5905000</v>
      </c>
      <c r="L26" s="116"/>
      <c r="M26" s="731"/>
      <c r="N26" s="738"/>
      <c r="O26" s="734"/>
      <c r="P26" s="774"/>
    </row>
    <row r="27" spans="1:16">
      <c r="A27" s="773" t="s">
        <v>38</v>
      </c>
      <c r="B27" s="728" t="s">
        <v>3773</v>
      </c>
      <c r="C27" s="185" t="s">
        <v>3807</v>
      </c>
      <c r="D27" s="729" t="s">
        <v>3808</v>
      </c>
      <c r="E27" s="730">
        <v>1</v>
      </c>
      <c r="F27" s="119"/>
      <c r="G27" s="731"/>
      <c r="H27" s="119"/>
      <c r="I27" s="735">
        <v>0.25</v>
      </c>
      <c r="J27" s="66" t="s">
        <v>3756</v>
      </c>
      <c r="K27" s="732">
        <v>800000</v>
      </c>
      <c r="L27" s="116"/>
      <c r="M27" s="731"/>
      <c r="N27" s="738"/>
      <c r="O27" s="734"/>
      <c r="P27" s="774"/>
    </row>
    <row r="28" spans="1:16">
      <c r="A28" s="773" t="s">
        <v>3751</v>
      </c>
      <c r="B28" s="728" t="s">
        <v>3809</v>
      </c>
      <c r="C28" s="185" t="s">
        <v>3810</v>
      </c>
      <c r="D28" s="729" t="s">
        <v>3811</v>
      </c>
      <c r="E28" s="730">
        <v>2</v>
      </c>
      <c r="F28" s="119"/>
      <c r="G28" s="731"/>
      <c r="H28" s="119"/>
      <c r="I28" s="735">
        <v>1.5</v>
      </c>
      <c r="J28" s="66" t="s">
        <v>3756</v>
      </c>
      <c r="K28" s="732">
        <v>2500000</v>
      </c>
      <c r="L28" s="116"/>
      <c r="M28" s="731"/>
      <c r="N28" s="738" t="s">
        <v>3812</v>
      </c>
      <c r="O28" s="739"/>
      <c r="P28" s="774"/>
    </row>
    <row r="29" spans="1:16">
      <c r="A29" s="773" t="s">
        <v>3799</v>
      </c>
      <c r="B29" s="728" t="s">
        <v>3813</v>
      </c>
      <c r="C29" s="185" t="s">
        <v>3814</v>
      </c>
      <c r="D29" s="729" t="s">
        <v>3811</v>
      </c>
      <c r="E29" s="730">
        <v>1</v>
      </c>
      <c r="F29" s="119"/>
      <c r="G29" s="731"/>
      <c r="H29" s="119"/>
      <c r="I29" s="735">
        <v>0.05</v>
      </c>
      <c r="J29" s="66" t="s">
        <v>3756</v>
      </c>
      <c r="K29" s="732">
        <v>500000</v>
      </c>
      <c r="L29" s="116"/>
      <c r="M29" s="731"/>
      <c r="N29" s="738"/>
      <c r="O29" s="739"/>
      <c r="P29" s="774"/>
    </row>
    <row r="30" spans="1:16">
      <c r="A30" s="773" t="s">
        <v>38</v>
      </c>
      <c r="B30" s="728" t="s">
        <v>3773</v>
      </c>
      <c r="C30" s="185" t="s">
        <v>3815</v>
      </c>
      <c r="D30" s="729" t="s">
        <v>3811</v>
      </c>
      <c r="E30" s="730">
        <v>8</v>
      </c>
      <c r="F30" s="119"/>
      <c r="G30" s="731"/>
      <c r="H30" s="119"/>
      <c r="I30" s="735">
        <v>12</v>
      </c>
      <c r="J30" s="66" t="s">
        <v>3756</v>
      </c>
      <c r="K30" s="732">
        <v>13460000</v>
      </c>
      <c r="L30" s="116"/>
      <c r="M30" s="731"/>
      <c r="N30" s="738"/>
      <c r="O30" s="739"/>
      <c r="P30" s="774"/>
    </row>
    <row r="31" spans="1:16" ht="30" customHeight="1">
      <c r="A31" s="773" t="s">
        <v>3751</v>
      </c>
      <c r="B31" s="728" t="s">
        <v>3816</v>
      </c>
      <c r="C31" s="185" t="s">
        <v>3817</v>
      </c>
      <c r="D31" s="729" t="s">
        <v>3818</v>
      </c>
      <c r="E31" s="730">
        <v>28</v>
      </c>
      <c r="F31" s="139"/>
      <c r="G31" s="740"/>
      <c r="H31" s="139"/>
      <c r="I31" s="735">
        <v>59</v>
      </c>
      <c r="J31" s="66" t="s">
        <v>3756</v>
      </c>
      <c r="K31" s="732">
        <v>7467700</v>
      </c>
      <c r="L31" s="184"/>
      <c r="M31" s="740"/>
      <c r="N31" s="736" t="s">
        <v>3819</v>
      </c>
      <c r="O31" s="741" t="s">
        <v>3758</v>
      </c>
      <c r="P31" s="775">
        <v>5534423</v>
      </c>
    </row>
    <row r="32" spans="1:16">
      <c r="A32" s="773" t="s">
        <v>3770</v>
      </c>
      <c r="B32" s="728" t="s">
        <v>3820</v>
      </c>
      <c r="C32" s="185" t="s">
        <v>3821</v>
      </c>
      <c r="D32" s="729" t="s">
        <v>3818</v>
      </c>
      <c r="E32" s="730">
        <v>2</v>
      </c>
      <c r="F32" s="139"/>
      <c r="G32" s="740"/>
      <c r="H32" s="139"/>
      <c r="I32" s="735">
        <v>1.5</v>
      </c>
      <c r="J32" s="66" t="s">
        <v>3756</v>
      </c>
      <c r="K32" s="704">
        <v>295000</v>
      </c>
      <c r="L32" s="184"/>
      <c r="M32" s="740"/>
      <c r="N32" s="736"/>
      <c r="O32" s="741"/>
      <c r="P32" s="775"/>
    </row>
    <row r="33" spans="1:16">
      <c r="A33" s="773" t="s">
        <v>38</v>
      </c>
      <c r="B33" s="728" t="s">
        <v>3773</v>
      </c>
      <c r="C33" s="185" t="s">
        <v>3790</v>
      </c>
      <c r="D33" s="729" t="s">
        <v>3818</v>
      </c>
      <c r="E33" s="730">
        <v>19</v>
      </c>
      <c r="F33" s="139"/>
      <c r="G33" s="740"/>
      <c r="H33" s="139"/>
      <c r="I33" s="735">
        <v>4.8499999999999996</v>
      </c>
      <c r="J33" s="66" t="s">
        <v>3756</v>
      </c>
      <c r="K33" s="704">
        <v>2493000</v>
      </c>
      <c r="L33" s="184"/>
      <c r="M33" s="740"/>
      <c r="N33" s="736"/>
      <c r="O33" s="741"/>
      <c r="P33" s="775"/>
    </row>
    <row r="34" spans="1:16">
      <c r="A34" s="773" t="s">
        <v>3751</v>
      </c>
      <c r="B34" s="728" t="s">
        <v>3822</v>
      </c>
      <c r="C34" s="185" t="s">
        <v>3823</v>
      </c>
      <c r="D34" s="729" t="s">
        <v>3824</v>
      </c>
      <c r="E34" s="730">
        <v>3</v>
      </c>
      <c r="F34" s="119"/>
      <c r="G34" s="731"/>
      <c r="H34" s="119"/>
      <c r="I34" s="735">
        <v>0.35</v>
      </c>
      <c r="J34" s="66" t="s">
        <v>3756</v>
      </c>
      <c r="K34" s="470">
        <v>350000</v>
      </c>
      <c r="L34" s="116"/>
      <c r="M34" s="731"/>
      <c r="N34" s="738"/>
      <c r="O34" s="739"/>
      <c r="P34" s="774"/>
    </row>
    <row r="35" spans="1:16" ht="57" customHeight="1">
      <c r="A35" s="773" t="s">
        <v>3770</v>
      </c>
      <c r="B35" s="728" t="s">
        <v>3825</v>
      </c>
      <c r="C35" s="185" t="s">
        <v>3826</v>
      </c>
      <c r="D35" s="729" t="s">
        <v>3824</v>
      </c>
      <c r="E35" s="730">
        <v>8</v>
      </c>
      <c r="F35" s="119"/>
      <c r="G35" s="731"/>
      <c r="H35" s="119"/>
      <c r="I35" s="735">
        <v>11.5</v>
      </c>
      <c r="J35" s="66" t="s">
        <v>3756</v>
      </c>
      <c r="K35" s="470">
        <v>30820000</v>
      </c>
      <c r="L35" s="116"/>
      <c r="M35" s="731"/>
      <c r="N35" s="738" t="s">
        <v>3827</v>
      </c>
      <c r="O35" s="741" t="s">
        <v>3758</v>
      </c>
      <c r="P35" s="774">
        <v>10430731</v>
      </c>
    </row>
    <row r="36" spans="1:16" ht="58.9" customHeight="1">
      <c r="A36" s="773" t="s">
        <v>38</v>
      </c>
      <c r="B36" s="728" t="s">
        <v>3828</v>
      </c>
      <c r="C36" s="185" t="s">
        <v>3829</v>
      </c>
      <c r="D36" s="729" t="s">
        <v>3824</v>
      </c>
      <c r="E36" s="730">
        <v>53</v>
      </c>
      <c r="F36" s="119"/>
      <c r="G36" s="731"/>
      <c r="H36" s="119"/>
      <c r="I36" s="735">
        <v>27.7</v>
      </c>
      <c r="J36" s="66" t="s">
        <v>3756</v>
      </c>
      <c r="K36" s="470">
        <v>32895000</v>
      </c>
      <c r="L36" s="116"/>
      <c r="M36" s="731"/>
      <c r="N36" s="738"/>
      <c r="O36" s="741"/>
      <c r="P36" s="774"/>
    </row>
    <row r="37" spans="1:16">
      <c r="A37" s="773" t="s">
        <v>3782</v>
      </c>
      <c r="B37" s="728" t="s">
        <v>3830</v>
      </c>
      <c r="C37" s="185" t="s">
        <v>3831</v>
      </c>
      <c r="D37" s="729" t="s">
        <v>3824</v>
      </c>
      <c r="E37" s="730">
        <v>1</v>
      </c>
      <c r="F37" s="119"/>
      <c r="G37" s="731"/>
      <c r="H37" s="119"/>
      <c r="I37" s="735">
        <v>0.01</v>
      </c>
      <c r="J37" s="66" t="s">
        <v>3756</v>
      </c>
      <c r="K37" s="470">
        <v>2000000</v>
      </c>
      <c r="L37" s="116"/>
      <c r="M37" s="731"/>
      <c r="N37" s="738"/>
      <c r="O37" s="741"/>
      <c r="P37" s="774"/>
    </row>
    <row r="38" spans="1:16" ht="26.45" customHeight="1">
      <c r="A38" s="773" t="s">
        <v>3751</v>
      </c>
      <c r="B38" s="742" t="s">
        <v>3832</v>
      </c>
      <c r="C38" s="171" t="s">
        <v>3833</v>
      </c>
      <c r="D38" s="230" t="s">
        <v>3834</v>
      </c>
      <c r="E38" s="174">
        <v>10</v>
      </c>
      <c r="F38" s="119"/>
      <c r="G38" s="731"/>
      <c r="H38" s="119"/>
      <c r="I38" s="735">
        <v>1.1299999999999999</v>
      </c>
      <c r="J38" s="66" t="s">
        <v>3756</v>
      </c>
      <c r="K38" s="470">
        <v>2880000</v>
      </c>
      <c r="L38" s="116"/>
      <c r="M38" s="731"/>
      <c r="N38" s="738" t="s">
        <v>3835</v>
      </c>
      <c r="O38" s="734" t="s">
        <v>3758</v>
      </c>
      <c r="P38" s="774">
        <v>9804680</v>
      </c>
    </row>
    <row r="39" spans="1:16" ht="63.6" customHeight="1">
      <c r="A39" s="773" t="s">
        <v>3770</v>
      </c>
      <c r="B39" s="728" t="s">
        <v>3836</v>
      </c>
      <c r="C39" s="185" t="s">
        <v>3837</v>
      </c>
      <c r="D39" s="729" t="s">
        <v>3834</v>
      </c>
      <c r="E39" s="730">
        <v>16</v>
      </c>
      <c r="F39" s="119"/>
      <c r="G39" s="731"/>
      <c r="H39" s="119"/>
      <c r="I39" s="735">
        <v>5.75</v>
      </c>
      <c r="J39" s="66" t="s">
        <v>3756</v>
      </c>
      <c r="K39" s="470">
        <v>16499000</v>
      </c>
      <c r="L39" s="116"/>
      <c r="M39" s="731"/>
      <c r="N39" s="738"/>
      <c r="O39" s="734"/>
      <c r="P39" s="774"/>
    </row>
    <row r="40" spans="1:16" ht="36.6" customHeight="1">
      <c r="A40" s="773" t="s">
        <v>3782</v>
      </c>
      <c r="B40" s="728" t="s">
        <v>3838</v>
      </c>
      <c r="C40" s="185" t="s">
        <v>3839</v>
      </c>
      <c r="D40" s="729" t="s">
        <v>3834</v>
      </c>
      <c r="E40" s="730">
        <v>10</v>
      </c>
      <c r="F40" s="119"/>
      <c r="G40" s="731"/>
      <c r="H40" s="119"/>
      <c r="I40" s="735">
        <v>0.41</v>
      </c>
      <c r="J40" s="66" t="s">
        <v>3756</v>
      </c>
      <c r="K40" s="470">
        <v>5240000</v>
      </c>
      <c r="L40" s="116"/>
      <c r="M40" s="731"/>
      <c r="N40" s="738"/>
      <c r="O40" s="734"/>
      <c r="P40" s="774"/>
    </row>
    <row r="41" spans="1:16">
      <c r="A41" s="773" t="s">
        <v>38</v>
      </c>
      <c r="B41" s="728" t="s">
        <v>3773</v>
      </c>
      <c r="C41" s="185" t="s">
        <v>3840</v>
      </c>
      <c r="D41" s="729" t="s">
        <v>3834</v>
      </c>
      <c r="E41" s="730">
        <v>7</v>
      </c>
      <c r="F41" s="119"/>
      <c r="G41" s="731"/>
      <c r="H41" s="119"/>
      <c r="I41" s="735">
        <v>1.06</v>
      </c>
      <c r="J41" s="66" t="s">
        <v>3756</v>
      </c>
      <c r="K41" s="470">
        <v>1344000</v>
      </c>
      <c r="L41" s="116"/>
      <c r="M41" s="731"/>
      <c r="N41" s="738"/>
      <c r="O41" s="734"/>
      <c r="P41" s="774"/>
    </row>
    <row r="42" spans="1:16" ht="79.150000000000006" customHeight="1">
      <c r="A42" s="773" t="s">
        <v>3751</v>
      </c>
      <c r="B42" s="728" t="s">
        <v>3841</v>
      </c>
      <c r="C42" s="185" t="s">
        <v>3842</v>
      </c>
      <c r="D42" s="729" t="s">
        <v>3843</v>
      </c>
      <c r="E42" s="730">
        <v>24</v>
      </c>
      <c r="F42" s="119"/>
      <c r="G42" s="731"/>
      <c r="H42" s="119"/>
      <c r="I42" s="735">
        <v>19.8</v>
      </c>
      <c r="J42" s="66" t="s">
        <v>3756</v>
      </c>
      <c r="K42" s="470">
        <v>7492000</v>
      </c>
      <c r="L42" s="116"/>
      <c r="M42" s="731"/>
      <c r="N42" s="738" t="s">
        <v>3844</v>
      </c>
      <c r="O42" s="734" t="s">
        <v>3758</v>
      </c>
      <c r="P42" s="774">
        <v>15659291</v>
      </c>
    </row>
    <row r="43" spans="1:16" ht="78.599999999999994" customHeight="1">
      <c r="A43" s="773" t="s">
        <v>38</v>
      </c>
      <c r="B43" s="728" t="s">
        <v>3845</v>
      </c>
      <c r="C43" s="185" t="s">
        <v>3846</v>
      </c>
      <c r="D43" s="729" t="s">
        <v>3843</v>
      </c>
      <c r="E43" s="730">
        <v>148</v>
      </c>
      <c r="F43" s="119"/>
      <c r="G43" s="731"/>
      <c r="H43" s="119"/>
      <c r="I43" s="735">
        <v>93.55</v>
      </c>
      <c r="J43" s="66" t="s">
        <v>3756</v>
      </c>
      <c r="K43" s="470">
        <v>57444000</v>
      </c>
      <c r="L43" s="116"/>
      <c r="M43" s="731"/>
      <c r="N43" s="738"/>
      <c r="O43" s="734"/>
      <c r="P43" s="774"/>
    </row>
    <row r="44" spans="1:16">
      <c r="A44" s="773" t="s">
        <v>3782</v>
      </c>
      <c r="B44" s="728" t="s">
        <v>3847</v>
      </c>
      <c r="C44" s="185" t="s">
        <v>3848</v>
      </c>
      <c r="D44" s="729" t="s">
        <v>3843</v>
      </c>
      <c r="E44" s="730">
        <v>1</v>
      </c>
      <c r="F44" s="119"/>
      <c r="G44" s="731"/>
      <c r="H44" s="119"/>
      <c r="I44" s="735">
        <v>0.25</v>
      </c>
      <c r="J44" s="66" t="s">
        <v>3756</v>
      </c>
      <c r="K44" s="470">
        <v>350000</v>
      </c>
      <c r="L44" s="116"/>
      <c r="M44" s="731"/>
      <c r="N44" s="738"/>
      <c r="O44" s="734"/>
      <c r="P44" s="774"/>
    </row>
    <row r="45" spans="1:16">
      <c r="A45" s="773" t="s">
        <v>59</v>
      </c>
      <c r="B45" s="728" t="s">
        <v>3761</v>
      </c>
      <c r="C45" s="185" t="s">
        <v>3849</v>
      </c>
      <c r="D45" s="729" t="s">
        <v>3843</v>
      </c>
      <c r="E45" s="730">
        <v>1</v>
      </c>
      <c r="F45" s="119"/>
      <c r="G45" s="731"/>
      <c r="H45" s="119"/>
      <c r="I45" s="735">
        <v>0.5</v>
      </c>
      <c r="J45" s="66" t="s">
        <v>3756</v>
      </c>
      <c r="K45" s="470">
        <v>300000</v>
      </c>
      <c r="L45" s="116"/>
      <c r="M45" s="731"/>
      <c r="N45" s="738"/>
      <c r="O45" s="734"/>
      <c r="P45" s="774"/>
    </row>
    <row r="46" spans="1:16" ht="70.150000000000006" customHeight="1">
      <c r="A46" s="773" t="s">
        <v>3770</v>
      </c>
      <c r="B46" s="728" t="s">
        <v>3850</v>
      </c>
      <c r="C46" s="185" t="s">
        <v>3851</v>
      </c>
      <c r="D46" s="729" t="s">
        <v>3852</v>
      </c>
      <c r="E46" s="730">
        <v>14</v>
      </c>
      <c r="F46" s="119"/>
      <c r="G46" s="731"/>
      <c r="H46" s="119"/>
      <c r="I46" s="735">
        <v>16.28</v>
      </c>
      <c r="J46" s="66" t="s">
        <v>3756</v>
      </c>
      <c r="K46" s="470">
        <v>11451000</v>
      </c>
      <c r="L46" s="116"/>
      <c r="M46" s="731"/>
      <c r="N46" s="738" t="s">
        <v>3853</v>
      </c>
      <c r="O46" s="734" t="s">
        <v>3758</v>
      </c>
      <c r="P46" s="774">
        <v>2861020</v>
      </c>
    </row>
    <row r="47" spans="1:16" ht="26.45" customHeight="1">
      <c r="A47" s="773" t="s">
        <v>3751</v>
      </c>
      <c r="B47" s="728" t="s">
        <v>3832</v>
      </c>
      <c r="C47" s="185" t="s">
        <v>3854</v>
      </c>
      <c r="D47" s="729" t="s">
        <v>3855</v>
      </c>
      <c r="E47" s="730">
        <v>3</v>
      </c>
      <c r="F47" s="119"/>
      <c r="G47" s="731"/>
      <c r="H47" s="119"/>
      <c r="I47" s="735">
        <v>18</v>
      </c>
      <c r="J47" s="66" t="s">
        <v>3756</v>
      </c>
      <c r="K47" s="470">
        <v>45213333</v>
      </c>
      <c r="L47" s="116"/>
      <c r="M47" s="731"/>
      <c r="N47" s="738" t="s">
        <v>3856</v>
      </c>
      <c r="O47" s="734" t="s">
        <v>3758</v>
      </c>
      <c r="P47" s="774">
        <v>134783659</v>
      </c>
    </row>
    <row r="48" spans="1:16" ht="21.6" customHeight="1">
      <c r="A48" s="773" t="s">
        <v>3770</v>
      </c>
      <c r="B48" s="728" t="s">
        <v>3857</v>
      </c>
      <c r="C48" s="185" t="s">
        <v>3858</v>
      </c>
      <c r="D48" s="729" t="s">
        <v>3855</v>
      </c>
      <c r="E48" s="730">
        <v>2</v>
      </c>
      <c r="F48" s="119"/>
      <c r="G48" s="731"/>
      <c r="H48" s="119"/>
      <c r="I48" s="735">
        <v>3</v>
      </c>
      <c r="J48" s="66" t="s">
        <v>3756</v>
      </c>
      <c r="K48" s="470">
        <v>6680000</v>
      </c>
      <c r="L48" s="116"/>
      <c r="M48" s="731"/>
      <c r="N48" s="738"/>
      <c r="O48" s="734"/>
      <c r="P48" s="774"/>
    </row>
    <row r="49" spans="1:16" ht="45.6" customHeight="1">
      <c r="A49" s="773" t="s">
        <v>38</v>
      </c>
      <c r="B49" s="728" t="s">
        <v>3859</v>
      </c>
      <c r="C49" s="185" t="s">
        <v>3860</v>
      </c>
      <c r="D49" s="729" t="s">
        <v>3855</v>
      </c>
      <c r="E49" s="730">
        <v>98</v>
      </c>
      <c r="F49" s="119"/>
      <c r="G49" s="731"/>
      <c r="H49" s="119"/>
      <c r="I49" s="75">
        <v>969.05</v>
      </c>
      <c r="J49" s="66" t="s">
        <v>3756</v>
      </c>
      <c r="K49" s="743">
        <v>319575317</v>
      </c>
      <c r="L49" s="116"/>
      <c r="M49" s="731"/>
      <c r="N49" s="738"/>
      <c r="O49" s="734"/>
      <c r="P49" s="774"/>
    </row>
    <row r="50" spans="1:16" ht="37.9" customHeight="1">
      <c r="A50" s="773" t="s">
        <v>83</v>
      </c>
      <c r="B50" s="728" t="s">
        <v>3861</v>
      </c>
      <c r="C50" s="185" t="s">
        <v>3862</v>
      </c>
      <c r="D50" s="729" t="s">
        <v>3855</v>
      </c>
      <c r="E50" s="730">
        <v>48</v>
      </c>
      <c r="F50" s="119"/>
      <c r="G50" s="731"/>
      <c r="H50" s="119"/>
      <c r="I50" s="735">
        <v>396.45</v>
      </c>
      <c r="J50" s="66" t="s">
        <v>3756</v>
      </c>
      <c r="K50" s="743">
        <v>53747308</v>
      </c>
      <c r="L50" s="116"/>
      <c r="M50" s="731"/>
      <c r="N50" s="738"/>
      <c r="O50" s="734"/>
      <c r="P50" s="774"/>
    </row>
    <row r="51" spans="1:16" ht="33" customHeight="1">
      <c r="A51" s="773" t="s">
        <v>59</v>
      </c>
      <c r="B51" s="728" t="s">
        <v>3863</v>
      </c>
      <c r="C51" s="185" t="s">
        <v>3864</v>
      </c>
      <c r="D51" s="729" t="s">
        <v>3855</v>
      </c>
      <c r="E51" s="730">
        <v>10</v>
      </c>
      <c r="F51" s="119"/>
      <c r="G51" s="731"/>
      <c r="H51" s="119"/>
      <c r="I51" s="735">
        <v>119</v>
      </c>
      <c r="J51" s="66" t="s">
        <v>3756</v>
      </c>
      <c r="K51" s="743">
        <v>9020506</v>
      </c>
      <c r="L51" s="116"/>
      <c r="M51" s="731"/>
      <c r="N51" s="738"/>
      <c r="O51" s="734"/>
      <c r="P51" s="774"/>
    </row>
    <row r="52" spans="1:16" ht="37.9" customHeight="1">
      <c r="A52" s="773" t="s">
        <v>3751</v>
      </c>
      <c r="B52" s="728" t="s">
        <v>3865</v>
      </c>
      <c r="C52" s="185" t="s">
        <v>3866</v>
      </c>
      <c r="D52" s="729" t="s">
        <v>3867</v>
      </c>
      <c r="E52" s="730">
        <v>11</v>
      </c>
      <c r="F52" s="119"/>
      <c r="G52" s="731"/>
      <c r="H52" s="119"/>
      <c r="I52" s="735">
        <v>6.82</v>
      </c>
      <c r="J52" s="66" t="s">
        <v>3756</v>
      </c>
      <c r="K52" s="470">
        <v>20961000</v>
      </c>
      <c r="L52" s="116"/>
      <c r="M52" s="731"/>
      <c r="N52" s="738" t="s">
        <v>3868</v>
      </c>
      <c r="O52" s="734" t="s">
        <v>3758</v>
      </c>
      <c r="P52" s="774">
        <v>10378806</v>
      </c>
    </row>
    <row r="53" spans="1:16" ht="23.45" customHeight="1">
      <c r="A53" s="773" t="s">
        <v>3770</v>
      </c>
      <c r="B53" s="728" t="s">
        <v>3869</v>
      </c>
      <c r="C53" s="185" t="s">
        <v>3870</v>
      </c>
      <c r="D53" s="729" t="s">
        <v>3867</v>
      </c>
      <c r="E53" s="730">
        <v>5</v>
      </c>
      <c r="F53" s="119"/>
      <c r="G53" s="731"/>
      <c r="H53" s="119"/>
      <c r="I53" s="735">
        <v>9.3000000000000007</v>
      </c>
      <c r="J53" s="66" t="s">
        <v>3756</v>
      </c>
      <c r="K53" s="470">
        <v>58077000</v>
      </c>
      <c r="L53" s="116"/>
      <c r="M53" s="731"/>
      <c r="N53" s="738"/>
      <c r="O53" s="734"/>
      <c r="P53" s="774"/>
    </row>
    <row r="54" spans="1:16" ht="18.600000000000001" customHeight="1">
      <c r="A54" s="773" t="s">
        <v>38</v>
      </c>
      <c r="B54" s="728" t="s">
        <v>3773</v>
      </c>
      <c r="C54" s="185" t="s">
        <v>3871</v>
      </c>
      <c r="D54" s="729" t="s">
        <v>3867</v>
      </c>
      <c r="E54" s="730">
        <v>14</v>
      </c>
      <c r="F54" s="119"/>
      <c r="G54" s="731"/>
      <c r="H54" s="119"/>
      <c r="I54" s="735">
        <v>15.4</v>
      </c>
      <c r="J54" s="66" t="s">
        <v>3756</v>
      </c>
      <c r="K54" s="470">
        <v>17400000</v>
      </c>
      <c r="L54" s="116"/>
      <c r="M54" s="731"/>
      <c r="N54" s="738"/>
      <c r="O54" s="734"/>
      <c r="P54" s="774"/>
    </row>
    <row r="55" spans="1:16" ht="90" customHeight="1">
      <c r="A55" s="776" t="s">
        <v>3751</v>
      </c>
      <c r="B55" s="728" t="s">
        <v>3872</v>
      </c>
      <c r="C55" s="185" t="s">
        <v>3873</v>
      </c>
      <c r="D55" s="729" t="s">
        <v>3874</v>
      </c>
      <c r="E55" s="744">
        <v>96</v>
      </c>
      <c r="F55" s="139"/>
      <c r="G55" s="740"/>
      <c r="H55" s="139"/>
      <c r="I55" s="745">
        <v>152.02000000000001</v>
      </c>
      <c r="J55" s="66" t="s">
        <v>3756</v>
      </c>
      <c r="K55" s="704">
        <v>159372000</v>
      </c>
      <c r="L55" s="184"/>
      <c r="M55" s="731"/>
      <c r="N55" s="738" t="s">
        <v>3875</v>
      </c>
      <c r="O55" s="734" t="s">
        <v>3758</v>
      </c>
      <c r="P55" s="774">
        <v>75628517</v>
      </c>
    </row>
    <row r="56" spans="1:16" ht="40.15" customHeight="1">
      <c r="A56" s="777" t="s">
        <v>3770</v>
      </c>
      <c r="B56" s="746" t="s">
        <v>3876</v>
      </c>
      <c r="C56" s="171" t="s">
        <v>3877</v>
      </c>
      <c r="D56" s="230" t="s">
        <v>3874</v>
      </c>
      <c r="E56" s="172">
        <v>8</v>
      </c>
      <c r="F56" s="119"/>
      <c r="G56" s="731"/>
      <c r="H56" s="119"/>
      <c r="I56" s="140">
        <v>5.9</v>
      </c>
      <c r="J56" s="66" t="s">
        <v>3756</v>
      </c>
      <c r="K56" s="470">
        <v>4480000</v>
      </c>
      <c r="L56" s="116"/>
      <c r="M56" s="731"/>
      <c r="N56" s="738"/>
      <c r="O56" s="734"/>
      <c r="P56" s="774"/>
    </row>
    <row r="57" spans="1:16" ht="88.9" customHeight="1">
      <c r="A57" s="777" t="s">
        <v>38</v>
      </c>
      <c r="B57" s="746" t="s">
        <v>3878</v>
      </c>
      <c r="C57" s="171" t="s">
        <v>3879</v>
      </c>
      <c r="D57" s="230" t="s">
        <v>3874</v>
      </c>
      <c r="E57" s="172">
        <v>370</v>
      </c>
      <c r="F57" s="119"/>
      <c r="G57" s="731"/>
      <c r="H57" s="119"/>
      <c r="I57" s="140">
        <v>809.17</v>
      </c>
      <c r="J57" s="66" t="s">
        <v>3756</v>
      </c>
      <c r="K57" s="470">
        <v>933568500</v>
      </c>
      <c r="L57" s="116"/>
      <c r="M57" s="731"/>
      <c r="N57" s="738"/>
      <c r="O57" s="734"/>
      <c r="P57" s="774"/>
    </row>
    <row r="58" spans="1:16" ht="14.45" customHeight="1">
      <c r="A58" s="777" t="s">
        <v>59</v>
      </c>
      <c r="B58" s="746" t="s">
        <v>3863</v>
      </c>
      <c r="C58" s="171" t="s">
        <v>3880</v>
      </c>
      <c r="D58" s="230" t="s">
        <v>3874</v>
      </c>
      <c r="E58" s="172">
        <v>2</v>
      </c>
      <c r="F58" s="119"/>
      <c r="G58" s="731"/>
      <c r="H58" s="119"/>
      <c r="I58" s="140">
        <v>3.5</v>
      </c>
      <c r="J58" s="66" t="s">
        <v>3756</v>
      </c>
      <c r="K58" s="743">
        <v>1885000</v>
      </c>
      <c r="L58" s="116"/>
      <c r="M58" s="731"/>
      <c r="N58" s="738"/>
      <c r="O58" s="734"/>
      <c r="P58" s="774"/>
    </row>
    <row r="59" spans="1:16">
      <c r="A59" s="777" t="s">
        <v>3782</v>
      </c>
      <c r="B59" s="746" t="s">
        <v>3847</v>
      </c>
      <c r="C59" s="171" t="s">
        <v>3881</v>
      </c>
      <c r="D59" s="230" t="s">
        <v>3874</v>
      </c>
      <c r="E59" s="172">
        <v>1</v>
      </c>
      <c r="F59" s="119"/>
      <c r="G59" s="731"/>
      <c r="H59" s="119"/>
      <c r="I59" s="140">
        <v>4</v>
      </c>
      <c r="J59" s="66" t="s">
        <v>3756</v>
      </c>
      <c r="K59" s="743">
        <v>1200000</v>
      </c>
      <c r="L59" s="116"/>
      <c r="M59" s="731"/>
      <c r="N59" s="738"/>
      <c r="O59" s="734"/>
      <c r="P59" s="774"/>
    </row>
    <row r="60" spans="1:16">
      <c r="A60" s="777" t="s">
        <v>83</v>
      </c>
      <c r="B60" s="746" t="s">
        <v>3882</v>
      </c>
      <c r="C60" s="171" t="s">
        <v>3883</v>
      </c>
      <c r="D60" s="230" t="s">
        <v>3874</v>
      </c>
      <c r="E60" s="172">
        <v>3</v>
      </c>
      <c r="F60" s="119"/>
      <c r="G60" s="731"/>
      <c r="H60" s="119"/>
      <c r="I60" s="140">
        <v>4.5</v>
      </c>
      <c r="J60" s="66" t="s">
        <v>3756</v>
      </c>
      <c r="K60" s="743">
        <v>4455000</v>
      </c>
      <c r="L60" s="116"/>
      <c r="M60" s="731"/>
      <c r="N60" s="738"/>
      <c r="O60" s="734"/>
      <c r="P60" s="774"/>
    </row>
    <row r="61" spans="1:16" ht="37.9" customHeight="1">
      <c r="A61" s="773" t="s">
        <v>3751</v>
      </c>
      <c r="B61" s="728" t="s">
        <v>3884</v>
      </c>
      <c r="C61" s="185" t="s">
        <v>3885</v>
      </c>
      <c r="D61" s="729" t="s">
        <v>3886</v>
      </c>
      <c r="E61" s="730">
        <v>11</v>
      </c>
      <c r="F61" s="119"/>
      <c r="G61" s="731"/>
      <c r="H61" s="119"/>
      <c r="I61" s="735">
        <v>12.4</v>
      </c>
      <c r="J61" s="66" t="s">
        <v>3756</v>
      </c>
      <c r="K61" s="704">
        <v>42964000</v>
      </c>
      <c r="L61" s="116"/>
      <c r="M61" s="731"/>
      <c r="N61" s="738" t="s">
        <v>3887</v>
      </c>
      <c r="O61" s="734" t="s">
        <v>3758</v>
      </c>
      <c r="P61" s="774">
        <v>2553712</v>
      </c>
    </row>
    <row r="62" spans="1:16" ht="36.6" customHeight="1">
      <c r="A62" s="773" t="s">
        <v>38</v>
      </c>
      <c r="B62" s="728" t="s">
        <v>3878</v>
      </c>
      <c r="C62" s="185" t="s">
        <v>3888</v>
      </c>
      <c r="D62" s="729" t="s">
        <v>3886</v>
      </c>
      <c r="E62" s="730">
        <v>14</v>
      </c>
      <c r="F62" s="119"/>
      <c r="G62" s="731"/>
      <c r="H62" s="119"/>
      <c r="I62" s="735">
        <v>5.7</v>
      </c>
      <c r="J62" s="66" t="s">
        <v>3756</v>
      </c>
      <c r="K62" s="704">
        <v>11157500</v>
      </c>
      <c r="L62" s="116"/>
      <c r="M62" s="731"/>
      <c r="N62" s="738"/>
      <c r="O62" s="734"/>
      <c r="P62" s="774"/>
    </row>
    <row r="63" spans="1:16">
      <c r="A63" s="773" t="s">
        <v>3770</v>
      </c>
      <c r="B63" s="746" t="s">
        <v>19</v>
      </c>
      <c r="C63" s="171" t="s">
        <v>3889</v>
      </c>
      <c r="D63" s="729" t="s">
        <v>3886</v>
      </c>
      <c r="E63" s="730">
        <v>2</v>
      </c>
      <c r="F63" s="119"/>
      <c r="G63" s="731"/>
      <c r="H63" s="119"/>
      <c r="I63" s="735">
        <v>1.5</v>
      </c>
      <c r="J63" s="66" t="s">
        <v>3756</v>
      </c>
      <c r="K63" s="704">
        <v>712000</v>
      </c>
      <c r="L63" s="116"/>
      <c r="M63" s="731"/>
      <c r="N63" s="738"/>
      <c r="O63" s="734"/>
      <c r="P63" s="774"/>
    </row>
    <row r="64" spans="1:16">
      <c r="A64" s="773" t="s">
        <v>3782</v>
      </c>
      <c r="B64" s="746" t="s">
        <v>3847</v>
      </c>
      <c r="C64" s="171" t="s">
        <v>3881</v>
      </c>
      <c r="D64" s="729" t="s">
        <v>3886</v>
      </c>
      <c r="E64" s="730">
        <v>1</v>
      </c>
      <c r="F64" s="119"/>
      <c r="G64" s="731"/>
      <c r="H64" s="119"/>
      <c r="I64" s="735">
        <v>1.5</v>
      </c>
      <c r="J64" s="66" t="s">
        <v>3756</v>
      </c>
      <c r="K64" s="704">
        <v>7000000</v>
      </c>
      <c r="L64" s="116"/>
      <c r="M64" s="731"/>
      <c r="N64" s="738"/>
      <c r="O64" s="734"/>
      <c r="P64" s="774"/>
    </row>
    <row r="65" spans="1:16" ht="72" customHeight="1">
      <c r="A65" s="777" t="s">
        <v>3770</v>
      </c>
      <c r="B65" s="746" t="s">
        <v>3869</v>
      </c>
      <c r="C65" s="171" t="s">
        <v>3890</v>
      </c>
      <c r="D65" s="230" t="s">
        <v>3891</v>
      </c>
      <c r="E65" s="172">
        <v>2</v>
      </c>
      <c r="F65" s="119"/>
      <c r="G65" s="731"/>
      <c r="H65" s="119"/>
      <c r="I65" s="140">
        <v>4.2</v>
      </c>
      <c r="J65" s="66" t="s">
        <v>3756</v>
      </c>
      <c r="K65" s="470">
        <v>4600000</v>
      </c>
      <c r="L65" s="116"/>
      <c r="M65" s="731"/>
      <c r="N65" s="738" t="s">
        <v>3892</v>
      </c>
      <c r="O65" s="734" t="s">
        <v>3758</v>
      </c>
      <c r="P65" s="774">
        <v>3298795</v>
      </c>
    </row>
    <row r="66" spans="1:16">
      <c r="A66" s="777" t="s">
        <v>3751</v>
      </c>
      <c r="B66" s="746" t="s">
        <v>3893</v>
      </c>
      <c r="C66" s="171" t="s">
        <v>3894</v>
      </c>
      <c r="D66" s="230" t="s">
        <v>3891</v>
      </c>
      <c r="E66" s="172">
        <v>1</v>
      </c>
      <c r="F66" s="119"/>
      <c r="G66" s="731"/>
      <c r="H66" s="119"/>
      <c r="I66" s="140">
        <v>1</v>
      </c>
      <c r="J66" s="66" t="s">
        <v>3756</v>
      </c>
      <c r="K66" s="704">
        <v>800000</v>
      </c>
      <c r="L66" s="116"/>
      <c r="M66" s="731"/>
      <c r="N66" s="738"/>
      <c r="O66" s="734"/>
      <c r="P66" s="774"/>
    </row>
    <row r="67" spans="1:16">
      <c r="A67" s="777" t="s">
        <v>38</v>
      </c>
      <c r="B67" s="746" t="s">
        <v>3773</v>
      </c>
      <c r="C67" s="171" t="s">
        <v>3790</v>
      </c>
      <c r="D67" s="230" t="s">
        <v>3891</v>
      </c>
      <c r="E67" s="172">
        <v>12</v>
      </c>
      <c r="F67" s="119"/>
      <c r="G67" s="731"/>
      <c r="H67" s="119"/>
      <c r="I67" s="140">
        <v>5.0999999999999996</v>
      </c>
      <c r="J67" s="66" t="s">
        <v>3756</v>
      </c>
      <c r="K67" s="704">
        <v>9145000</v>
      </c>
      <c r="L67" s="116"/>
      <c r="M67" s="731"/>
      <c r="N67" s="738"/>
      <c r="O67" s="734"/>
      <c r="P67" s="774"/>
    </row>
    <row r="68" spans="1:16" ht="15">
      <c r="A68" s="777" t="s">
        <v>3751</v>
      </c>
      <c r="B68" s="747" t="s">
        <v>3895</v>
      </c>
      <c r="C68" s="171" t="s">
        <v>3896</v>
      </c>
      <c r="D68" s="230" t="s">
        <v>3897</v>
      </c>
      <c r="E68" s="116">
        <v>5</v>
      </c>
      <c r="F68" s="119"/>
      <c r="G68" s="731"/>
      <c r="H68" s="119"/>
      <c r="I68" s="116">
        <v>0.8</v>
      </c>
      <c r="J68" s="66" t="s">
        <v>3756</v>
      </c>
      <c r="K68" s="470">
        <v>4440000</v>
      </c>
      <c r="L68" s="116"/>
      <c r="M68" s="731"/>
      <c r="N68" s="738"/>
      <c r="O68" s="734"/>
      <c r="P68" s="774"/>
    </row>
    <row r="69" spans="1:16" ht="60" customHeight="1">
      <c r="A69" s="777" t="s">
        <v>3770</v>
      </c>
      <c r="B69" s="747" t="s">
        <v>3898</v>
      </c>
      <c r="C69" s="171" t="s">
        <v>3899</v>
      </c>
      <c r="D69" s="230" t="s">
        <v>3897</v>
      </c>
      <c r="E69" s="172">
        <v>11</v>
      </c>
      <c r="F69" s="119"/>
      <c r="G69" s="731"/>
      <c r="H69" s="119"/>
      <c r="I69" s="140">
        <v>2.2000000000000002</v>
      </c>
      <c r="J69" s="66" t="s">
        <v>3756</v>
      </c>
      <c r="K69" s="704">
        <v>15200000</v>
      </c>
      <c r="L69" s="116"/>
      <c r="M69" s="731"/>
      <c r="N69" s="738" t="s">
        <v>3900</v>
      </c>
      <c r="O69" s="734" t="s">
        <v>3758</v>
      </c>
      <c r="P69" s="774">
        <v>6342400</v>
      </c>
    </row>
    <row r="70" spans="1:16" ht="15">
      <c r="A70" s="777" t="s">
        <v>3782</v>
      </c>
      <c r="B70" s="747" t="s">
        <v>3847</v>
      </c>
      <c r="C70" s="171" t="s">
        <v>3901</v>
      </c>
      <c r="D70" s="230" t="s">
        <v>3897</v>
      </c>
      <c r="E70" s="172">
        <v>4</v>
      </c>
      <c r="F70" s="119"/>
      <c r="G70" s="731"/>
      <c r="H70" s="119"/>
      <c r="I70" s="140">
        <v>2.85</v>
      </c>
      <c r="J70" s="66" t="s">
        <v>3756</v>
      </c>
      <c r="K70" s="704">
        <v>7600000</v>
      </c>
      <c r="L70" s="116"/>
      <c r="M70" s="731"/>
      <c r="N70" s="738"/>
      <c r="O70" s="734"/>
      <c r="P70" s="774"/>
    </row>
    <row r="71" spans="1:16" ht="72" customHeight="1">
      <c r="A71" s="777" t="s">
        <v>3751</v>
      </c>
      <c r="B71" s="742" t="s">
        <v>3902</v>
      </c>
      <c r="C71" s="171" t="s">
        <v>3903</v>
      </c>
      <c r="D71" s="230" t="s">
        <v>3904</v>
      </c>
      <c r="E71" s="172">
        <v>10</v>
      </c>
      <c r="F71" s="119"/>
      <c r="G71" s="731"/>
      <c r="H71" s="119"/>
      <c r="I71" s="140">
        <v>2.41</v>
      </c>
      <c r="J71" s="66" t="s">
        <v>3756</v>
      </c>
      <c r="K71" s="470">
        <v>2975000</v>
      </c>
      <c r="L71" s="116"/>
      <c r="M71" s="731"/>
      <c r="N71" s="738" t="s">
        <v>3905</v>
      </c>
      <c r="O71" s="734" t="s">
        <v>3758</v>
      </c>
      <c r="P71" s="774">
        <v>10435263</v>
      </c>
    </row>
    <row r="72" spans="1:16" ht="78.599999999999994" customHeight="1">
      <c r="A72" s="777" t="s">
        <v>38</v>
      </c>
      <c r="B72" s="742" t="s">
        <v>3878</v>
      </c>
      <c r="C72" s="171" t="s">
        <v>3906</v>
      </c>
      <c r="D72" s="230" t="s">
        <v>3904</v>
      </c>
      <c r="E72" s="172">
        <v>117</v>
      </c>
      <c r="F72" s="119"/>
      <c r="G72" s="731"/>
      <c r="H72" s="119"/>
      <c r="I72" s="140">
        <v>101.1</v>
      </c>
      <c r="J72" s="66" t="s">
        <v>3756</v>
      </c>
      <c r="K72" s="470">
        <v>233315600</v>
      </c>
      <c r="L72" s="116"/>
      <c r="M72" s="731"/>
      <c r="N72" s="738"/>
      <c r="O72" s="734"/>
      <c r="P72" s="774"/>
    </row>
    <row r="73" spans="1:16" ht="36" customHeight="1">
      <c r="A73" s="773" t="s">
        <v>38</v>
      </c>
      <c r="B73" s="748" t="s">
        <v>3773</v>
      </c>
      <c r="C73" s="749" t="s">
        <v>3907</v>
      </c>
      <c r="D73" s="729" t="s">
        <v>3908</v>
      </c>
      <c r="E73" s="730">
        <v>1</v>
      </c>
      <c r="F73" s="119"/>
      <c r="G73" s="731"/>
      <c r="H73" s="119"/>
      <c r="I73" s="75">
        <v>1.5</v>
      </c>
      <c r="J73" s="66" t="s">
        <v>3756</v>
      </c>
      <c r="K73" s="732">
        <v>2000000</v>
      </c>
      <c r="L73" s="116"/>
      <c r="M73" s="731"/>
      <c r="N73" s="738" t="s">
        <v>3909</v>
      </c>
      <c r="O73" s="734" t="s">
        <v>3758</v>
      </c>
      <c r="P73" s="774">
        <v>5534423</v>
      </c>
    </row>
    <row r="74" spans="1:16" ht="31.9" customHeight="1">
      <c r="A74" s="773" t="s">
        <v>3770</v>
      </c>
      <c r="B74" s="728" t="s">
        <v>3910</v>
      </c>
      <c r="C74" s="185" t="s">
        <v>3911</v>
      </c>
      <c r="D74" s="729" t="s">
        <v>3912</v>
      </c>
      <c r="E74" s="730">
        <v>3</v>
      </c>
      <c r="F74" s="119"/>
      <c r="G74" s="731"/>
      <c r="H74" s="119"/>
      <c r="I74" s="735">
        <v>0.9</v>
      </c>
      <c r="J74" s="66" t="s">
        <v>3756</v>
      </c>
      <c r="K74" s="732">
        <v>2793300</v>
      </c>
      <c r="L74" s="116"/>
      <c r="M74" s="731"/>
      <c r="N74" s="738"/>
      <c r="O74" s="734"/>
      <c r="P74" s="774"/>
    </row>
    <row r="75" spans="1:16" ht="31.9" customHeight="1">
      <c r="A75" s="773" t="s">
        <v>3751</v>
      </c>
      <c r="B75" s="728" t="s">
        <v>3913</v>
      </c>
      <c r="C75" s="185" t="s">
        <v>3475</v>
      </c>
      <c r="D75" s="729" t="s">
        <v>3914</v>
      </c>
      <c r="E75" s="730">
        <v>1</v>
      </c>
      <c r="F75" s="119"/>
      <c r="G75" s="731"/>
      <c r="H75" s="119"/>
      <c r="I75" s="735">
        <v>0.5</v>
      </c>
      <c r="J75" s="66" t="s">
        <v>3756</v>
      </c>
      <c r="K75" s="732">
        <v>500000</v>
      </c>
      <c r="L75" s="116"/>
      <c r="M75" s="731"/>
      <c r="N75" s="738"/>
      <c r="O75" s="734"/>
      <c r="P75" s="774"/>
    </row>
    <row r="76" spans="1:16" ht="31.9" customHeight="1">
      <c r="A76" s="773" t="s">
        <v>38</v>
      </c>
      <c r="B76" s="728" t="s">
        <v>3773</v>
      </c>
      <c r="C76" s="185" t="s">
        <v>3915</v>
      </c>
      <c r="D76" s="729" t="s">
        <v>3914</v>
      </c>
      <c r="E76" s="730">
        <v>6</v>
      </c>
      <c r="F76" s="119"/>
      <c r="G76" s="731"/>
      <c r="H76" s="119"/>
      <c r="I76" s="735">
        <v>182.92</v>
      </c>
      <c r="J76" s="66" t="s">
        <v>3756</v>
      </c>
      <c r="K76" s="732">
        <v>23596500</v>
      </c>
      <c r="L76" s="116"/>
      <c r="M76" s="731"/>
      <c r="N76" s="738"/>
      <c r="O76" s="734"/>
      <c r="P76" s="774"/>
    </row>
    <row r="77" spans="1:16" ht="31.9" customHeight="1">
      <c r="A77" s="773" t="s">
        <v>3770</v>
      </c>
      <c r="B77" s="728" t="s">
        <v>3916</v>
      </c>
      <c r="C77" s="185" t="s">
        <v>3917</v>
      </c>
      <c r="D77" s="729" t="s">
        <v>3914</v>
      </c>
      <c r="E77" s="730">
        <v>8</v>
      </c>
      <c r="F77" s="119"/>
      <c r="G77" s="731"/>
      <c r="H77" s="119"/>
      <c r="I77" s="735">
        <v>8.17</v>
      </c>
      <c r="J77" s="66" t="s">
        <v>3756</v>
      </c>
      <c r="K77" s="732">
        <v>14493000</v>
      </c>
      <c r="L77" s="116"/>
      <c r="M77" s="731"/>
      <c r="N77" s="738"/>
      <c r="O77" s="734"/>
      <c r="P77" s="774"/>
    </row>
    <row r="78" spans="1:16" ht="31.9" customHeight="1">
      <c r="A78" s="773" t="s">
        <v>3751</v>
      </c>
      <c r="B78" s="728" t="s">
        <v>3918</v>
      </c>
      <c r="C78" s="185" t="s">
        <v>3525</v>
      </c>
      <c r="D78" s="729" t="s">
        <v>1659</v>
      </c>
      <c r="E78" s="730">
        <v>1</v>
      </c>
      <c r="F78" s="119"/>
      <c r="G78" s="731"/>
      <c r="H78" s="119"/>
      <c r="I78" s="735">
        <v>0.25</v>
      </c>
      <c r="J78" s="66" t="s">
        <v>3756</v>
      </c>
      <c r="K78" s="750">
        <v>720000</v>
      </c>
      <c r="L78" s="116"/>
      <c r="M78" s="731"/>
      <c r="N78" s="738"/>
      <c r="O78" s="734"/>
      <c r="P78" s="774"/>
    </row>
    <row r="79" spans="1:16" ht="31.9" customHeight="1">
      <c r="A79" s="773" t="s">
        <v>38</v>
      </c>
      <c r="B79" s="728" t="s">
        <v>3773</v>
      </c>
      <c r="C79" s="185" t="s">
        <v>3919</v>
      </c>
      <c r="D79" s="729" t="s">
        <v>1659</v>
      </c>
      <c r="E79" s="730">
        <v>12</v>
      </c>
      <c r="F79" s="119"/>
      <c r="G79" s="731"/>
      <c r="H79" s="119"/>
      <c r="I79" s="735">
        <v>13.1</v>
      </c>
      <c r="J79" s="66" t="s">
        <v>3756</v>
      </c>
      <c r="K79" s="750">
        <v>6165000</v>
      </c>
      <c r="L79" s="116"/>
      <c r="M79" s="731"/>
      <c r="N79" s="738"/>
      <c r="O79" s="734"/>
      <c r="P79" s="774"/>
    </row>
    <row r="80" spans="1:16" ht="31.9" customHeight="1">
      <c r="A80" s="773" t="s">
        <v>3770</v>
      </c>
      <c r="B80" s="728" t="s">
        <v>2436</v>
      </c>
      <c r="C80" s="185" t="s">
        <v>642</v>
      </c>
      <c r="D80" s="729" t="s">
        <v>3920</v>
      </c>
      <c r="E80" s="730">
        <v>1</v>
      </c>
      <c r="F80" s="119"/>
      <c r="G80" s="731"/>
      <c r="H80" s="119"/>
      <c r="I80" s="735">
        <v>0.2</v>
      </c>
      <c r="J80" s="66" t="s">
        <v>3756</v>
      </c>
      <c r="K80" s="732">
        <v>40000</v>
      </c>
      <c r="L80" s="116"/>
      <c r="M80" s="731"/>
      <c r="N80" s="738"/>
      <c r="O80" s="734"/>
      <c r="P80" s="774"/>
    </row>
    <row r="81" spans="1:16" ht="31.9" customHeight="1">
      <c r="A81" s="773" t="s">
        <v>38</v>
      </c>
      <c r="B81" s="728" t="s">
        <v>3773</v>
      </c>
      <c r="C81" s="185" t="s">
        <v>3921</v>
      </c>
      <c r="D81" s="729" t="s">
        <v>3922</v>
      </c>
      <c r="E81" s="730">
        <v>9</v>
      </c>
      <c r="F81" s="119"/>
      <c r="G81" s="731"/>
      <c r="H81" s="119"/>
      <c r="I81" s="735">
        <v>4.6500000000000004</v>
      </c>
      <c r="J81" s="66" t="s">
        <v>3756</v>
      </c>
      <c r="K81" s="732">
        <v>3710000</v>
      </c>
      <c r="L81" s="116"/>
      <c r="M81" s="731"/>
      <c r="N81" s="738"/>
      <c r="O81" s="734"/>
      <c r="P81" s="774"/>
    </row>
    <row r="82" spans="1:16" ht="31.9" customHeight="1">
      <c r="A82" s="773" t="s">
        <v>3751</v>
      </c>
      <c r="B82" s="728" t="s">
        <v>3918</v>
      </c>
      <c r="C82" s="185" t="s">
        <v>3525</v>
      </c>
      <c r="D82" s="729" t="s">
        <v>3923</v>
      </c>
      <c r="E82" s="730">
        <v>0.6</v>
      </c>
      <c r="F82" s="119"/>
      <c r="G82" s="731"/>
      <c r="H82" s="119"/>
      <c r="I82" s="735">
        <v>0.6</v>
      </c>
      <c r="J82" s="66" t="s">
        <v>3756</v>
      </c>
      <c r="K82" s="470">
        <v>900000</v>
      </c>
      <c r="L82" s="116"/>
      <c r="M82" s="731"/>
      <c r="N82" s="738"/>
      <c r="O82" s="734"/>
      <c r="P82" s="774"/>
    </row>
    <row r="83" spans="1:16" ht="31.9" customHeight="1">
      <c r="A83" s="773" t="s">
        <v>38</v>
      </c>
      <c r="B83" s="728" t="s">
        <v>3773</v>
      </c>
      <c r="C83" s="185" t="s">
        <v>3815</v>
      </c>
      <c r="D83" s="729" t="s">
        <v>3923</v>
      </c>
      <c r="E83" s="730">
        <v>4</v>
      </c>
      <c r="F83" s="119"/>
      <c r="G83" s="731"/>
      <c r="H83" s="119"/>
      <c r="I83" s="735">
        <v>1.85</v>
      </c>
      <c r="J83" s="66" t="s">
        <v>3756</v>
      </c>
      <c r="K83" s="470">
        <v>910000</v>
      </c>
      <c r="L83" s="116"/>
      <c r="M83" s="731"/>
      <c r="N83" s="738"/>
      <c r="O83" s="734"/>
      <c r="P83" s="774"/>
    </row>
    <row r="84" spans="1:16" ht="31.9" customHeight="1">
      <c r="A84" s="773" t="s">
        <v>3770</v>
      </c>
      <c r="B84" s="728" t="s">
        <v>3825</v>
      </c>
      <c r="C84" s="185" t="s">
        <v>842</v>
      </c>
      <c r="D84" s="729" t="s">
        <v>3924</v>
      </c>
      <c r="E84" s="730">
        <v>1</v>
      </c>
      <c r="F84" s="119"/>
      <c r="G84" s="731"/>
      <c r="H84" s="119"/>
      <c r="I84" s="735">
        <v>1</v>
      </c>
      <c r="J84" s="66" t="s">
        <v>3756</v>
      </c>
      <c r="K84" s="470">
        <v>2000000</v>
      </c>
      <c r="L84" s="116"/>
      <c r="M84" s="731"/>
      <c r="N84" s="738"/>
      <c r="O84" s="734"/>
      <c r="P84" s="774"/>
    </row>
    <row r="85" spans="1:16" ht="31.9" customHeight="1">
      <c r="A85" s="773" t="s">
        <v>38</v>
      </c>
      <c r="B85" s="728" t="s">
        <v>3773</v>
      </c>
      <c r="C85" s="185" t="s">
        <v>3815</v>
      </c>
      <c r="D85" s="729" t="s">
        <v>3925</v>
      </c>
      <c r="E85" s="730">
        <v>1</v>
      </c>
      <c r="F85" s="119"/>
      <c r="G85" s="731"/>
      <c r="H85" s="119"/>
      <c r="I85" s="735">
        <v>0.01</v>
      </c>
      <c r="J85" s="66" t="s">
        <v>3756</v>
      </c>
      <c r="K85" s="470">
        <v>20000</v>
      </c>
      <c r="L85" s="116"/>
      <c r="M85" s="731"/>
      <c r="N85" s="738"/>
      <c r="O85" s="734"/>
      <c r="P85" s="774"/>
    </row>
    <row r="86" spans="1:16" ht="31.9" customHeight="1">
      <c r="A86" s="773" t="s">
        <v>3770</v>
      </c>
      <c r="B86" s="728" t="s">
        <v>3825</v>
      </c>
      <c r="C86" s="185" t="s">
        <v>3926</v>
      </c>
      <c r="D86" s="729" t="s">
        <v>3925</v>
      </c>
      <c r="E86" s="730">
        <v>1</v>
      </c>
      <c r="F86" s="119"/>
      <c r="G86" s="731"/>
      <c r="H86" s="119"/>
      <c r="I86" s="735">
        <v>0.5</v>
      </c>
      <c r="J86" s="66" t="s">
        <v>3756</v>
      </c>
      <c r="K86" s="470">
        <v>32800000</v>
      </c>
      <c r="L86" s="116"/>
      <c r="M86" s="731"/>
      <c r="N86" s="738"/>
      <c r="O86" s="734"/>
      <c r="P86" s="774"/>
    </row>
    <row r="87" spans="1:16" ht="31.9" customHeight="1">
      <c r="A87" s="777" t="s">
        <v>3751</v>
      </c>
      <c r="B87" s="746" t="s">
        <v>3913</v>
      </c>
      <c r="C87" s="171" t="s">
        <v>3927</v>
      </c>
      <c r="D87" s="230" t="s">
        <v>3928</v>
      </c>
      <c r="E87" s="172">
        <v>2</v>
      </c>
      <c r="F87" s="119"/>
      <c r="G87" s="731"/>
      <c r="H87" s="119"/>
      <c r="I87" s="140">
        <v>1</v>
      </c>
      <c r="J87" s="66" t="s">
        <v>3756</v>
      </c>
      <c r="K87" s="704">
        <v>2550000</v>
      </c>
      <c r="L87" s="116"/>
      <c r="M87" s="731"/>
      <c r="N87" s="738"/>
      <c r="O87" s="734"/>
      <c r="P87" s="774"/>
    </row>
    <row r="88" spans="1:16" ht="31.9" customHeight="1">
      <c r="A88" s="777" t="s">
        <v>3751</v>
      </c>
      <c r="B88" s="742" t="s">
        <v>3751</v>
      </c>
      <c r="C88" s="171" t="s">
        <v>3929</v>
      </c>
      <c r="D88" s="230"/>
      <c r="E88" s="172">
        <v>1</v>
      </c>
      <c r="F88" s="171" t="s">
        <v>3930</v>
      </c>
      <c r="G88" s="751"/>
      <c r="H88" s="119"/>
      <c r="I88" s="116"/>
      <c r="J88" s="66" t="s">
        <v>3931</v>
      </c>
      <c r="K88" s="470">
        <v>12000000</v>
      </c>
      <c r="L88" s="116"/>
      <c r="M88" s="731"/>
      <c r="N88" s="738" t="s">
        <v>3932</v>
      </c>
      <c r="O88" s="734" t="s">
        <v>3758</v>
      </c>
      <c r="P88" s="774">
        <v>276486470</v>
      </c>
    </row>
    <row r="89" spans="1:16" ht="31.9" customHeight="1">
      <c r="A89" s="777" t="s">
        <v>38</v>
      </c>
      <c r="B89" s="752" t="s">
        <v>3763</v>
      </c>
      <c r="C89" s="185" t="s">
        <v>3933</v>
      </c>
      <c r="D89" s="230"/>
      <c r="E89" s="172">
        <v>10</v>
      </c>
      <c r="F89" s="171" t="s">
        <v>3934</v>
      </c>
      <c r="G89" s="751"/>
      <c r="H89" s="119"/>
      <c r="I89" s="116"/>
      <c r="J89" s="66" t="s">
        <v>3931</v>
      </c>
      <c r="K89" s="470">
        <v>104174375</v>
      </c>
      <c r="L89" s="116"/>
      <c r="M89" s="731"/>
      <c r="N89" s="738"/>
      <c r="O89" s="734"/>
      <c r="P89" s="774"/>
    </row>
    <row r="90" spans="1:16" ht="43.9" customHeight="1">
      <c r="A90" s="777" t="s">
        <v>3770</v>
      </c>
      <c r="B90" s="752" t="s">
        <v>3935</v>
      </c>
      <c r="C90" s="185" t="s">
        <v>3936</v>
      </c>
      <c r="D90" s="230"/>
      <c r="E90" s="172">
        <v>20</v>
      </c>
      <c r="F90" s="171" t="s">
        <v>3937</v>
      </c>
      <c r="G90" s="751"/>
      <c r="H90" s="119"/>
      <c r="I90" s="116"/>
      <c r="J90" s="66" t="s">
        <v>3931</v>
      </c>
      <c r="K90" s="470">
        <v>26559800</v>
      </c>
      <c r="L90" s="116"/>
      <c r="M90" s="731"/>
      <c r="N90" s="738"/>
      <c r="O90" s="734"/>
      <c r="P90" s="774"/>
    </row>
    <row r="91" spans="1:16" ht="31.9" customHeight="1">
      <c r="A91" s="777" t="s">
        <v>3751</v>
      </c>
      <c r="B91" s="742" t="s">
        <v>3893</v>
      </c>
      <c r="C91" s="171" t="s">
        <v>3938</v>
      </c>
      <c r="D91" s="230"/>
      <c r="E91" s="172">
        <v>1</v>
      </c>
      <c r="F91" s="119"/>
      <c r="G91" s="751" t="s">
        <v>3939</v>
      </c>
      <c r="H91" s="119"/>
      <c r="I91" s="116"/>
      <c r="J91" s="66" t="s">
        <v>3931</v>
      </c>
      <c r="K91" s="470">
        <v>11000</v>
      </c>
      <c r="L91" s="116"/>
      <c r="M91" s="731"/>
      <c r="N91" s="738" t="s">
        <v>3940</v>
      </c>
      <c r="O91" s="734" t="s">
        <v>3769</v>
      </c>
      <c r="P91" s="774">
        <v>133164000</v>
      </c>
    </row>
    <row r="92" spans="1:16" ht="55.15" customHeight="1">
      <c r="A92" s="777" t="s">
        <v>38</v>
      </c>
      <c r="B92" s="752" t="s">
        <v>3773</v>
      </c>
      <c r="C92" s="753" t="s">
        <v>3941</v>
      </c>
      <c r="D92" s="230"/>
      <c r="E92" s="172">
        <v>274</v>
      </c>
      <c r="F92" s="119"/>
      <c r="G92" s="128" t="s">
        <v>3942</v>
      </c>
      <c r="H92" s="119"/>
      <c r="I92" s="116"/>
      <c r="J92" s="66" t="s">
        <v>3931</v>
      </c>
      <c r="K92" s="470">
        <v>1778943894</v>
      </c>
      <c r="L92" s="116"/>
      <c r="M92" s="731"/>
      <c r="N92" s="738"/>
      <c r="O92" s="734"/>
      <c r="P92" s="774"/>
    </row>
    <row r="93" spans="1:16" ht="22.5">
      <c r="A93" s="777" t="s">
        <v>3770</v>
      </c>
      <c r="B93" s="752" t="s">
        <v>3943</v>
      </c>
      <c r="C93" s="749" t="s">
        <v>3944</v>
      </c>
      <c r="D93" s="230"/>
      <c r="E93" s="172">
        <v>3</v>
      </c>
      <c r="F93" s="119"/>
      <c r="G93" s="128" t="s">
        <v>3945</v>
      </c>
      <c r="H93" s="119"/>
      <c r="I93" s="116"/>
      <c r="J93" s="66" t="s">
        <v>3931</v>
      </c>
      <c r="K93" s="470">
        <v>2250000</v>
      </c>
      <c r="L93" s="116"/>
      <c r="M93" s="731"/>
      <c r="N93" s="738"/>
      <c r="O93" s="734"/>
      <c r="P93" s="774"/>
    </row>
    <row r="94" spans="1:16" ht="22.5">
      <c r="A94" s="115" t="s">
        <v>108</v>
      </c>
      <c r="B94" s="754" t="s">
        <v>3946</v>
      </c>
      <c r="C94" s="753" t="s">
        <v>3946</v>
      </c>
      <c r="D94" s="66" t="s">
        <v>3947</v>
      </c>
      <c r="E94" s="116">
        <v>38</v>
      </c>
      <c r="F94" s="116">
        <v>245</v>
      </c>
      <c r="G94" s="117">
        <v>8.4149999999999991</v>
      </c>
      <c r="H94" s="66"/>
      <c r="I94" s="116">
        <v>8.4149999999999991</v>
      </c>
      <c r="J94" s="66" t="s">
        <v>3948</v>
      </c>
      <c r="K94" s="470">
        <v>129420900</v>
      </c>
      <c r="L94" s="66">
        <v>1</v>
      </c>
      <c r="M94" s="128"/>
      <c r="N94" s="118" t="s">
        <v>3949</v>
      </c>
      <c r="O94" s="66" t="s">
        <v>3950</v>
      </c>
      <c r="P94" s="468">
        <v>40000000</v>
      </c>
    </row>
    <row r="95" spans="1:16" ht="33.75">
      <c r="A95" s="115" t="s">
        <v>108</v>
      </c>
      <c r="B95" s="754" t="s">
        <v>3946</v>
      </c>
      <c r="C95" s="753" t="s">
        <v>3946</v>
      </c>
      <c r="D95" s="66" t="s">
        <v>3951</v>
      </c>
      <c r="E95" s="116">
        <v>5</v>
      </c>
      <c r="F95" s="116">
        <v>3200</v>
      </c>
      <c r="G95" s="117">
        <v>0.7</v>
      </c>
      <c r="H95" s="66"/>
      <c r="I95" s="116">
        <v>0.7</v>
      </c>
      <c r="J95" s="66" t="s">
        <v>3948</v>
      </c>
      <c r="K95" s="470">
        <v>8750000</v>
      </c>
      <c r="L95" s="66">
        <v>1</v>
      </c>
      <c r="M95" s="128"/>
      <c r="N95" s="118" t="s">
        <v>3952</v>
      </c>
      <c r="O95" s="66" t="s">
        <v>3950</v>
      </c>
      <c r="P95" s="468">
        <v>3000000</v>
      </c>
    </row>
    <row r="96" spans="1:16">
      <c r="A96" s="115" t="s">
        <v>108</v>
      </c>
      <c r="B96" s="754" t="s">
        <v>3946</v>
      </c>
      <c r="C96" s="753" t="s">
        <v>3946</v>
      </c>
      <c r="D96" s="66" t="s">
        <v>3834</v>
      </c>
      <c r="E96" s="116">
        <v>1</v>
      </c>
      <c r="F96" s="116">
        <v>1</v>
      </c>
      <c r="G96" s="117">
        <v>0.02</v>
      </c>
      <c r="H96" s="119"/>
      <c r="I96" s="116">
        <v>0.02</v>
      </c>
      <c r="J96" s="66" t="s">
        <v>3953</v>
      </c>
      <c r="K96" s="470">
        <v>60000</v>
      </c>
      <c r="L96" s="66">
        <v>1</v>
      </c>
      <c r="M96" s="128"/>
      <c r="N96" s="118" t="s">
        <v>3954</v>
      </c>
      <c r="O96" s="66" t="s">
        <v>3950</v>
      </c>
      <c r="P96" s="468">
        <v>60000</v>
      </c>
    </row>
    <row r="97" spans="1:16" ht="22.5">
      <c r="A97" s="115" t="s">
        <v>107</v>
      </c>
      <c r="B97" s="754" t="s">
        <v>3955</v>
      </c>
      <c r="C97" s="753" t="s">
        <v>3956</v>
      </c>
      <c r="D97" s="66" t="s">
        <v>3947</v>
      </c>
      <c r="E97" s="116">
        <v>1</v>
      </c>
      <c r="F97" s="116">
        <v>1.5</v>
      </c>
      <c r="G97" s="117">
        <v>0.04</v>
      </c>
      <c r="H97" s="66"/>
      <c r="I97" s="116">
        <v>0.04</v>
      </c>
      <c r="J97" s="66" t="s">
        <v>3957</v>
      </c>
      <c r="K97" s="470">
        <v>2800000</v>
      </c>
      <c r="L97" s="66">
        <v>1</v>
      </c>
      <c r="M97" s="128"/>
      <c r="N97" s="118" t="s">
        <v>3949</v>
      </c>
      <c r="O97" s="66" t="s">
        <v>3950</v>
      </c>
      <c r="P97" s="468">
        <v>1000000</v>
      </c>
    </row>
    <row r="98" spans="1:16" ht="22.5">
      <c r="A98" s="115" t="s">
        <v>107</v>
      </c>
      <c r="B98" s="754" t="s">
        <v>3955</v>
      </c>
      <c r="C98" s="753" t="s">
        <v>3956</v>
      </c>
      <c r="D98" s="66" t="s">
        <v>3951</v>
      </c>
      <c r="E98" s="116">
        <v>1</v>
      </c>
      <c r="F98" s="116">
        <v>54</v>
      </c>
      <c r="G98" s="117">
        <v>1.7999999999999999E-2</v>
      </c>
      <c r="H98" s="66"/>
      <c r="I98" s="116">
        <v>1.7999999999999999E-2</v>
      </c>
      <c r="J98" s="66" t="s">
        <v>3958</v>
      </c>
      <c r="K98" s="470">
        <v>165000</v>
      </c>
      <c r="L98" s="66">
        <v>1</v>
      </c>
      <c r="M98" s="128"/>
      <c r="N98" s="118" t="s">
        <v>3954</v>
      </c>
      <c r="O98" s="66" t="s">
        <v>3950</v>
      </c>
      <c r="P98" s="468">
        <v>80000</v>
      </c>
    </row>
    <row r="99" spans="1:16" ht="22.5">
      <c r="A99" s="115" t="s">
        <v>107</v>
      </c>
      <c r="B99" s="754" t="s">
        <v>3955</v>
      </c>
      <c r="C99" s="753" t="s">
        <v>3956</v>
      </c>
      <c r="D99" s="66" t="s">
        <v>3959</v>
      </c>
      <c r="E99" s="116">
        <v>1</v>
      </c>
      <c r="F99" s="116"/>
      <c r="G99" s="117">
        <v>1.2E-2</v>
      </c>
      <c r="H99" s="66"/>
      <c r="I99" s="116">
        <v>1.2E-2</v>
      </c>
      <c r="J99" s="66" t="s">
        <v>3958</v>
      </c>
      <c r="K99" s="470">
        <v>6500000</v>
      </c>
      <c r="L99" s="66">
        <v>1</v>
      </c>
      <c r="M99" s="128"/>
      <c r="N99" s="118" t="s">
        <v>3954</v>
      </c>
      <c r="O99" s="66" t="s">
        <v>3950</v>
      </c>
      <c r="P99" s="468">
        <v>7846000</v>
      </c>
    </row>
    <row r="100" spans="1:16" ht="22.5">
      <c r="A100" s="115" t="s">
        <v>107</v>
      </c>
      <c r="B100" s="754" t="s">
        <v>2079</v>
      </c>
      <c r="C100" s="753" t="s">
        <v>3960</v>
      </c>
      <c r="D100" s="66" t="s">
        <v>3951</v>
      </c>
      <c r="E100" s="116">
        <v>1</v>
      </c>
      <c r="F100" s="116">
        <v>900</v>
      </c>
      <c r="G100" s="117">
        <v>0.2</v>
      </c>
      <c r="H100" s="66"/>
      <c r="I100" s="116">
        <v>0.2</v>
      </c>
      <c r="J100" s="66" t="s">
        <v>3958</v>
      </c>
      <c r="K100" s="470">
        <v>1000000</v>
      </c>
      <c r="L100" s="66">
        <v>1</v>
      </c>
      <c r="M100" s="128"/>
      <c r="N100" s="118" t="s">
        <v>3954</v>
      </c>
      <c r="O100" s="66" t="s">
        <v>3950</v>
      </c>
      <c r="P100" s="468">
        <v>400000</v>
      </c>
    </row>
    <row r="101" spans="1:16" ht="114.95" customHeight="1">
      <c r="A101" s="121" t="s">
        <v>3961</v>
      </c>
      <c r="B101" s="119" t="s">
        <v>3962</v>
      </c>
      <c r="C101" s="171" t="s">
        <v>3963</v>
      </c>
      <c r="D101" s="66" t="s">
        <v>3897</v>
      </c>
      <c r="E101" s="122">
        <v>4</v>
      </c>
      <c r="F101" s="130">
        <v>90</v>
      </c>
      <c r="G101" s="123"/>
      <c r="H101" s="66"/>
      <c r="I101" s="127">
        <v>2</v>
      </c>
      <c r="J101" s="66" t="s">
        <v>3964</v>
      </c>
      <c r="K101" s="470">
        <v>57250000</v>
      </c>
      <c r="L101" s="66">
        <v>1</v>
      </c>
      <c r="M101" s="755"/>
      <c r="N101" s="118" t="s">
        <v>3965</v>
      </c>
      <c r="O101" s="66" t="s">
        <v>3966</v>
      </c>
      <c r="P101" s="468">
        <v>28000000</v>
      </c>
    </row>
    <row r="102" spans="1:16" ht="120.95" customHeight="1">
      <c r="A102" s="121" t="s">
        <v>3961</v>
      </c>
      <c r="B102" s="119" t="s">
        <v>19</v>
      </c>
      <c r="C102" s="171" t="s">
        <v>19</v>
      </c>
      <c r="D102" s="66" t="s">
        <v>3967</v>
      </c>
      <c r="E102" s="122">
        <v>1</v>
      </c>
      <c r="F102" s="66">
        <v>630</v>
      </c>
      <c r="G102" s="123">
        <v>122</v>
      </c>
      <c r="H102" s="66"/>
      <c r="I102" s="124">
        <v>6.4000000000000001E-2</v>
      </c>
      <c r="J102" s="66" t="s">
        <v>3968</v>
      </c>
      <c r="K102" s="470">
        <v>2160000</v>
      </c>
      <c r="L102" s="21">
        <v>1</v>
      </c>
      <c r="M102" s="125"/>
      <c r="N102" s="126" t="s">
        <v>3969</v>
      </c>
      <c r="O102" s="21">
        <v>1</v>
      </c>
      <c r="P102" s="468">
        <v>2590530</v>
      </c>
    </row>
    <row r="103" spans="1:16" ht="63.75">
      <c r="A103" s="121" t="s">
        <v>3961</v>
      </c>
      <c r="B103" s="119" t="s">
        <v>3970</v>
      </c>
      <c r="C103" s="171" t="s">
        <v>3971</v>
      </c>
      <c r="D103" s="66" t="s">
        <v>3778</v>
      </c>
      <c r="E103" s="122">
        <v>15</v>
      </c>
      <c r="F103" s="66">
        <v>8.1</v>
      </c>
      <c r="G103" s="123">
        <v>16500</v>
      </c>
      <c r="H103" s="66"/>
      <c r="I103" s="127">
        <v>3.34</v>
      </c>
      <c r="J103" s="66" t="s">
        <v>3972</v>
      </c>
      <c r="K103" s="470">
        <v>1719000</v>
      </c>
      <c r="L103" s="21">
        <v>1</v>
      </c>
      <c r="M103" s="125"/>
      <c r="N103" s="126" t="s">
        <v>3973</v>
      </c>
      <c r="O103" s="21" t="s">
        <v>3974</v>
      </c>
      <c r="P103" s="468">
        <v>4921380</v>
      </c>
    </row>
    <row r="104" spans="1:16" ht="56.25">
      <c r="A104" s="121" t="s">
        <v>3961</v>
      </c>
      <c r="B104" s="119" t="s">
        <v>3975</v>
      </c>
      <c r="C104" s="171" t="s">
        <v>3976</v>
      </c>
      <c r="D104" s="66" t="s">
        <v>3977</v>
      </c>
      <c r="E104" s="122">
        <v>2</v>
      </c>
      <c r="F104" s="66">
        <v>107.2</v>
      </c>
      <c r="G104" s="123"/>
      <c r="H104" s="66" t="s">
        <v>3978</v>
      </c>
      <c r="I104" s="127">
        <v>6.7</v>
      </c>
      <c r="J104" s="66" t="s">
        <v>3979</v>
      </c>
      <c r="K104" s="470">
        <v>0</v>
      </c>
      <c r="L104" s="66">
        <v>1</v>
      </c>
      <c r="M104" s="128"/>
      <c r="N104" s="129" t="s">
        <v>3980</v>
      </c>
      <c r="O104" s="66" t="s">
        <v>3974</v>
      </c>
      <c r="P104" s="468">
        <v>938000</v>
      </c>
    </row>
    <row r="105" spans="1:16" ht="67.5">
      <c r="A105" s="121" t="s">
        <v>3961</v>
      </c>
      <c r="B105" s="119" t="s">
        <v>19</v>
      </c>
      <c r="C105" s="171" t="s">
        <v>3981</v>
      </c>
      <c r="D105" s="66" t="s">
        <v>3982</v>
      </c>
      <c r="E105" s="122">
        <v>1</v>
      </c>
      <c r="F105" s="130">
        <v>2</v>
      </c>
      <c r="G105" s="123"/>
      <c r="H105" s="66" t="s">
        <v>3983</v>
      </c>
      <c r="I105" s="127">
        <v>0.1</v>
      </c>
      <c r="J105" s="66" t="s">
        <v>3984</v>
      </c>
      <c r="K105" s="470">
        <v>880000</v>
      </c>
      <c r="L105" s="66">
        <v>1</v>
      </c>
      <c r="M105" s="128"/>
      <c r="N105" s="129" t="s">
        <v>3985</v>
      </c>
      <c r="O105" s="66" t="s">
        <v>3974</v>
      </c>
      <c r="P105" s="468">
        <v>500000</v>
      </c>
    </row>
    <row r="106" spans="1:16" ht="45">
      <c r="A106" s="121" t="s">
        <v>3961</v>
      </c>
      <c r="B106" s="119" t="s">
        <v>19</v>
      </c>
      <c r="C106" s="171" t="s">
        <v>3986</v>
      </c>
      <c r="D106" s="66" t="s">
        <v>3904</v>
      </c>
      <c r="E106" s="122">
        <v>1</v>
      </c>
      <c r="F106" s="66">
        <v>0.5</v>
      </c>
      <c r="G106" s="123"/>
      <c r="H106" s="66"/>
      <c r="I106" s="127">
        <v>0.1</v>
      </c>
      <c r="J106" s="66" t="s">
        <v>3987</v>
      </c>
      <c r="K106" s="470">
        <v>225000</v>
      </c>
      <c r="L106" s="66">
        <v>1</v>
      </c>
      <c r="M106" s="128"/>
      <c r="N106" s="129" t="s">
        <v>3988</v>
      </c>
      <c r="O106" s="66" t="s">
        <v>3974</v>
      </c>
      <c r="P106" s="468">
        <v>60000</v>
      </c>
    </row>
    <row r="107" spans="1:16" ht="45">
      <c r="A107" s="121" t="s">
        <v>3961</v>
      </c>
      <c r="B107" s="119" t="s">
        <v>3989</v>
      </c>
      <c r="C107" s="171" t="s">
        <v>3990</v>
      </c>
      <c r="D107" s="66" t="s">
        <v>3991</v>
      </c>
      <c r="E107" s="122">
        <v>2</v>
      </c>
      <c r="F107" s="66">
        <v>100</v>
      </c>
      <c r="G107" s="123"/>
      <c r="H107" s="66"/>
      <c r="I107" s="127">
        <v>0.6</v>
      </c>
      <c r="J107" s="66" t="s">
        <v>3992</v>
      </c>
      <c r="K107" s="470">
        <v>300000</v>
      </c>
      <c r="L107" s="66">
        <v>1</v>
      </c>
      <c r="M107" s="128"/>
      <c r="N107" s="129" t="s">
        <v>3993</v>
      </c>
      <c r="O107" s="66" t="s">
        <v>3974</v>
      </c>
      <c r="P107" s="468">
        <v>312000</v>
      </c>
    </row>
    <row r="108" spans="1:16" ht="229.5">
      <c r="A108" s="121" t="s">
        <v>3994</v>
      </c>
      <c r="B108" s="119" t="s">
        <v>3995</v>
      </c>
      <c r="C108" s="171" t="s">
        <v>2041</v>
      </c>
      <c r="D108" s="66" t="s">
        <v>3996</v>
      </c>
      <c r="E108" s="122">
        <v>5</v>
      </c>
      <c r="F108" s="66">
        <v>170</v>
      </c>
      <c r="G108" s="123" t="s">
        <v>3997</v>
      </c>
      <c r="H108" s="66"/>
      <c r="I108" s="127">
        <v>10.15</v>
      </c>
      <c r="J108" s="66" t="s">
        <v>3998</v>
      </c>
      <c r="K108" s="470">
        <v>51500000</v>
      </c>
      <c r="L108" s="66">
        <v>1</v>
      </c>
      <c r="M108" s="128"/>
      <c r="N108" s="126" t="s">
        <v>3999</v>
      </c>
      <c r="O108" s="21" t="s">
        <v>4000</v>
      </c>
      <c r="P108" s="468">
        <v>4000000</v>
      </c>
    </row>
    <row r="109" spans="1:16" ht="102">
      <c r="A109" s="121" t="s">
        <v>3994</v>
      </c>
      <c r="B109" s="119" t="s">
        <v>1191</v>
      </c>
      <c r="C109" s="171" t="s">
        <v>2041</v>
      </c>
      <c r="D109" s="66" t="s">
        <v>4001</v>
      </c>
      <c r="E109" s="122">
        <v>1</v>
      </c>
      <c r="F109" s="66">
        <v>10</v>
      </c>
      <c r="G109" s="123"/>
      <c r="H109" s="66" t="s">
        <v>4002</v>
      </c>
      <c r="I109" s="127">
        <v>0.25</v>
      </c>
      <c r="J109" s="66" t="s">
        <v>3998</v>
      </c>
      <c r="K109" s="470">
        <v>1000000</v>
      </c>
      <c r="L109" s="66">
        <v>1</v>
      </c>
      <c r="M109" s="128"/>
      <c r="N109" s="126" t="s">
        <v>4003</v>
      </c>
      <c r="O109" s="21" t="s">
        <v>4000</v>
      </c>
      <c r="P109" s="468">
        <v>2500000</v>
      </c>
    </row>
    <row r="110" spans="1:16" ht="127.5">
      <c r="A110" s="121" t="s">
        <v>3994</v>
      </c>
      <c r="B110" s="119" t="s">
        <v>4004</v>
      </c>
      <c r="C110" s="171" t="s">
        <v>4004</v>
      </c>
      <c r="D110" s="66" t="s">
        <v>4005</v>
      </c>
      <c r="E110" s="122">
        <v>2</v>
      </c>
      <c r="F110" s="66">
        <v>7.5</v>
      </c>
      <c r="G110" s="123"/>
      <c r="H110" s="66" t="s">
        <v>4006</v>
      </c>
      <c r="I110" s="127">
        <v>1.3</v>
      </c>
      <c r="J110" s="66" t="s">
        <v>4007</v>
      </c>
      <c r="K110" s="470">
        <v>8800000</v>
      </c>
      <c r="L110" s="66">
        <v>1</v>
      </c>
      <c r="M110" s="128"/>
      <c r="N110" s="126" t="s">
        <v>4008</v>
      </c>
      <c r="O110" s="21" t="s">
        <v>4000</v>
      </c>
      <c r="P110" s="468">
        <v>3000000</v>
      </c>
    </row>
    <row r="111" spans="1:16" ht="22.5">
      <c r="A111" s="121" t="s">
        <v>3994</v>
      </c>
      <c r="B111" s="119" t="s">
        <v>3994</v>
      </c>
      <c r="C111" s="171" t="s">
        <v>1658</v>
      </c>
      <c r="D111" s="66" t="s">
        <v>4009</v>
      </c>
      <c r="E111" s="122">
        <v>22</v>
      </c>
      <c r="F111" s="66">
        <v>400</v>
      </c>
      <c r="G111" s="123" t="s">
        <v>4010</v>
      </c>
      <c r="H111" s="66"/>
      <c r="I111" s="127">
        <v>30</v>
      </c>
      <c r="J111" s="66" t="s">
        <v>4011</v>
      </c>
      <c r="K111" s="470">
        <v>0</v>
      </c>
      <c r="L111" s="66">
        <v>1</v>
      </c>
      <c r="M111" s="128"/>
      <c r="N111" s="118" t="s">
        <v>4012</v>
      </c>
      <c r="O111" s="21" t="s">
        <v>4013</v>
      </c>
      <c r="P111" s="468">
        <v>7000000</v>
      </c>
    </row>
    <row r="112" spans="1:16" ht="140.25">
      <c r="A112" s="121" t="s">
        <v>3994</v>
      </c>
      <c r="B112" s="119" t="s">
        <v>4004</v>
      </c>
      <c r="C112" s="171" t="s">
        <v>4004</v>
      </c>
      <c r="D112" s="66" t="s">
        <v>4014</v>
      </c>
      <c r="E112" s="122">
        <v>16</v>
      </c>
      <c r="F112" s="66">
        <v>177</v>
      </c>
      <c r="G112" s="123" t="s">
        <v>4015</v>
      </c>
      <c r="H112" s="66"/>
      <c r="I112" s="127">
        <v>16</v>
      </c>
      <c r="J112" s="66" t="s">
        <v>4016</v>
      </c>
      <c r="K112" s="470">
        <v>80700000</v>
      </c>
      <c r="L112" s="66">
        <v>1</v>
      </c>
      <c r="M112" s="128"/>
      <c r="N112" s="126" t="s">
        <v>4017</v>
      </c>
      <c r="O112" s="21" t="s">
        <v>4000</v>
      </c>
      <c r="P112" s="468">
        <v>31658040</v>
      </c>
    </row>
    <row r="113" spans="1:16" ht="114.75">
      <c r="A113" s="121" t="s">
        <v>3994</v>
      </c>
      <c r="B113" s="119" t="s">
        <v>4004</v>
      </c>
      <c r="C113" s="171" t="s">
        <v>4004</v>
      </c>
      <c r="D113" s="66" t="s">
        <v>4018</v>
      </c>
      <c r="E113" s="122">
        <v>2</v>
      </c>
      <c r="F113" s="66">
        <v>150</v>
      </c>
      <c r="G113" s="123"/>
      <c r="H113" s="66"/>
      <c r="I113" s="127">
        <v>4</v>
      </c>
      <c r="J113" s="66" t="s">
        <v>3998</v>
      </c>
      <c r="K113" s="470">
        <v>8000000</v>
      </c>
      <c r="L113" s="66">
        <v>1</v>
      </c>
      <c r="M113" s="128"/>
      <c r="N113" s="126" t="s">
        <v>4019</v>
      </c>
      <c r="O113" s="21" t="s">
        <v>4000</v>
      </c>
      <c r="P113" s="468">
        <v>4000000</v>
      </c>
    </row>
    <row r="114" spans="1:16" ht="114.75">
      <c r="A114" s="121" t="s">
        <v>3994</v>
      </c>
      <c r="B114" s="119" t="s">
        <v>1191</v>
      </c>
      <c r="C114" s="171" t="s">
        <v>621</v>
      </c>
      <c r="D114" s="66" t="s">
        <v>4020</v>
      </c>
      <c r="E114" s="122">
        <v>1</v>
      </c>
      <c r="F114" s="66">
        <v>25</v>
      </c>
      <c r="G114" s="123"/>
      <c r="H114" s="66" t="s">
        <v>4021</v>
      </c>
      <c r="I114" s="127">
        <v>1.5</v>
      </c>
      <c r="J114" s="66" t="s">
        <v>4022</v>
      </c>
      <c r="K114" s="470">
        <v>2000000</v>
      </c>
      <c r="L114" s="66">
        <v>1</v>
      </c>
      <c r="M114" s="128"/>
      <c r="N114" s="126" t="s">
        <v>4023</v>
      </c>
      <c r="O114" s="21" t="s">
        <v>4000</v>
      </c>
      <c r="P114" s="468">
        <v>5800000</v>
      </c>
    </row>
    <row r="115" spans="1:16" ht="22.5">
      <c r="A115" s="121" t="s">
        <v>84</v>
      </c>
      <c r="B115" s="119" t="s">
        <v>4024</v>
      </c>
      <c r="C115" s="171" t="s">
        <v>938</v>
      </c>
      <c r="D115" s="66" t="s">
        <v>3778</v>
      </c>
      <c r="E115" s="66">
        <v>7.6</v>
      </c>
      <c r="F115" s="66">
        <v>10</v>
      </c>
      <c r="G115" s="123"/>
      <c r="H115" s="66">
        <f>+I115+I117</f>
        <v>0.9</v>
      </c>
      <c r="I115" s="66">
        <v>0.4</v>
      </c>
      <c r="J115" s="66" t="s">
        <v>387</v>
      </c>
      <c r="K115" s="470">
        <v>200000</v>
      </c>
      <c r="L115" s="66">
        <v>1</v>
      </c>
      <c r="M115" s="128"/>
      <c r="N115" s="118" t="s">
        <v>4025</v>
      </c>
      <c r="O115" s="66">
        <v>1</v>
      </c>
      <c r="P115" s="468">
        <v>3560000</v>
      </c>
    </row>
    <row r="116" spans="1:16" ht="22.5">
      <c r="A116" s="121" t="s">
        <v>84</v>
      </c>
      <c r="B116" s="119" t="s">
        <v>4026</v>
      </c>
      <c r="C116" s="171" t="s">
        <v>4027</v>
      </c>
      <c r="D116" s="66" t="s">
        <v>4028</v>
      </c>
      <c r="E116" s="66">
        <v>10</v>
      </c>
      <c r="F116" s="66"/>
      <c r="G116" s="123"/>
      <c r="H116" s="66"/>
      <c r="I116" s="66"/>
      <c r="J116" s="66" t="s">
        <v>4029</v>
      </c>
      <c r="K116" s="470">
        <v>3000000</v>
      </c>
      <c r="L116" s="66">
        <v>1</v>
      </c>
      <c r="M116" s="128"/>
      <c r="N116" s="118" t="s">
        <v>4030</v>
      </c>
      <c r="O116" s="66" t="s">
        <v>4031</v>
      </c>
      <c r="P116" s="468">
        <v>7000000</v>
      </c>
    </row>
    <row r="117" spans="1:16" ht="22.5">
      <c r="A117" s="121" t="s">
        <v>84</v>
      </c>
      <c r="B117" s="119" t="s">
        <v>4032</v>
      </c>
      <c r="C117" s="171" t="s">
        <v>1137</v>
      </c>
      <c r="D117" s="66" t="s">
        <v>3778</v>
      </c>
      <c r="E117" s="66">
        <v>1.5</v>
      </c>
      <c r="F117" s="66">
        <v>2.5</v>
      </c>
      <c r="G117" s="123"/>
      <c r="H117" s="66"/>
      <c r="I117" s="66">
        <v>0.5</v>
      </c>
      <c r="J117" s="66" t="s">
        <v>4033</v>
      </c>
      <c r="K117" s="470">
        <v>50000</v>
      </c>
      <c r="L117" s="66">
        <v>1</v>
      </c>
      <c r="M117" s="128"/>
      <c r="N117" s="118" t="s">
        <v>4025</v>
      </c>
      <c r="O117" s="66">
        <v>1</v>
      </c>
      <c r="P117" s="468">
        <v>5000000</v>
      </c>
    </row>
    <row r="118" spans="1:16" ht="22.5">
      <c r="A118" s="121" t="s">
        <v>4034</v>
      </c>
      <c r="B118" s="119" t="s">
        <v>938</v>
      </c>
      <c r="C118" s="171" t="s">
        <v>938</v>
      </c>
      <c r="D118" s="66" t="s">
        <v>4035</v>
      </c>
      <c r="E118" s="66">
        <v>1</v>
      </c>
      <c r="F118" s="66">
        <v>2.54</v>
      </c>
      <c r="G118" s="123"/>
      <c r="H118" s="66"/>
      <c r="I118" s="66">
        <v>0.10390000000000001</v>
      </c>
      <c r="J118" s="66" t="s">
        <v>4036</v>
      </c>
      <c r="K118" s="470">
        <v>300000</v>
      </c>
      <c r="L118" s="66">
        <v>1</v>
      </c>
      <c r="M118" s="128"/>
      <c r="N118" s="118" t="s">
        <v>4037</v>
      </c>
      <c r="O118" s="66">
        <v>1</v>
      </c>
      <c r="P118" s="468">
        <v>2299060</v>
      </c>
    </row>
    <row r="119" spans="1:16">
      <c r="A119" s="121" t="s">
        <v>107</v>
      </c>
      <c r="B119" s="119" t="s">
        <v>4038</v>
      </c>
      <c r="C119" s="171" t="s">
        <v>4038</v>
      </c>
      <c r="D119" s="66" t="s">
        <v>4039</v>
      </c>
      <c r="E119" s="66">
        <v>2</v>
      </c>
      <c r="F119" s="66"/>
      <c r="G119" s="123">
        <v>500</v>
      </c>
      <c r="H119" s="66"/>
      <c r="I119" s="66">
        <v>700</v>
      </c>
      <c r="J119" s="66" t="s">
        <v>4036</v>
      </c>
      <c r="K119" s="470">
        <v>1005000</v>
      </c>
      <c r="L119" s="66">
        <v>1</v>
      </c>
      <c r="M119" s="128"/>
      <c r="N119" s="118" t="s">
        <v>4040</v>
      </c>
      <c r="O119" s="66">
        <v>1</v>
      </c>
      <c r="P119" s="468">
        <v>400000</v>
      </c>
    </row>
    <row r="120" spans="1:16">
      <c r="A120" s="121" t="s">
        <v>4041</v>
      </c>
      <c r="B120" s="119" t="s">
        <v>4042</v>
      </c>
      <c r="C120" s="171" t="s">
        <v>4043</v>
      </c>
      <c r="D120" s="66" t="s">
        <v>4044</v>
      </c>
      <c r="E120" s="66">
        <v>12</v>
      </c>
      <c r="F120" s="66"/>
      <c r="G120" s="123"/>
      <c r="H120" s="66"/>
      <c r="I120" s="66">
        <v>2</v>
      </c>
      <c r="J120" s="66" t="s">
        <v>4045</v>
      </c>
      <c r="K120" s="470">
        <v>28000000</v>
      </c>
      <c r="L120" s="66">
        <v>1</v>
      </c>
      <c r="M120" s="128"/>
      <c r="N120" s="118" t="s">
        <v>4046</v>
      </c>
      <c r="O120" s="66">
        <v>1</v>
      </c>
      <c r="P120" s="468">
        <v>10000000</v>
      </c>
    </row>
    <row r="121" spans="1:16" ht="78.75">
      <c r="A121" s="121" t="s">
        <v>1764</v>
      </c>
      <c r="B121" s="119" t="s">
        <v>4047</v>
      </c>
      <c r="C121" s="171" t="s">
        <v>4048</v>
      </c>
      <c r="D121" s="66" t="s">
        <v>4049</v>
      </c>
      <c r="E121" s="66">
        <v>2</v>
      </c>
      <c r="F121" s="66" t="s">
        <v>4050</v>
      </c>
      <c r="G121" s="123" t="s">
        <v>4051</v>
      </c>
      <c r="H121" s="66"/>
      <c r="I121" s="66" t="s">
        <v>4052</v>
      </c>
      <c r="J121" s="66" t="s">
        <v>4053</v>
      </c>
      <c r="K121" s="470">
        <v>24355240</v>
      </c>
      <c r="L121" s="66">
        <v>1</v>
      </c>
      <c r="M121" s="128"/>
      <c r="N121" s="118" t="s">
        <v>4054</v>
      </c>
      <c r="O121" s="66" t="s">
        <v>4055</v>
      </c>
      <c r="P121" s="468">
        <v>24000000</v>
      </c>
    </row>
    <row r="122" spans="1:16" ht="67.5">
      <c r="A122" s="121" t="s">
        <v>1764</v>
      </c>
      <c r="B122" s="119" t="s">
        <v>4056</v>
      </c>
      <c r="C122" s="171" t="s">
        <v>4057</v>
      </c>
      <c r="D122" s="66" t="s">
        <v>4058</v>
      </c>
      <c r="E122" s="66">
        <v>2</v>
      </c>
      <c r="F122" s="66" t="s">
        <v>4059</v>
      </c>
      <c r="G122" s="123" t="s">
        <v>4060</v>
      </c>
      <c r="H122" s="66"/>
      <c r="I122" s="66" t="s">
        <v>4061</v>
      </c>
      <c r="J122" s="66" t="s">
        <v>4053</v>
      </c>
      <c r="K122" s="470">
        <v>29500000</v>
      </c>
      <c r="L122" s="66">
        <v>1</v>
      </c>
      <c r="M122" s="128"/>
      <c r="N122" s="118" t="s">
        <v>4062</v>
      </c>
      <c r="O122" s="66" t="s">
        <v>4055</v>
      </c>
      <c r="P122" s="468">
        <v>18680000</v>
      </c>
    </row>
    <row r="123" spans="1:16" ht="135">
      <c r="A123" s="121" t="s">
        <v>1764</v>
      </c>
      <c r="B123" s="119" t="s">
        <v>1658</v>
      </c>
      <c r="C123" s="171" t="s">
        <v>4063</v>
      </c>
      <c r="D123" s="66" t="s">
        <v>4064</v>
      </c>
      <c r="E123" s="66">
        <v>2</v>
      </c>
      <c r="F123" s="66" t="s">
        <v>4065</v>
      </c>
      <c r="G123" s="123" t="s">
        <v>4066</v>
      </c>
      <c r="H123" s="66"/>
      <c r="I123" s="66" t="s">
        <v>4067</v>
      </c>
      <c r="J123" s="66" t="s">
        <v>4068</v>
      </c>
      <c r="K123" s="470">
        <v>4500000</v>
      </c>
      <c r="L123" s="66">
        <v>1</v>
      </c>
      <c r="M123" s="128"/>
      <c r="N123" s="118" t="s">
        <v>4069</v>
      </c>
      <c r="O123" s="66" t="s">
        <v>4055</v>
      </c>
      <c r="P123" s="468">
        <v>4438000</v>
      </c>
    </row>
    <row r="124" spans="1:16" ht="56.25">
      <c r="A124" s="121" t="s">
        <v>4070</v>
      </c>
      <c r="B124" s="116" t="s">
        <v>4071</v>
      </c>
      <c r="C124" s="171" t="s">
        <v>4072</v>
      </c>
      <c r="D124" s="66" t="s">
        <v>4073</v>
      </c>
      <c r="E124" s="131">
        <v>26</v>
      </c>
      <c r="F124" s="132">
        <v>10.231091337942717</v>
      </c>
      <c r="G124" s="133"/>
      <c r="H124" s="119"/>
      <c r="I124" s="134">
        <v>1.2790000000000001</v>
      </c>
      <c r="J124" s="66" t="s">
        <v>4074</v>
      </c>
      <c r="K124" s="487">
        <v>4360200.9359297901</v>
      </c>
      <c r="L124" s="136">
        <v>1</v>
      </c>
      <c r="M124" s="135" t="s">
        <v>4075</v>
      </c>
      <c r="N124" s="118" t="s">
        <v>4076</v>
      </c>
      <c r="O124" s="136" t="s">
        <v>3974</v>
      </c>
      <c r="P124" s="481">
        <f>K124</f>
        <v>4360200.9359297901</v>
      </c>
    </row>
    <row r="125" spans="1:16" ht="56.25">
      <c r="A125" s="121" t="s">
        <v>4070</v>
      </c>
      <c r="B125" s="116" t="s">
        <v>3126</v>
      </c>
      <c r="C125" s="171" t="s">
        <v>4077</v>
      </c>
      <c r="D125" s="66" t="s">
        <v>4073</v>
      </c>
      <c r="E125" s="131">
        <v>8</v>
      </c>
      <c r="F125" s="132">
        <v>7.3193499407486993</v>
      </c>
      <c r="G125" s="133"/>
      <c r="H125" s="119"/>
      <c r="I125" s="134">
        <v>0.91500000000000004</v>
      </c>
      <c r="J125" s="66" t="s">
        <v>4074</v>
      </c>
      <c r="K125" s="487">
        <v>3119299.3404032486</v>
      </c>
      <c r="L125" s="136">
        <v>1</v>
      </c>
      <c r="M125" s="135" t="s">
        <v>4075</v>
      </c>
      <c r="N125" s="118" t="s">
        <v>4076</v>
      </c>
      <c r="O125" s="136" t="s">
        <v>3974</v>
      </c>
      <c r="P125" s="481">
        <f>K125</f>
        <v>3119299.3404032486</v>
      </c>
    </row>
    <row r="126" spans="1:16" ht="56.25">
      <c r="A126" s="121" t="s">
        <v>4070</v>
      </c>
      <c r="B126" s="119" t="s">
        <v>3115</v>
      </c>
      <c r="C126" s="171" t="s">
        <v>4078</v>
      </c>
      <c r="D126" s="66" t="s">
        <v>4073</v>
      </c>
      <c r="E126" s="131">
        <v>6</v>
      </c>
      <c r="F126" s="132">
        <v>3.8716561435217156</v>
      </c>
      <c r="G126" s="133"/>
      <c r="H126" s="137"/>
      <c r="I126" s="134">
        <v>0.48399999999999999</v>
      </c>
      <c r="J126" s="66" t="s">
        <v>4074</v>
      </c>
      <c r="K126" s="487">
        <v>1649990.0336122103</v>
      </c>
      <c r="L126" s="136">
        <v>1</v>
      </c>
      <c r="M126" s="135" t="s">
        <v>4075</v>
      </c>
      <c r="N126" s="118" t="s">
        <v>4076</v>
      </c>
      <c r="O126" s="136" t="s">
        <v>3974</v>
      </c>
      <c r="P126" s="481">
        <f>K126</f>
        <v>1649990.0336122103</v>
      </c>
    </row>
    <row r="127" spans="1:16" ht="56.25">
      <c r="A127" s="121" t="s">
        <v>4070</v>
      </c>
      <c r="B127" s="119" t="s">
        <v>3115</v>
      </c>
      <c r="C127" s="171" t="s">
        <v>4079</v>
      </c>
      <c r="D127" s="66" t="s">
        <v>4080</v>
      </c>
      <c r="E127" s="131">
        <v>2</v>
      </c>
      <c r="F127" s="116" t="s">
        <v>4081</v>
      </c>
      <c r="G127" s="133"/>
      <c r="H127" s="119"/>
      <c r="I127" s="134">
        <v>0.14000000000000001</v>
      </c>
      <c r="J127" s="66" t="s">
        <v>4082</v>
      </c>
      <c r="K127" s="487">
        <v>1059700</v>
      </c>
      <c r="L127" s="136">
        <v>1</v>
      </c>
      <c r="M127" s="135" t="s">
        <v>4075</v>
      </c>
      <c r="N127" s="118" t="s">
        <v>4083</v>
      </c>
      <c r="O127" s="136" t="s">
        <v>3974</v>
      </c>
      <c r="P127" s="481">
        <f>K127</f>
        <v>1059700</v>
      </c>
    </row>
    <row r="128" spans="1:16" ht="56.25">
      <c r="A128" s="121" t="s">
        <v>4084</v>
      </c>
      <c r="B128" s="119" t="s">
        <v>4085</v>
      </c>
      <c r="C128" s="171" t="s">
        <v>4086</v>
      </c>
      <c r="D128" s="66" t="s">
        <v>4073</v>
      </c>
      <c r="E128" s="131">
        <v>10</v>
      </c>
      <c r="F128" s="132">
        <v>36.414003364574128</v>
      </c>
      <c r="G128" s="133"/>
      <c r="H128" s="119"/>
      <c r="I128" s="134">
        <v>1.157</v>
      </c>
      <c r="J128" s="66" t="s">
        <v>4074</v>
      </c>
      <c r="K128" s="487">
        <v>3944294.3572093542</v>
      </c>
      <c r="L128" s="136">
        <v>1</v>
      </c>
      <c r="M128" s="135" t="s">
        <v>4075</v>
      </c>
      <c r="N128" s="118" t="s">
        <v>4076</v>
      </c>
      <c r="O128" s="136" t="s">
        <v>3974</v>
      </c>
      <c r="P128" s="481">
        <f>K128</f>
        <v>3944294.3572093542</v>
      </c>
    </row>
    <row r="129" spans="1:16" ht="45">
      <c r="A129" s="121" t="s">
        <v>4087</v>
      </c>
      <c r="B129" s="119" t="s">
        <v>2037</v>
      </c>
      <c r="C129" s="171" t="s">
        <v>4088</v>
      </c>
      <c r="D129" s="66" t="s">
        <v>4089</v>
      </c>
      <c r="E129" s="131">
        <v>16</v>
      </c>
      <c r="F129" s="116">
        <v>10.3</v>
      </c>
      <c r="G129" s="138">
        <v>10200</v>
      </c>
      <c r="H129" s="139"/>
      <c r="I129" s="134">
        <v>1.022</v>
      </c>
      <c r="J129" s="66" t="s">
        <v>4090</v>
      </c>
      <c r="K129" s="487">
        <v>19130000</v>
      </c>
      <c r="L129" s="184">
        <v>1</v>
      </c>
      <c r="M129" s="75" t="s">
        <v>4075</v>
      </c>
      <c r="N129" s="118" t="s">
        <v>4091</v>
      </c>
      <c r="O129" s="75" t="s">
        <v>4092</v>
      </c>
      <c r="P129" s="481">
        <f>+K129</f>
        <v>19130000</v>
      </c>
    </row>
    <row r="130" spans="1:16" ht="45">
      <c r="A130" s="121" t="s">
        <v>4087</v>
      </c>
      <c r="B130" s="754" t="s">
        <v>1262</v>
      </c>
      <c r="C130" s="753" t="s">
        <v>4093</v>
      </c>
      <c r="D130" s="66" t="s">
        <v>4089</v>
      </c>
      <c r="E130" s="131">
        <v>4</v>
      </c>
      <c r="F130" s="116">
        <v>5.2880000000000003</v>
      </c>
      <c r="G130" s="138">
        <v>5000</v>
      </c>
      <c r="H130" s="139"/>
      <c r="I130" s="134">
        <v>0.5</v>
      </c>
      <c r="J130" s="66" t="s">
        <v>4090</v>
      </c>
      <c r="K130" s="487">
        <v>1870000</v>
      </c>
      <c r="L130" s="184">
        <v>1</v>
      </c>
      <c r="M130" s="75" t="s">
        <v>4075</v>
      </c>
      <c r="N130" s="118" t="s">
        <v>4091</v>
      </c>
      <c r="O130" s="75" t="s">
        <v>4092</v>
      </c>
      <c r="P130" s="481">
        <f>+K130</f>
        <v>1870000</v>
      </c>
    </row>
    <row r="131" spans="1:16" ht="45">
      <c r="A131" s="121" t="s">
        <v>4087</v>
      </c>
      <c r="B131" s="754" t="s">
        <v>4087</v>
      </c>
      <c r="C131" s="753" t="s">
        <v>4094</v>
      </c>
      <c r="D131" s="66" t="s">
        <v>4095</v>
      </c>
      <c r="E131" s="131">
        <v>5</v>
      </c>
      <c r="F131" s="116">
        <v>0.4</v>
      </c>
      <c r="G131" s="138">
        <v>900</v>
      </c>
      <c r="H131" s="139"/>
      <c r="I131" s="134">
        <v>9.3200000000000005E-2</v>
      </c>
      <c r="J131" s="66" t="s">
        <v>4090</v>
      </c>
      <c r="K131" s="487">
        <v>2455000</v>
      </c>
      <c r="L131" s="184">
        <v>1</v>
      </c>
      <c r="M131" s="75" t="s">
        <v>4075</v>
      </c>
      <c r="N131" s="118" t="s">
        <v>4091</v>
      </c>
      <c r="O131" s="75" t="s">
        <v>4092</v>
      </c>
      <c r="P131" s="481">
        <f>+K131</f>
        <v>2455000</v>
      </c>
    </row>
    <row r="132" spans="1:16" ht="45">
      <c r="A132" s="121" t="s">
        <v>4087</v>
      </c>
      <c r="B132" s="754" t="s">
        <v>1668</v>
      </c>
      <c r="C132" s="753" t="s">
        <v>4096</v>
      </c>
      <c r="D132" s="66" t="s">
        <v>4097</v>
      </c>
      <c r="E132" s="131">
        <v>1</v>
      </c>
      <c r="F132" s="116">
        <v>0.15</v>
      </c>
      <c r="G132" s="138">
        <f>+I132</f>
        <v>1.1999999999999999E-3</v>
      </c>
      <c r="H132" s="139"/>
      <c r="I132" s="134">
        <v>1.1999999999999999E-3</v>
      </c>
      <c r="J132" s="66" t="s">
        <v>4090</v>
      </c>
      <c r="K132" s="487">
        <v>605000</v>
      </c>
      <c r="L132" s="184">
        <v>1</v>
      </c>
      <c r="M132" s="75" t="s">
        <v>4075</v>
      </c>
      <c r="N132" s="118" t="s">
        <v>4091</v>
      </c>
      <c r="O132" s="75" t="s">
        <v>4092</v>
      </c>
      <c r="P132" s="481">
        <f>+K132</f>
        <v>605000</v>
      </c>
    </row>
    <row r="133" spans="1:16" ht="56.25">
      <c r="A133" s="115" t="s">
        <v>4098</v>
      </c>
      <c r="B133" s="119" t="s">
        <v>57</v>
      </c>
      <c r="C133" s="171" t="s">
        <v>4099</v>
      </c>
      <c r="D133" s="66" t="s">
        <v>3778</v>
      </c>
      <c r="E133" s="116">
        <v>11</v>
      </c>
      <c r="F133" s="140">
        <v>25.812420054958459</v>
      </c>
      <c r="G133" s="117">
        <v>0</v>
      </c>
      <c r="H133" s="139"/>
      <c r="I133" s="140">
        <v>2.7749999999999999</v>
      </c>
      <c r="J133" s="66" t="s">
        <v>2004</v>
      </c>
      <c r="K133" s="487">
        <v>11000521.289928578</v>
      </c>
      <c r="L133" s="116">
        <v>1</v>
      </c>
      <c r="M133" s="117" t="s">
        <v>4075</v>
      </c>
      <c r="N133" s="118" t="s">
        <v>4100</v>
      </c>
      <c r="O133" s="66" t="s">
        <v>3974</v>
      </c>
      <c r="P133" s="481">
        <v>12100573.418921435</v>
      </c>
    </row>
    <row r="134" spans="1:16" ht="56.25">
      <c r="A134" s="115" t="s">
        <v>4098</v>
      </c>
      <c r="B134" s="119" t="s">
        <v>57</v>
      </c>
      <c r="C134" s="171" t="s">
        <v>4099</v>
      </c>
      <c r="D134" s="66" t="s">
        <v>3818</v>
      </c>
      <c r="E134" s="116">
        <v>1</v>
      </c>
      <c r="F134" s="140">
        <v>0</v>
      </c>
      <c r="G134" s="117">
        <v>0</v>
      </c>
      <c r="H134" s="139"/>
      <c r="I134" s="140">
        <v>0.75</v>
      </c>
      <c r="J134" s="66" t="s">
        <v>2004</v>
      </c>
      <c r="K134" s="487">
        <v>250000</v>
      </c>
      <c r="L134" s="116">
        <v>1</v>
      </c>
      <c r="M134" s="117" t="s">
        <v>4075</v>
      </c>
      <c r="N134" s="118" t="s">
        <v>4100</v>
      </c>
      <c r="O134" s="66" t="s">
        <v>3974</v>
      </c>
      <c r="P134" s="481">
        <v>275000</v>
      </c>
    </row>
    <row r="135" spans="1:16" ht="56.25">
      <c r="A135" s="115" t="s">
        <v>4098</v>
      </c>
      <c r="B135" s="119" t="s">
        <v>57</v>
      </c>
      <c r="C135" s="171" t="s">
        <v>1844</v>
      </c>
      <c r="D135" s="66" t="s">
        <v>3778</v>
      </c>
      <c r="E135" s="116">
        <v>3</v>
      </c>
      <c r="F135" s="140">
        <v>4.3253244416416887</v>
      </c>
      <c r="G135" s="117">
        <v>0</v>
      </c>
      <c r="H135" s="139"/>
      <c r="I135" s="140">
        <v>0.46499999999999997</v>
      </c>
      <c r="J135" s="66" t="s">
        <v>2004</v>
      </c>
      <c r="K135" s="487">
        <v>1843330.5945285722</v>
      </c>
      <c r="L135" s="116">
        <v>1</v>
      </c>
      <c r="M135" s="117" t="s">
        <v>4075</v>
      </c>
      <c r="N135" s="118" t="s">
        <v>4100</v>
      </c>
      <c r="O135" s="66" t="s">
        <v>3974</v>
      </c>
      <c r="P135" s="481">
        <v>2027663.6539814295</v>
      </c>
    </row>
    <row r="136" spans="1:16" ht="56.25">
      <c r="A136" s="115" t="s">
        <v>4098</v>
      </c>
      <c r="B136" s="119" t="s">
        <v>57</v>
      </c>
      <c r="C136" s="171" t="s">
        <v>4101</v>
      </c>
      <c r="D136" s="66" t="s">
        <v>3778</v>
      </c>
      <c r="E136" s="116">
        <v>1</v>
      </c>
      <c r="F136" s="140">
        <v>2.3254432481944565</v>
      </c>
      <c r="G136" s="117">
        <v>0</v>
      </c>
      <c r="H136" s="139"/>
      <c r="I136" s="140">
        <v>0.25</v>
      </c>
      <c r="J136" s="66" t="s">
        <v>2004</v>
      </c>
      <c r="K136" s="487">
        <v>991037.9540476196</v>
      </c>
      <c r="L136" s="116">
        <v>1</v>
      </c>
      <c r="M136" s="117" t="s">
        <v>4075</v>
      </c>
      <c r="N136" s="118" t="s">
        <v>4100</v>
      </c>
      <c r="O136" s="66" t="s">
        <v>3974</v>
      </c>
      <c r="P136" s="481">
        <v>1090141.7494523816</v>
      </c>
    </row>
    <row r="137" spans="1:16" ht="56.25">
      <c r="A137" s="115" t="s">
        <v>4098</v>
      </c>
      <c r="B137" s="119" t="s">
        <v>57</v>
      </c>
      <c r="C137" s="171" t="s">
        <v>4102</v>
      </c>
      <c r="D137" s="66" t="s">
        <v>3778</v>
      </c>
      <c r="E137" s="116">
        <v>2</v>
      </c>
      <c r="F137" s="140">
        <v>2.0928989233750102</v>
      </c>
      <c r="G137" s="117">
        <v>0</v>
      </c>
      <c r="H137" s="139"/>
      <c r="I137" s="140">
        <v>0.22499999999999998</v>
      </c>
      <c r="J137" s="66" t="s">
        <v>2004</v>
      </c>
      <c r="K137" s="487">
        <v>891934.15864285768</v>
      </c>
      <c r="L137" s="116">
        <v>1</v>
      </c>
      <c r="M137" s="117" t="s">
        <v>4075</v>
      </c>
      <c r="N137" s="118" t="s">
        <v>4100</v>
      </c>
      <c r="O137" s="66" t="s">
        <v>3974</v>
      </c>
      <c r="P137" s="481">
        <v>981127.57450714346</v>
      </c>
    </row>
    <row r="138" spans="1:16" ht="56.25">
      <c r="A138" s="115" t="s">
        <v>4098</v>
      </c>
      <c r="B138" s="119" t="s">
        <v>57</v>
      </c>
      <c r="C138" s="171" t="s">
        <v>4103</v>
      </c>
      <c r="D138" s="66" t="s">
        <v>3778</v>
      </c>
      <c r="E138" s="116">
        <v>3</v>
      </c>
      <c r="F138" s="140">
        <v>2.7905318978333482</v>
      </c>
      <c r="G138" s="117">
        <v>0</v>
      </c>
      <c r="H138" s="139"/>
      <c r="I138" s="140">
        <v>0.30000000000000004</v>
      </c>
      <c r="J138" s="66" t="s">
        <v>2004</v>
      </c>
      <c r="K138" s="487">
        <v>1189245.5448571434</v>
      </c>
      <c r="L138" s="116">
        <v>1</v>
      </c>
      <c r="M138" s="117" t="s">
        <v>4075</v>
      </c>
      <c r="N138" s="118" t="s">
        <v>4100</v>
      </c>
      <c r="O138" s="66" t="s">
        <v>3974</v>
      </c>
      <c r="P138" s="481">
        <v>1308170.0993428577</v>
      </c>
    </row>
    <row r="139" spans="1:16" ht="56.25">
      <c r="A139" s="115" t="s">
        <v>4098</v>
      </c>
      <c r="B139" s="119" t="s">
        <v>57</v>
      </c>
      <c r="C139" s="171" t="s">
        <v>2053</v>
      </c>
      <c r="D139" s="66" t="s">
        <v>3778</v>
      </c>
      <c r="E139" s="116">
        <v>10</v>
      </c>
      <c r="F139" s="140">
        <v>11.645819786957839</v>
      </c>
      <c r="G139" s="117">
        <v>70</v>
      </c>
      <c r="H139" s="139"/>
      <c r="I139" s="140">
        <v>1.252</v>
      </c>
      <c r="J139" s="66" t="s">
        <v>2004</v>
      </c>
      <c r="K139" s="487">
        <v>4963118.0738704801</v>
      </c>
      <c r="L139" s="116">
        <v>1</v>
      </c>
      <c r="M139" s="117" t="s">
        <v>4075</v>
      </c>
      <c r="N139" s="118" t="s">
        <v>4100</v>
      </c>
      <c r="O139" s="66" t="s">
        <v>3974</v>
      </c>
      <c r="P139" s="481">
        <v>5459429.8812575284</v>
      </c>
    </row>
    <row r="140" spans="1:16" ht="56.25">
      <c r="A140" s="115" t="s">
        <v>4098</v>
      </c>
      <c r="B140" s="119" t="s">
        <v>57</v>
      </c>
      <c r="C140" s="171" t="s">
        <v>1837</v>
      </c>
      <c r="D140" s="66" t="s">
        <v>3778</v>
      </c>
      <c r="E140" s="116">
        <v>2</v>
      </c>
      <c r="F140" s="140">
        <v>6.2786967701250322</v>
      </c>
      <c r="G140" s="117">
        <v>0</v>
      </c>
      <c r="H140" s="139"/>
      <c r="I140" s="140">
        <v>0.67500000000000004</v>
      </c>
      <c r="J140" s="66" t="s">
        <v>2004</v>
      </c>
      <c r="K140" s="487">
        <v>2675802.4759285729</v>
      </c>
      <c r="L140" s="116">
        <v>1</v>
      </c>
      <c r="M140" s="117" t="s">
        <v>4075</v>
      </c>
      <c r="N140" s="118" t="s">
        <v>4100</v>
      </c>
      <c r="O140" s="66" t="s">
        <v>3974</v>
      </c>
      <c r="P140" s="481">
        <v>2943382.72352143</v>
      </c>
    </row>
    <row r="141" spans="1:16" ht="56.25">
      <c r="A141" s="115" t="s">
        <v>4098</v>
      </c>
      <c r="B141" s="119" t="s">
        <v>57</v>
      </c>
      <c r="C141" s="171" t="s">
        <v>4104</v>
      </c>
      <c r="D141" s="66" t="s">
        <v>3778</v>
      </c>
      <c r="E141" s="116">
        <v>1</v>
      </c>
      <c r="F141" s="140">
        <v>3.2556205474722386</v>
      </c>
      <c r="G141" s="117">
        <v>0</v>
      </c>
      <c r="H141" s="139"/>
      <c r="I141" s="140">
        <v>0.35</v>
      </c>
      <c r="J141" s="66" t="s">
        <v>2004</v>
      </c>
      <c r="K141" s="487">
        <v>1387453.1356666675</v>
      </c>
      <c r="L141" s="116">
        <v>1</v>
      </c>
      <c r="M141" s="117" t="s">
        <v>4075</v>
      </c>
      <c r="N141" s="118" t="s">
        <v>4100</v>
      </c>
      <c r="O141" s="66" t="s">
        <v>3974</v>
      </c>
      <c r="P141" s="481">
        <v>1526198.4492333343</v>
      </c>
    </row>
    <row r="142" spans="1:16" ht="56.25">
      <c r="A142" s="115" t="s">
        <v>4098</v>
      </c>
      <c r="B142" s="119" t="s">
        <v>57</v>
      </c>
      <c r="C142" s="171" t="s">
        <v>1858</v>
      </c>
      <c r="D142" s="66" t="s">
        <v>3778</v>
      </c>
      <c r="E142" s="116">
        <v>5</v>
      </c>
      <c r="F142" s="140">
        <v>3.2091116825083494</v>
      </c>
      <c r="G142" s="117">
        <v>0</v>
      </c>
      <c r="H142" s="139"/>
      <c r="I142" s="140">
        <v>0.34499999999999997</v>
      </c>
      <c r="J142" s="66" t="s">
        <v>2004</v>
      </c>
      <c r="K142" s="487">
        <v>1367632.376585715</v>
      </c>
      <c r="L142" s="116">
        <v>1</v>
      </c>
      <c r="M142" s="117" t="s">
        <v>4075</v>
      </c>
      <c r="N142" s="118" t="s">
        <v>4100</v>
      </c>
      <c r="O142" s="66" t="s">
        <v>3974</v>
      </c>
      <c r="P142" s="481">
        <v>1504395.6142442864</v>
      </c>
    </row>
    <row r="143" spans="1:16" ht="56.25">
      <c r="A143" s="115" t="s">
        <v>4098</v>
      </c>
      <c r="B143" s="119" t="s">
        <v>57</v>
      </c>
      <c r="C143" s="171" t="s">
        <v>1064</v>
      </c>
      <c r="D143" s="66" t="s">
        <v>3778</v>
      </c>
      <c r="E143" s="116">
        <v>1</v>
      </c>
      <c r="F143" s="140">
        <v>1.6278102737361193</v>
      </c>
      <c r="G143" s="117">
        <v>0</v>
      </c>
      <c r="H143" s="139"/>
      <c r="I143" s="140">
        <v>0.17499999999999999</v>
      </c>
      <c r="J143" s="66" t="s">
        <v>2004</v>
      </c>
      <c r="K143" s="487">
        <v>693726.56783333374</v>
      </c>
      <c r="L143" s="116">
        <v>1</v>
      </c>
      <c r="M143" s="117" t="s">
        <v>4075</v>
      </c>
      <c r="N143" s="118" t="s">
        <v>4100</v>
      </c>
      <c r="O143" s="66" t="s">
        <v>3974</v>
      </c>
      <c r="P143" s="481">
        <v>763099.22461666714</v>
      </c>
    </row>
    <row r="144" spans="1:16" ht="56.25">
      <c r="A144" s="115" t="s">
        <v>4098</v>
      </c>
      <c r="B144" s="119" t="s">
        <v>57</v>
      </c>
      <c r="C144" s="171" t="s">
        <v>1846</v>
      </c>
      <c r="D144" s="66" t="s">
        <v>3778</v>
      </c>
      <c r="E144" s="116">
        <v>31</v>
      </c>
      <c r="F144" s="140">
        <v>61.828885082994198</v>
      </c>
      <c r="G144" s="117">
        <v>0</v>
      </c>
      <c r="H144" s="139"/>
      <c r="I144" s="140">
        <v>6.6469999999999994</v>
      </c>
      <c r="J144" s="66" t="s">
        <v>2004</v>
      </c>
      <c r="K144" s="487">
        <v>26349717.122218117</v>
      </c>
      <c r="L144" s="116">
        <v>1</v>
      </c>
      <c r="M144" s="117" t="s">
        <v>4075</v>
      </c>
      <c r="N144" s="118" t="s">
        <v>4100</v>
      </c>
      <c r="O144" s="66" t="s">
        <v>3974</v>
      </c>
      <c r="P144" s="481">
        <v>28984688.83443993</v>
      </c>
    </row>
    <row r="145" spans="1:16" ht="56.25">
      <c r="A145" s="115" t="s">
        <v>4098</v>
      </c>
      <c r="B145" s="119" t="s">
        <v>57</v>
      </c>
      <c r="C145" s="171" t="s">
        <v>1846</v>
      </c>
      <c r="D145" s="66" t="s">
        <v>3818</v>
      </c>
      <c r="E145" s="116">
        <v>1</v>
      </c>
      <c r="F145" s="140">
        <v>0</v>
      </c>
      <c r="G145" s="117">
        <v>0</v>
      </c>
      <c r="H145" s="139"/>
      <c r="I145" s="140">
        <v>0.5</v>
      </c>
      <c r="J145" s="66" t="s">
        <v>2004</v>
      </c>
      <c r="K145" s="487">
        <v>500000</v>
      </c>
      <c r="L145" s="116">
        <v>1</v>
      </c>
      <c r="M145" s="117" t="s">
        <v>4075</v>
      </c>
      <c r="N145" s="118" t="s">
        <v>4100</v>
      </c>
      <c r="O145" s="66" t="s">
        <v>3974</v>
      </c>
      <c r="P145" s="481">
        <v>550000</v>
      </c>
    </row>
    <row r="146" spans="1:16" ht="56.25">
      <c r="A146" s="115" t="s">
        <v>4098</v>
      </c>
      <c r="B146" s="119" t="s">
        <v>57</v>
      </c>
      <c r="C146" s="171" t="s">
        <v>1846</v>
      </c>
      <c r="D146" s="66" t="s">
        <v>3843</v>
      </c>
      <c r="E146" s="116">
        <v>1</v>
      </c>
      <c r="F146" s="140">
        <v>0</v>
      </c>
      <c r="G146" s="117">
        <v>0</v>
      </c>
      <c r="H146" s="139"/>
      <c r="I146" s="140">
        <v>0.17499999999999999</v>
      </c>
      <c r="J146" s="66" t="s">
        <v>2004</v>
      </c>
      <c r="K146" s="487">
        <v>375000</v>
      </c>
      <c r="L146" s="116">
        <v>1</v>
      </c>
      <c r="M146" s="117" t="s">
        <v>4075</v>
      </c>
      <c r="N146" s="118" t="s">
        <v>4100</v>
      </c>
      <c r="O146" s="66" t="s">
        <v>3974</v>
      </c>
      <c r="P146" s="481">
        <v>412500</v>
      </c>
    </row>
    <row r="147" spans="1:16" ht="56.25">
      <c r="A147" s="115" t="s">
        <v>4098</v>
      </c>
      <c r="B147" s="119" t="s">
        <v>57</v>
      </c>
      <c r="C147" s="171" t="s">
        <v>1846</v>
      </c>
      <c r="D147" s="66" t="s">
        <v>3874</v>
      </c>
      <c r="E147" s="116">
        <v>1</v>
      </c>
      <c r="F147" s="140">
        <v>0</v>
      </c>
      <c r="G147" s="117">
        <v>0</v>
      </c>
      <c r="H147" s="139"/>
      <c r="I147" s="140">
        <v>0.5</v>
      </c>
      <c r="J147" s="66" t="s">
        <v>2004</v>
      </c>
      <c r="K147" s="487">
        <v>30000</v>
      </c>
      <c r="L147" s="116">
        <v>1</v>
      </c>
      <c r="M147" s="117" t="s">
        <v>4075</v>
      </c>
      <c r="N147" s="118" t="s">
        <v>4100</v>
      </c>
      <c r="O147" s="66" t="s">
        <v>3974</v>
      </c>
      <c r="P147" s="481">
        <v>33000</v>
      </c>
    </row>
    <row r="148" spans="1:16" ht="56.25">
      <c r="A148" s="115" t="s">
        <v>4098</v>
      </c>
      <c r="B148" s="119" t="s">
        <v>1800</v>
      </c>
      <c r="C148" s="171" t="s">
        <v>4105</v>
      </c>
      <c r="D148" s="66" t="s">
        <v>3778</v>
      </c>
      <c r="E148" s="116">
        <v>1</v>
      </c>
      <c r="F148" s="140">
        <v>3.2556205474722386</v>
      </c>
      <c r="G148" s="117">
        <v>75</v>
      </c>
      <c r="H148" s="139"/>
      <c r="I148" s="140">
        <v>0.35</v>
      </c>
      <c r="J148" s="66" t="s">
        <v>2004</v>
      </c>
      <c r="K148" s="487">
        <v>1387453.1356666675</v>
      </c>
      <c r="L148" s="116">
        <v>1</v>
      </c>
      <c r="M148" s="117" t="s">
        <v>4075</v>
      </c>
      <c r="N148" s="118" t="s">
        <v>4100</v>
      </c>
      <c r="O148" s="66" t="s">
        <v>3974</v>
      </c>
      <c r="P148" s="481">
        <v>1526198.4492333343</v>
      </c>
    </row>
    <row r="149" spans="1:16" ht="56.25">
      <c r="A149" s="115" t="s">
        <v>4098</v>
      </c>
      <c r="B149" s="119" t="s">
        <v>1800</v>
      </c>
      <c r="C149" s="171" t="s">
        <v>4106</v>
      </c>
      <c r="D149" s="66" t="s">
        <v>3778</v>
      </c>
      <c r="E149" s="116">
        <v>1</v>
      </c>
      <c r="F149" s="140">
        <v>9.3017729927778259</v>
      </c>
      <c r="G149" s="117">
        <v>0</v>
      </c>
      <c r="H149" s="139"/>
      <c r="I149" s="140">
        <v>1</v>
      </c>
      <c r="J149" s="66" t="s">
        <v>2004</v>
      </c>
      <c r="K149" s="487">
        <v>3964151.8161904784</v>
      </c>
      <c r="L149" s="116">
        <v>1</v>
      </c>
      <c r="M149" s="117" t="s">
        <v>4075</v>
      </c>
      <c r="N149" s="118" t="s">
        <v>4100</v>
      </c>
      <c r="O149" s="66" t="s">
        <v>3974</v>
      </c>
      <c r="P149" s="481">
        <v>4360566.9978095265</v>
      </c>
    </row>
    <row r="150" spans="1:16" ht="56.25">
      <c r="A150" s="115" t="s">
        <v>4098</v>
      </c>
      <c r="B150" s="119" t="s">
        <v>1800</v>
      </c>
      <c r="C150" s="171" t="s">
        <v>4107</v>
      </c>
      <c r="D150" s="66" t="s">
        <v>3778</v>
      </c>
      <c r="E150" s="116">
        <v>1</v>
      </c>
      <c r="F150" s="140">
        <v>6.5112410949444772</v>
      </c>
      <c r="G150" s="117">
        <v>0</v>
      </c>
      <c r="H150" s="139"/>
      <c r="I150" s="140">
        <v>0.7</v>
      </c>
      <c r="J150" s="66" t="s">
        <v>2004</v>
      </c>
      <c r="K150" s="487">
        <v>2774906.271333335</v>
      </c>
      <c r="L150" s="116">
        <v>1</v>
      </c>
      <c r="M150" s="117" t="s">
        <v>4075</v>
      </c>
      <c r="N150" s="118" t="s">
        <v>4100</v>
      </c>
      <c r="O150" s="66" t="s">
        <v>3974</v>
      </c>
      <c r="P150" s="481">
        <v>3052396.8984666686</v>
      </c>
    </row>
    <row r="151" spans="1:16" ht="56.25">
      <c r="A151" s="115" t="s">
        <v>4098</v>
      </c>
      <c r="B151" s="119" t="s">
        <v>1800</v>
      </c>
      <c r="C151" s="171" t="s">
        <v>4108</v>
      </c>
      <c r="D151" s="66" t="s">
        <v>3778</v>
      </c>
      <c r="E151" s="116">
        <v>1</v>
      </c>
      <c r="F151" s="140">
        <v>4.6508864963889129</v>
      </c>
      <c r="G151" s="117">
        <v>0</v>
      </c>
      <c r="H151" s="139"/>
      <c r="I151" s="140">
        <v>0.5</v>
      </c>
      <c r="J151" s="66" t="s">
        <v>2004</v>
      </c>
      <c r="K151" s="487">
        <v>1982075.9080952392</v>
      </c>
      <c r="L151" s="116">
        <v>1</v>
      </c>
      <c r="M151" s="117" t="s">
        <v>4075</v>
      </c>
      <c r="N151" s="118" t="s">
        <v>4100</v>
      </c>
      <c r="O151" s="66" t="s">
        <v>3974</v>
      </c>
      <c r="P151" s="481">
        <v>2180283.4989047633</v>
      </c>
    </row>
    <row r="152" spans="1:16" ht="56.25">
      <c r="A152" s="115" t="s">
        <v>4098</v>
      </c>
      <c r="B152" s="119" t="s">
        <v>1800</v>
      </c>
      <c r="C152" s="171" t="s">
        <v>2053</v>
      </c>
      <c r="D152" s="66" t="s">
        <v>3778</v>
      </c>
      <c r="E152" s="116">
        <v>1</v>
      </c>
      <c r="F152" s="140">
        <v>1.860354598555565</v>
      </c>
      <c r="G152" s="117">
        <v>0</v>
      </c>
      <c r="H152" s="139"/>
      <c r="I152" s="140">
        <v>0.2</v>
      </c>
      <c r="J152" s="66" t="s">
        <v>2004</v>
      </c>
      <c r="K152" s="487">
        <v>792830.36323809566</v>
      </c>
      <c r="L152" s="116">
        <v>1</v>
      </c>
      <c r="M152" s="117" t="s">
        <v>4075</v>
      </c>
      <c r="N152" s="118" t="s">
        <v>4100</v>
      </c>
      <c r="O152" s="66" t="s">
        <v>3974</v>
      </c>
      <c r="P152" s="481">
        <v>872113.39956190519</v>
      </c>
    </row>
    <row r="153" spans="1:16" ht="56.25">
      <c r="A153" s="115" t="s">
        <v>4098</v>
      </c>
      <c r="B153" s="119" t="s">
        <v>1800</v>
      </c>
      <c r="C153" s="171" t="s">
        <v>1166</v>
      </c>
      <c r="D153" s="66" t="s">
        <v>3778</v>
      </c>
      <c r="E153" s="116">
        <v>2</v>
      </c>
      <c r="F153" s="140">
        <v>8.1390513686805956</v>
      </c>
      <c r="G153" s="117">
        <v>0</v>
      </c>
      <c r="H153" s="139"/>
      <c r="I153" s="140">
        <v>0.875</v>
      </c>
      <c r="J153" s="66" t="s">
        <v>2004</v>
      </c>
      <c r="K153" s="487">
        <v>3468632.8391666687</v>
      </c>
      <c r="L153" s="116">
        <v>1</v>
      </c>
      <c r="M153" s="117" t="s">
        <v>4075</v>
      </c>
      <c r="N153" s="118" t="s">
        <v>4100</v>
      </c>
      <c r="O153" s="66" t="s">
        <v>3974</v>
      </c>
      <c r="P153" s="481">
        <v>3815496.1230833353</v>
      </c>
    </row>
    <row r="154" spans="1:16" ht="56.25">
      <c r="A154" s="115" t="s">
        <v>4098</v>
      </c>
      <c r="B154" s="119" t="s">
        <v>1800</v>
      </c>
      <c r="C154" s="171" t="s">
        <v>4109</v>
      </c>
      <c r="D154" s="66" t="s">
        <v>3778</v>
      </c>
      <c r="E154" s="116">
        <v>4</v>
      </c>
      <c r="F154" s="140">
        <v>14.185203813986181</v>
      </c>
      <c r="G154" s="117">
        <v>0</v>
      </c>
      <c r="H154" s="139"/>
      <c r="I154" s="140">
        <v>1.5249999999999999</v>
      </c>
      <c r="J154" s="66" t="s">
        <v>2004</v>
      </c>
      <c r="K154" s="487">
        <v>6045331.5196904801</v>
      </c>
      <c r="L154" s="116">
        <v>1</v>
      </c>
      <c r="M154" s="117" t="s">
        <v>4075</v>
      </c>
      <c r="N154" s="118" t="s">
        <v>4100</v>
      </c>
      <c r="O154" s="66" t="s">
        <v>3974</v>
      </c>
      <c r="P154" s="481">
        <v>6649864.6716595283</v>
      </c>
    </row>
    <row r="155" spans="1:16" ht="56.25">
      <c r="A155" s="115" t="s">
        <v>4098</v>
      </c>
      <c r="B155" s="119" t="s">
        <v>1800</v>
      </c>
      <c r="C155" s="171" t="s">
        <v>1839</v>
      </c>
      <c r="D155" s="66" t="s">
        <v>3778</v>
      </c>
      <c r="E155" s="116">
        <v>1</v>
      </c>
      <c r="F155" s="140">
        <v>0.55810637956666953</v>
      </c>
      <c r="G155" s="117">
        <v>0</v>
      </c>
      <c r="H155" s="139"/>
      <c r="I155" s="140">
        <v>0.06</v>
      </c>
      <c r="J155" s="66" t="s">
        <v>2004</v>
      </c>
      <c r="K155" s="487">
        <v>237849.10897142868</v>
      </c>
      <c r="L155" s="116">
        <v>1</v>
      </c>
      <c r="M155" s="117" t="s">
        <v>4075</v>
      </c>
      <c r="N155" s="118" t="s">
        <v>4100</v>
      </c>
      <c r="O155" s="66" t="s">
        <v>3974</v>
      </c>
      <c r="P155" s="481">
        <v>261634.01986857154</v>
      </c>
    </row>
    <row r="156" spans="1:16" ht="56.25">
      <c r="A156" s="115" t="s">
        <v>4098</v>
      </c>
      <c r="B156" s="119" t="s">
        <v>1800</v>
      </c>
      <c r="C156" s="171" t="s">
        <v>1864</v>
      </c>
      <c r="D156" s="66" t="s">
        <v>3778</v>
      </c>
      <c r="E156" s="116">
        <v>1</v>
      </c>
      <c r="F156" s="140">
        <v>4.6508864963889129</v>
      </c>
      <c r="G156" s="117">
        <v>0</v>
      </c>
      <c r="H156" s="139"/>
      <c r="I156" s="140">
        <v>0.5</v>
      </c>
      <c r="J156" s="66" t="s">
        <v>2004</v>
      </c>
      <c r="K156" s="487">
        <v>1982075.9080952392</v>
      </c>
      <c r="L156" s="116">
        <v>1</v>
      </c>
      <c r="M156" s="117" t="s">
        <v>4075</v>
      </c>
      <c r="N156" s="118" t="s">
        <v>4100</v>
      </c>
      <c r="O156" s="66" t="s">
        <v>3974</v>
      </c>
      <c r="P156" s="481">
        <v>2180283.4989047633</v>
      </c>
    </row>
    <row r="157" spans="1:16" ht="56.25">
      <c r="A157" s="115" t="s">
        <v>4098</v>
      </c>
      <c r="B157" s="119" t="s">
        <v>1800</v>
      </c>
      <c r="C157" s="171" t="s">
        <v>886</v>
      </c>
      <c r="D157" s="66" t="s">
        <v>3778</v>
      </c>
      <c r="E157" s="116">
        <v>1</v>
      </c>
      <c r="F157" s="140">
        <v>3.2556205474722386</v>
      </c>
      <c r="G157" s="117">
        <v>0</v>
      </c>
      <c r="H157" s="139"/>
      <c r="I157" s="140">
        <v>0.35</v>
      </c>
      <c r="J157" s="66" t="s">
        <v>2004</v>
      </c>
      <c r="K157" s="487">
        <v>1387453.1356666675</v>
      </c>
      <c r="L157" s="116">
        <v>1</v>
      </c>
      <c r="M157" s="117" t="s">
        <v>4075</v>
      </c>
      <c r="N157" s="118" t="s">
        <v>4100</v>
      </c>
      <c r="O157" s="66" t="s">
        <v>3974</v>
      </c>
      <c r="P157" s="481">
        <v>1526198.4492333343</v>
      </c>
    </row>
    <row r="158" spans="1:16" ht="56.25">
      <c r="A158" s="115" t="s">
        <v>4098</v>
      </c>
      <c r="B158" s="119" t="s">
        <v>1800</v>
      </c>
      <c r="C158" s="171" t="s">
        <v>371</v>
      </c>
      <c r="D158" s="66" t="s">
        <v>3778</v>
      </c>
      <c r="E158" s="116">
        <v>4</v>
      </c>
      <c r="F158" s="140">
        <v>7.9065070438611507</v>
      </c>
      <c r="G158" s="117">
        <v>0</v>
      </c>
      <c r="H158" s="139"/>
      <c r="I158" s="140">
        <v>0.85</v>
      </c>
      <c r="J158" s="66" t="s">
        <v>2004</v>
      </c>
      <c r="K158" s="487">
        <v>3369529.0437619067</v>
      </c>
      <c r="L158" s="116">
        <v>1</v>
      </c>
      <c r="M158" s="117" t="s">
        <v>4075</v>
      </c>
      <c r="N158" s="118" t="s">
        <v>4100</v>
      </c>
      <c r="O158" s="66" t="s">
        <v>3974</v>
      </c>
      <c r="P158" s="481">
        <v>3706481.9481380973</v>
      </c>
    </row>
    <row r="159" spans="1:16" ht="56.25">
      <c r="A159" s="115" t="s">
        <v>4098</v>
      </c>
      <c r="B159" s="119" t="s">
        <v>1792</v>
      </c>
      <c r="C159" s="171" t="s">
        <v>1804</v>
      </c>
      <c r="D159" s="66" t="s">
        <v>4110</v>
      </c>
      <c r="E159" s="116">
        <v>2</v>
      </c>
      <c r="F159" s="140">
        <v>0</v>
      </c>
      <c r="G159" s="117">
        <v>0</v>
      </c>
      <c r="H159" s="139"/>
      <c r="I159" s="140">
        <v>0.67500000000000004</v>
      </c>
      <c r="J159" s="66" t="s">
        <v>2004</v>
      </c>
      <c r="K159" s="487">
        <v>1500000</v>
      </c>
      <c r="L159" s="116">
        <v>1</v>
      </c>
      <c r="M159" s="117" t="s">
        <v>4075</v>
      </c>
      <c r="N159" s="118" t="s">
        <v>4100</v>
      </c>
      <c r="O159" s="66" t="s">
        <v>3974</v>
      </c>
      <c r="P159" s="481">
        <v>1650000</v>
      </c>
    </row>
    <row r="160" spans="1:16" ht="56.25">
      <c r="A160" s="115" t="s">
        <v>4098</v>
      </c>
      <c r="B160" s="119" t="s">
        <v>1792</v>
      </c>
      <c r="C160" s="171" t="s">
        <v>1804</v>
      </c>
      <c r="D160" s="66" t="s">
        <v>3778</v>
      </c>
      <c r="E160" s="116">
        <v>10</v>
      </c>
      <c r="F160" s="140">
        <v>59.112767369103082</v>
      </c>
      <c r="G160" s="117">
        <v>0</v>
      </c>
      <c r="H160" s="139"/>
      <c r="I160" s="140">
        <v>6.3550000000000004</v>
      </c>
      <c r="J160" s="66" t="s">
        <v>2004</v>
      </c>
      <c r="K160" s="487">
        <v>25192184.791890491</v>
      </c>
      <c r="L160" s="116">
        <v>1</v>
      </c>
      <c r="M160" s="117" t="s">
        <v>4075</v>
      </c>
      <c r="N160" s="118" t="s">
        <v>4100</v>
      </c>
      <c r="O160" s="66" t="s">
        <v>3974</v>
      </c>
      <c r="P160" s="481">
        <v>27711403.27107954</v>
      </c>
    </row>
    <row r="161" spans="1:16" ht="56.25">
      <c r="A161" s="115" t="s">
        <v>4098</v>
      </c>
      <c r="B161" s="119" t="s">
        <v>1792</v>
      </c>
      <c r="C161" s="171" t="s">
        <v>1804</v>
      </c>
      <c r="D161" s="66" t="s">
        <v>4111</v>
      </c>
      <c r="E161" s="116">
        <v>2</v>
      </c>
      <c r="F161" s="140">
        <v>0</v>
      </c>
      <c r="G161" s="117">
        <v>0</v>
      </c>
      <c r="H161" s="139"/>
      <c r="I161" s="140">
        <v>0.52499999999999991</v>
      </c>
      <c r="J161" s="66" t="s">
        <v>4112</v>
      </c>
      <c r="K161" s="487">
        <v>640000</v>
      </c>
      <c r="L161" s="116">
        <v>1</v>
      </c>
      <c r="M161" s="117" t="s">
        <v>4075</v>
      </c>
      <c r="N161" s="118" t="s">
        <v>4100</v>
      </c>
      <c r="O161" s="66" t="s">
        <v>3974</v>
      </c>
      <c r="P161" s="481">
        <v>704000</v>
      </c>
    </row>
    <row r="162" spans="1:16" ht="56.25">
      <c r="A162" s="115" t="s">
        <v>4098</v>
      </c>
      <c r="B162" s="119" t="s">
        <v>1792</v>
      </c>
      <c r="C162" s="171" t="s">
        <v>1804</v>
      </c>
      <c r="D162" s="66" t="s">
        <v>3818</v>
      </c>
      <c r="E162" s="116">
        <v>1</v>
      </c>
      <c r="F162" s="140">
        <v>0</v>
      </c>
      <c r="G162" s="117">
        <v>0</v>
      </c>
      <c r="H162" s="139"/>
      <c r="I162" s="140">
        <v>0.35</v>
      </c>
      <c r="J162" s="66" t="s">
        <v>2004</v>
      </c>
      <c r="K162" s="487">
        <v>300000</v>
      </c>
      <c r="L162" s="116">
        <v>1</v>
      </c>
      <c r="M162" s="117" t="s">
        <v>4075</v>
      </c>
      <c r="N162" s="118" t="s">
        <v>4100</v>
      </c>
      <c r="O162" s="66" t="s">
        <v>3974</v>
      </c>
      <c r="P162" s="481">
        <v>330000</v>
      </c>
    </row>
    <row r="163" spans="1:16" ht="56.25">
      <c r="A163" s="115" t="s">
        <v>4098</v>
      </c>
      <c r="B163" s="119" t="s">
        <v>1792</v>
      </c>
      <c r="C163" s="171" t="s">
        <v>1804</v>
      </c>
      <c r="D163" s="66" t="s">
        <v>4113</v>
      </c>
      <c r="E163" s="116">
        <v>8</v>
      </c>
      <c r="F163" s="140">
        <v>0</v>
      </c>
      <c r="G163" s="117">
        <v>0</v>
      </c>
      <c r="H163" s="139"/>
      <c r="I163" s="140">
        <v>4.82</v>
      </c>
      <c r="J163" s="66" t="s">
        <v>4114</v>
      </c>
      <c r="K163" s="487">
        <v>3715000</v>
      </c>
      <c r="L163" s="116">
        <v>1</v>
      </c>
      <c r="M163" s="117" t="s">
        <v>4075</v>
      </c>
      <c r="N163" s="118" t="s">
        <v>4100</v>
      </c>
      <c r="O163" s="66" t="s">
        <v>3974</v>
      </c>
      <c r="P163" s="481">
        <v>4086500</v>
      </c>
    </row>
    <row r="164" spans="1:16" ht="56.25">
      <c r="A164" s="115" t="s">
        <v>4098</v>
      </c>
      <c r="B164" s="119" t="s">
        <v>1792</v>
      </c>
      <c r="C164" s="171" t="s">
        <v>1804</v>
      </c>
      <c r="D164" s="66" t="s">
        <v>3852</v>
      </c>
      <c r="E164" s="116">
        <v>3</v>
      </c>
      <c r="F164" s="140">
        <v>0</v>
      </c>
      <c r="G164" s="117">
        <v>0</v>
      </c>
      <c r="H164" s="139"/>
      <c r="I164" s="140">
        <v>2.0499999999999998</v>
      </c>
      <c r="J164" s="66" t="s">
        <v>4115</v>
      </c>
      <c r="K164" s="487">
        <v>215000</v>
      </c>
      <c r="L164" s="116">
        <v>1</v>
      </c>
      <c r="M164" s="117" t="s">
        <v>4075</v>
      </c>
      <c r="N164" s="118" t="s">
        <v>4100</v>
      </c>
      <c r="O164" s="66" t="s">
        <v>3974</v>
      </c>
      <c r="P164" s="481">
        <v>236500</v>
      </c>
    </row>
    <row r="165" spans="1:16" ht="56.25">
      <c r="A165" s="115" t="s">
        <v>4098</v>
      </c>
      <c r="B165" s="119" t="s">
        <v>1792</v>
      </c>
      <c r="C165" s="171" t="s">
        <v>2053</v>
      </c>
      <c r="D165" s="66" t="s">
        <v>3778</v>
      </c>
      <c r="E165" s="116">
        <v>1</v>
      </c>
      <c r="F165" s="140">
        <v>2.3254432481944565</v>
      </c>
      <c r="G165" s="117">
        <v>0</v>
      </c>
      <c r="H165" s="139"/>
      <c r="I165" s="140">
        <v>0.25</v>
      </c>
      <c r="J165" s="66" t="s">
        <v>2004</v>
      </c>
      <c r="K165" s="487">
        <v>991037.9540476196</v>
      </c>
      <c r="L165" s="116">
        <v>1</v>
      </c>
      <c r="M165" s="117" t="s">
        <v>4075</v>
      </c>
      <c r="N165" s="118" t="s">
        <v>4100</v>
      </c>
      <c r="O165" s="66" t="s">
        <v>3974</v>
      </c>
      <c r="P165" s="481">
        <v>1090141.7494523816</v>
      </c>
    </row>
    <row r="166" spans="1:16" ht="56.25">
      <c r="A166" s="115" t="s">
        <v>4098</v>
      </c>
      <c r="B166" s="119" t="s">
        <v>1792</v>
      </c>
      <c r="C166" s="171" t="s">
        <v>4116</v>
      </c>
      <c r="D166" s="66" t="s">
        <v>3778</v>
      </c>
      <c r="E166" s="116">
        <v>1</v>
      </c>
      <c r="F166" s="140">
        <v>0.46508864963889124</v>
      </c>
      <c r="G166" s="117">
        <v>0</v>
      </c>
      <c r="H166" s="139"/>
      <c r="I166" s="140">
        <v>0.05</v>
      </c>
      <c r="J166" s="66" t="s">
        <v>2004</v>
      </c>
      <c r="K166" s="487">
        <v>646928.54380013118</v>
      </c>
      <c r="L166" s="116">
        <v>1</v>
      </c>
      <c r="M166" s="117" t="s">
        <v>4075</v>
      </c>
      <c r="N166" s="118" t="s">
        <v>4100</v>
      </c>
      <c r="O166" s="66" t="s">
        <v>3974</v>
      </c>
      <c r="P166" s="481">
        <v>711621.39818014426</v>
      </c>
    </row>
    <row r="167" spans="1:16" ht="56.25">
      <c r="A167" s="115" t="s">
        <v>4098</v>
      </c>
      <c r="B167" s="119" t="s">
        <v>1792</v>
      </c>
      <c r="C167" s="171" t="s">
        <v>4117</v>
      </c>
      <c r="D167" s="66" t="s">
        <v>3778</v>
      </c>
      <c r="E167" s="116">
        <v>1</v>
      </c>
      <c r="F167" s="140">
        <v>1.6278102737361193</v>
      </c>
      <c r="G167" s="117">
        <v>0</v>
      </c>
      <c r="H167" s="139"/>
      <c r="I167" s="140">
        <v>0.17499999999999999</v>
      </c>
      <c r="J167" s="66" t="s">
        <v>2004</v>
      </c>
      <c r="K167" s="487">
        <v>693726.56783333374</v>
      </c>
      <c r="L167" s="116">
        <v>1</v>
      </c>
      <c r="M167" s="117" t="s">
        <v>4075</v>
      </c>
      <c r="N167" s="118" t="s">
        <v>4100</v>
      </c>
      <c r="O167" s="66" t="s">
        <v>3974</v>
      </c>
      <c r="P167" s="481">
        <v>763099.22461666714</v>
      </c>
    </row>
    <row r="168" spans="1:16" ht="56.25">
      <c r="A168" s="115" t="s">
        <v>4098</v>
      </c>
      <c r="B168" s="119" t="s">
        <v>1792</v>
      </c>
      <c r="C168" s="171" t="s">
        <v>1808</v>
      </c>
      <c r="D168" s="66" t="s">
        <v>3778</v>
      </c>
      <c r="E168" s="116">
        <v>3</v>
      </c>
      <c r="F168" s="140">
        <v>9.0227198029944908</v>
      </c>
      <c r="G168" s="117">
        <v>0</v>
      </c>
      <c r="H168" s="139"/>
      <c r="I168" s="140">
        <v>0.97</v>
      </c>
      <c r="J168" s="66" t="s">
        <v>2004</v>
      </c>
      <c r="K168" s="487">
        <v>3845227.2617047643</v>
      </c>
      <c r="L168" s="116">
        <v>1</v>
      </c>
      <c r="M168" s="117" t="s">
        <v>4075</v>
      </c>
      <c r="N168" s="118" t="s">
        <v>4100</v>
      </c>
      <c r="O168" s="66" t="s">
        <v>3974</v>
      </c>
      <c r="P168" s="481">
        <v>4229749.9878752409</v>
      </c>
    </row>
    <row r="169" spans="1:16" ht="56.25">
      <c r="A169" s="115" t="s">
        <v>4098</v>
      </c>
      <c r="B169" s="119" t="s">
        <v>1792</v>
      </c>
      <c r="C169" s="171" t="s">
        <v>1879</v>
      </c>
      <c r="D169" s="66" t="s">
        <v>3778</v>
      </c>
      <c r="E169" s="116">
        <v>2</v>
      </c>
      <c r="F169" s="140">
        <v>8.3715956935000406</v>
      </c>
      <c r="G169" s="117">
        <v>0</v>
      </c>
      <c r="H169" s="139"/>
      <c r="I169" s="140">
        <v>0.9</v>
      </c>
      <c r="J169" s="66" t="s">
        <v>2004</v>
      </c>
      <c r="K169" s="487">
        <v>3567736.6345714303</v>
      </c>
      <c r="L169" s="116">
        <v>1</v>
      </c>
      <c r="M169" s="117" t="s">
        <v>4075</v>
      </c>
      <c r="N169" s="118" t="s">
        <v>4100</v>
      </c>
      <c r="O169" s="66" t="s">
        <v>3974</v>
      </c>
      <c r="P169" s="481">
        <v>3924510.2980285734</v>
      </c>
    </row>
    <row r="170" spans="1:16" ht="56.25">
      <c r="A170" s="115" t="s">
        <v>4098</v>
      </c>
      <c r="B170" s="119" t="s">
        <v>1792</v>
      </c>
      <c r="C170" s="171" t="s">
        <v>1806</v>
      </c>
      <c r="D170" s="66" t="s">
        <v>4110</v>
      </c>
      <c r="E170" s="116">
        <v>1</v>
      </c>
      <c r="F170" s="140">
        <v>0</v>
      </c>
      <c r="G170" s="117">
        <v>0</v>
      </c>
      <c r="H170" s="139"/>
      <c r="I170" s="140">
        <v>0.05</v>
      </c>
      <c r="J170" s="66" t="s">
        <v>2004</v>
      </c>
      <c r="K170" s="487">
        <v>500000</v>
      </c>
      <c r="L170" s="116">
        <v>1</v>
      </c>
      <c r="M170" s="117" t="s">
        <v>4075</v>
      </c>
      <c r="N170" s="118" t="s">
        <v>4100</v>
      </c>
      <c r="O170" s="66" t="s">
        <v>3974</v>
      </c>
      <c r="P170" s="481">
        <v>550000</v>
      </c>
    </row>
    <row r="171" spans="1:16" ht="56.25">
      <c r="A171" s="115" t="s">
        <v>4098</v>
      </c>
      <c r="B171" s="119" t="s">
        <v>1792</v>
      </c>
      <c r="C171" s="171" t="s">
        <v>1806</v>
      </c>
      <c r="D171" s="66" t="s">
        <v>3778</v>
      </c>
      <c r="E171" s="116">
        <v>1</v>
      </c>
      <c r="F171" s="140">
        <v>3.7207091971111299</v>
      </c>
      <c r="G171" s="117">
        <v>0</v>
      </c>
      <c r="H171" s="139"/>
      <c r="I171" s="140">
        <v>0.4</v>
      </c>
      <c r="J171" s="66" t="s">
        <v>2004</v>
      </c>
      <c r="K171" s="487">
        <v>1585660.7264761913</v>
      </c>
      <c r="L171" s="116">
        <v>1</v>
      </c>
      <c r="M171" s="117" t="s">
        <v>4075</v>
      </c>
      <c r="N171" s="118" t="s">
        <v>4100</v>
      </c>
      <c r="O171" s="66" t="s">
        <v>3974</v>
      </c>
      <c r="P171" s="481">
        <v>1744226.7991238104</v>
      </c>
    </row>
    <row r="172" spans="1:16" ht="56.25">
      <c r="A172" s="115" t="s">
        <v>4098</v>
      </c>
      <c r="B172" s="119" t="s">
        <v>1792</v>
      </c>
      <c r="C172" s="171" t="s">
        <v>1806</v>
      </c>
      <c r="D172" s="66" t="s">
        <v>4118</v>
      </c>
      <c r="E172" s="116">
        <v>1</v>
      </c>
      <c r="F172" s="140">
        <v>0</v>
      </c>
      <c r="G172" s="117">
        <v>0</v>
      </c>
      <c r="H172" s="139"/>
      <c r="I172" s="140">
        <v>0.05</v>
      </c>
      <c r="J172" s="66" t="s">
        <v>2004</v>
      </c>
      <c r="K172" s="487">
        <v>1000000</v>
      </c>
      <c r="L172" s="116">
        <v>1</v>
      </c>
      <c r="M172" s="117" t="s">
        <v>4075</v>
      </c>
      <c r="N172" s="118" t="s">
        <v>4100</v>
      </c>
      <c r="O172" s="66" t="s">
        <v>3974</v>
      </c>
      <c r="P172" s="481">
        <v>1100000</v>
      </c>
    </row>
    <row r="173" spans="1:16" ht="56.25">
      <c r="A173" s="115" t="s">
        <v>4098</v>
      </c>
      <c r="B173" s="119" t="s">
        <v>1792</v>
      </c>
      <c r="C173" s="171" t="s">
        <v>4119</v>
      </c>
      <c r="D173" s="66" t="s">
        <v>3778</v>
      </c>
      <c r="E173" s="116">
        <v>1</v>
      </c>
      <c r="F173" s="140">
        <v>4.6508864963889129</v>
      </c>
      <c r="G173" s="117">
        <v>0</v>
      </c>
      <c r="H173" s="139"/>
      <c r="I173" s="140">
        <v>0.5</v>
      </c>
      <c r="J173" s="66" t="s">
        <v>2004</v>
      </c>
      <c r="K173" s="487">
        <v>1982075.9080952392</v>
      </c>
      <c r="L173" s="116">
        <v>1</v>
      </c>
      <c r="M173" s="117" t="s">
        <v>4075</v>
      </c>
      <c r="N173" s="118" t="s">
        <v>4100</v>
      </c>
      <c r="O173" s="66" t="s">
        <v>3974</v>
      </c>
      <c r="P173" s="481">
        <v>2180283.4989047633</v>
      </c>
    </row>
    <row r="174" spans="1:16" ht="56.25">
      <c r="A174" s="115" t="s">
        <v>4098</v>
      </c>
      <c r="B174" s="119" t="s">
        <v>1792</v>
      </c>
      <c r="C174" s="171" t="s">
        <v>4120</v>
      </c>
      <c r="D174" s="66" t="s">
        <v>3778</v>
      </c>
      <c r="E174" s="116">
        <v>1</v>
      </c>
      <c r="F174" s="140">
        <v>4.6508864963889129</v>
      </c>
      <c r="G174" s="117">
        <v>0</v>
      </c>
      <c r="H174" s="139"/>
      <c r="I174" s="140">
        <v>0.5</v>
      </c>
      <c r="J174" s="66" t="s">
        <v>2004</v>
      </c>
      <c r="K174" s="487">
        <v>1982075.9080952392</v>
      </c>
      <c r="L174" s="116">
        <v>1</v>
      </c>
      <c r="M174" s="117" t="s">
        <v>4075</v>
      </c>
      <c r="N174" s="118" t="s">
        <v>4100</v>
      </c>
      <c r="O174" s="66" t="s">
        <v>3974</v>
      </c>
      <c r="P174" s="481">
        <v>2180283.4989047633</v>
      </c>
    </row>
    <row r="175" spans="1:16" ht="56.25">
      <c r="A175" s="115" t="s">
        <v>4098</v>
      </c>
      <c r="B175" s="119" t="s">
        <v>1792</v>
      </c>
      <c r="C175" s="171" t="s">
        <v>4121</v>
      </c>
      <c r="D175" s="66" t="s">
        <v>3778</v>
      </c>
      <c r="E175" s="116">
        <v>1</v>
      </c>
      <c r="F175" s="140">
        <v>1.6278102737361193</v>
      </c>
      <c r="G175" s="117">
        <v>0</v>
      </c>
      <c r="H175" s="139"/>
      <c r="I175" s="140">
        <v>0.17499999999999999</v>
      </c>
      <c r="J175" s="66" t="s">
        <v>2004</v>
      </c>
      <c r="K175" s="487">
        <v>693726.56783333374</v>
      </c>
      <c r="L175" s="116">
        <v>1</v>
      </c>
      <c r="M175" s="117" t="s">
        <v>4075</v>
      </c>
      <c r="N175" s="118" t="s">
        <v>4100</v>
      </c>
      <c r="O175" s="66" t="s">
        <v>3974</v>
      </c>
      <c r="P175" s="481">
        <v>763099.22461666714</v>
      </c>
    </row>
    <row r="176" spans="1:16" ht="56.25">
      <c r="A176" s="115" t="s">
        <v>4098</v>
      </c>
      <c r="B176" s="119" t="s">
        <v>1792</v>
      </c>
      <c r="C176" s="171" t="s">
        <v>4122</v>
      </c>
      <c r="D176" s="66" t="s">
        <v>3778</v>
      </c>
      <c r="E176" s="116">
        <v>2</v>
      </c>
      <c r="F176" s="140">
        <v>0.83715956935000413</v>
      </c>
      <c r="G176" s="117">
        <v>0</v>
      </c>
      <c r="H176" s="139"/>
      <c r="I176" s="140">
        <v>0.09</v>
      </c>
      <c r="J176" s="66" t="s">
        <v>2004</v>
      </c>
      <c r="K176" s="487">
        <v>356773.66345714306</v>
      </c>
      <c r="L176" s="116">
        <v>1</v>
      </c>
      <c r="M176" s="117" t="s">
        <v>4075</v>
      </c>
      <c r="N176" s="118" t="s">
        <v>4100</v>
      </c>
      <c r="O176" s="66" t="s">
        <v>3974</v>
      </c>
      <c r="P176" s="481">
        <v>392451.02980285737</v>
      </c>
    </row>
    <row r="177" spans="1:16" ht="56.25">
      <c r="A177" s="115" t="s">
        <v>4098</v>
      </c>
      <c r="B177" s="119" t="s">
        <v>1792</v>
      </c>
      <c r="C177" s="171" t="s">
        <v>1876</v>
      </c>
      <c r="D177" s="66" t="s">
        <v>3778</v>
      </c>
      <c r="E177" s="116">
        <v>4</v>
      </c>
      <c r="F177" s="140">
        <v>10.929583266513944</v>
      </c>
      <c r="G177" s="117">
        <v>0</v>
      </c>
      <c r="H177" s="139"/>
      <c r="I177" s="140">
        <v>1.175</v>
      </c>
      <c r="J177" s="66" t="s">
        <v>2004</v>
      </c>
      <c r="K177" s="487">
        <v>4657878.3840238117</v>
      </c>
      <c r="L177" s="116">
        <v>1</v>
      </c>
      <c r="M177" s="117" t="s">
        <v>4075</v>
      </c>
      <c r="N177" s="118" t="s">
        <v>4100</v>
      </c>
      <c r="O177" s="66" t="s">
        <v>3974</v>
      </c>
      <c r="P177" s="481">
        <v>5123666.2224261928</v>
      </c>
    </row>
    <row r="178" spans="1:16" ht="56.25">
      <c r="A178" s="115" t="s">
        <v>4098</v>
      </c>
      <c r="B178" s="119" t="s">
        <v>1792</v>
      </c>
      <c r="C178" s="171" t="s">
        <v>1876</v>
      </c>
      <c r="D178" s="66" t="s">
        <v>3818</v>
      </c>
      <c r="E178" s="116">
        <v>1</v>
      </c>
      <c r="F178" s="140">
        <v>0</v>
      </c>
      <c r="G178" s="117">
        <v>0</v>
      </c>
      <c r="H178" s="139"/>
      <c r="I178" s="140">
        <v>0.06</v>
      </c>
      <c r="J178" s="66" t="s">
        <v>2004</v>
      </c>
      <c r="K178" s="487">
        <v>200000</v>
      </c>
      <c r="L178" s="116">
        <v>1</v>
      </c>
      <c r="M178" s="117" t="s">
        <v>4075</v>
      </c>
      <c r="N178" s="118" t="s">
        <v>4100</v>
      </c>
      <c r="O178" s="66" t="s">
        <v>3974</v>
      </c>
      <c r="P178" s="481">
        <v>220000</v>
      </c>
    </row>
    <row r="179" spans="1:16" ht="56.25">
      <c r="A179" s="115" t="s">
        <v>4098</v>
      </c>
      <c r="B179" s="119" t="s">
        <v>1792</v>
      </c>
      <c r="C179" s="171" t="s">
        <v>1839</v>
      </c>
      <c r="D179" s="66" t="s">
        <v>3778</v>
      </c>
      <c r="E179" s="116">
        <v>1</v>
      </c>
      <c r="F179" s="140">
        <v>1.2092304890611174</v>
      </c>
      <c r="G179" s="117">
        <v>0</v>
      </c>
      <c r="H179" s="139"/>
      <c r="I179" s="140">
        <v>0.13</v>
      </c>
      <c r="J179" s="66" t="s">
        <v>2004</v>
      </c>
      <c r="K179" s="487">
        <v>515339.73610476224</v>
      </c>
      <c r="L179" s="116">
        <v>1</v>
      </c>
      <c r="M179" s="117" t="s">
        <v>4075</v>
      </c>
      <c r="N179" s="118" t="s">
        <v>4100</v>
      </c>
      <c r="O179" s="66" t="s">
        <v>3974</v>
      </c>
      <c r="P179" s="481">
        <v>566873.70971523842</v>
      </c>
    </row>
    <row r="180" spans="1:16" ht="56.25">
      <c r="A180" s="115" t="s">
        <v>4098</v>
      </c>
      <c r="B180" s="119" t="s">
        <v>1792</v>
      </c>
      <c r="C180" s="171" t="s">
        <v>1127</v>
      </c>
      <c r="D180" s="66" t="s">
        <v>3778</v>
      </c>
      <c r="E180" s="116">
        <v>3</v>
      </c>
      <c r="F180" s="140">
        <v>5.8136081204861414</v>
      </c>
      <c r="G180" s="117">
        <v>0</v>
      </c>
      <c r="H180" s="139"/>
      <c r="I180" s="140">
        <v>0.625</v>
      </c>
      <c r="J180" s="66" t="s">
        <v>2004</v>
      </c>
      <c r="K180" s="487">
        <v>2477594.8851190489</v>
      </c>
      <c r="L180" s="116">
        <v>1</v>
      </c>
      <c r="M180" s="117" t="s">
        <v>4075</v>
      </c>
      <c r="N180" s="118" t="s">
        <v>4100</v>
      </c>
      <c r="O180" s="66" t="s">
        <v>3974</v>
      </c>
      <c r="P180" s="481">
        <v>2725354.373630954</v>
      </c>
    </row>
    <row r="181" spans="1:16" ht="56.25">
      <c r="A181" s="115" t="s">
        <v>4098</v>
      </c>
      <c r="B181" s="119" t="s">
        <v>1792</v>
      </c>
      <c r="C181" s="171" t="s">
        <v>4123</v>
      </c>
      <c r="D181" s="66" t="s">
        <v>3778</v>
      </c>
      <c r="E181" s="116">
        <v>2</v>
      </c>
      <c r="F181" s="140">
        <v>3.9532535219305753</v>
      </c>
      <c r="G181" s="117">
        <v>0</v>
      </c>
      <c r="H181" s="139"/>
      <c r="I181" s="140">
        <v>0.42499999999999999</v>
      </c>
      <c r="J181" s="66" t="s">
        <v>2004</v>
      </c>
      <c r="K181" s="487">
        <v>1684764.5218809533</v>
      </c>
      <c r="L181" s="116">
        <v>1</v>
      </c>
      <c r="M181" s="117" t="s">
        <v>4075</v>
      </c>
      <c r="N181" s="118" t="s">
        <v>4100</v>
      </c>
      <c r="O181" s="66" t="s">
        <v>3974</v>
      </c>
      <c r="P181" s="481">
        <v>1853240.9740690487</v>
      </c>
    </row>
    <row r="182" spans="1:16" ht="56.25">
      <c r="A182" s="115" t="s">
        <v>4098</v>
      </c>
      <c r="B182" s="119" t="s">
        <v>1792</v>
      </c>
      <c r="C182" s="171" t="s">
        <v>4123</v>
      </c>
      <c r="D182" s="66" t="s">
        <v>3897</v>
      </c>
      <c r="E182" s="116">
        <v>1</v>
      </c>
      <c r="F182" s="140">
        <v>0</v>
      </c>
      <c r="G182" s="117">
        <v>0</v>
      </c>
      <c r="H182" s="139"/>
      <c r="I182" s="140">
        <v>0.2</v>
      </c>
      <c r="J182" s="66" t="s">
        <v>4124</v>
      </c>
      <c r="K182" s="487">
        <v>3500000</v>
      </c>
      <c r="L182" s="116">
        <v>1</v>
      </c>
      <c r="M182" s="117" t="s">
        <v>4075</v>
      </c>
      <c r="N182" s="118" t="s">
        <v>4100</v>
      </c>
      <c r="O182" s="66" t="s">
        <v>3974</v>
      </c>
      <c r="P182" s="481">
        <v>3850000</v>
      </c>
    </row>
    <row r="183" spans="1:16" ht="56.25">
      <c r="A183" s="115" t="s">
        <v>4098</v>
      </c>
      <c r="B183" s="119" t="s">
        <v>1792</v>
      </c>
      <c r="C183" s="171" t="s">
        <v>4125</v>
      </c>
      <c r="D183" s="66" t="s">
        <v>3778</v>
      </c>
      <c r="E183" s="116">
        <v>1</v>
      </c>
      <c r="F183" s="140">
        <v>3.2556205474722386</v>
      </c>
      <c r="G183" s="117">
        <v>0</v>
      </c>
      <c r="H183" s="139"/>
      <c r="I183" s="140">
        <v>0.35</v>
      </c>
      <c r="J183" s="66" t="s">
        <v>2004</v>
      </c>
      <c r="K183" s="487">
        <v>1387453.1356666675</v>
      </c>
      <c r="L183" s="116">
        <v>1</v>
      </c>
      <c r="M183" s="117" t="s">
        <v>4075</v>
      </c>
      <c r="N183" s="118" t="s">
        <v>4100</v>
      </c>
      <c r="O183" s="66" t="s">
        <v>3974</v>
      </c>
      <c r="P183" s="481">
        <v>1526198.4492333343</v>
      </c>
    </row>
    <row r="184" spans="1:16" ht="22.5">
      <c r="A184" s="115" t="s">
        <v>4084</v>
      </c>
      <c r="B184" s="119" t="s">
        <v>4126</v>
      </c>
      <c r="C184" s="171" t="s">
        <v>1802</v>
      </c>
      <c r="D184" s="66" t="s">
        <v>4044</v>
      </c>
      <c r="E184" s="116">
        <v>1</v>
      </c>
      <c r="F184" s="116">
        <v>7.2</v>
      </c>
      <c r="G184" s="117"/>
      <c r="H184" s="139"/>
      <c r="I184" s="116">
        <v>0.35</v>
      </c>
      <c r="J184" s="66" t="s">
        <v>4127</v>
      </c>
      <c r="K184" s="487">
        <v>5250000</v>
      </c>
      <c r="L184" s="116">
        <v>1</v>
      </c>
      <c r="M184" s="117" t="s">
        <v>4075</v>
      </c>
      <c r="N184" s="118" t="s">
        <v>4128</v>
      </c>
      <c r="O184" s="66" t="s">
        <v>4129</v>
      </c>
      <c r="P184" s="481">
        <v>5500000</v>
      </c>
    </row>
    <row r="185" spans="1:16" ht="33.75">
      <c r="A185" s="115" t="s">
        <v>4084</v>
      </c>
      <c r="B185" s="119" t="s">
        <v>4126</v>
      </c>
      <c r="C185" s="171" t="s">
        <v>1802</v>
      </c>
      <c r="D185" s="66" t="s">
        <v>4130</v>
      </c>
      <c r="E185" s="116">
        <v>2</v>
      </c>
      <c r="F185" s="116">
        <v>9.1999999999999993</v>
      </c>
      <c r="G185" s="117"/>
      <c r="H185" s="139"/>
      <c r="I185" s="116">
        <v>0.87</v>
      </c>
      <c r="J185" s="66" t="s">
        <v>4131</v>
      </c>
      <c r="K185" s="487">
        <v>2770000</v>
      </c>
      <c r="L185" s="116">
        <v>1</v>
      </c>
      <c r="M185" s="117" t="s">
        <v>4075</v>
      </c>
      <c r="N185" s="118" t="s">
        <v>4132</v>
      </c>
      <c r="O185" s="66" t="s">
        <v>4129</v>
      </c>
      <c r="P185" s="481">
        <v>2900000</v>
      </c>
    </row>
    <row r="186" spans="1:16" ht="33.75">
      <c r="A186" s="115" t="s">
        <v>4084</v>
      </c>
      <c r="B186" s="119" t="s">
        <v>4126</v>
      </c>
      <c r="C186" s="171" t="s">
        <v>1802</v>
      </c>
      <c r="D186" s="66" t="s">
        <v>4133</v>
      </c>
      <c r="E186" s="116">
        <v>1</v>
      </c>
      <c r="F186" s="116">
        <v>7.6</v>
      </c>
      <c r="G186" s="117"/>
      <c r="H186" s="139"/>
      <c r="I186" s="116">
        <v>0.17</v>
      </c>
      <c r="J186" s="66" t="s">
        <v>4134</v>
      </c>
      <c r="K186" s="487">
        <v>500000</v>
      </c>
      <c r="L186" s="116">
        <v>1</v>
      </c>
      <c r="M186" s="117" t="s">
        <v>4075</v>
      </c>
      <c r="N186" s="118" t="s">
        <v>4132</v>
      </c>
      <c r="O186" s="66" t="s">
        <v>4129</v>
      </c>
      <c r="P186" s="481">
        <v>700000</v>
      </c>
    </row>
    <row r="187" spans="1:16" ht="33.75">
      <c r="A187" s="115" t="s">
        <v>4084</v>
      </c>
      <c r="B187" s="119" t="s">
        <v>4126</v>
      </c>
      <c r="C187" s="171" t="s">
        <v>1802</v>
      </c>
      <c r="D187" s="66" t="s">
        <v>4135</v>
      </c>
      <c r="E187" s="116">
        <v>1</v>
      </c>
      <c r="F187" s="116">
        <v>7.6</v>
      </c>
      <c r="G187" s="117"/>
      <c r="H187" s="139"/>
      <c r="I187" s="116">
        <v>0.17</v>
      </c>
      <c r="J187" s="66" t="s">
        <v>4134</v>
      </c>
      <c r="K187" s="487">
        <v>115000</v>
      </c>
      <c r="L187" s="116">
        <v>1</v>
      </c>
      <c r="M187" s="117" t="s">
        <v>4075</v>
      </c>
      <c r="N187" s="118" t="s">
        <v>4132</v>
      </c>
      <c r="O187" s="66" t="s">
        <v>4129</v>
      </c>
      <c r="P187" s="481">
        <v>150000</v>
      </c>
    </row>
    <row r="188" spans="1:16" ht="45">
      <c r="A188" s="115" t="s">
        <v>4084</v>
      </c>
      <c r="B188" s="119" t="s">
        <v>4126</v>
      </c>
      <c r="C188" s="171" t="s">
        <v>4136</v>
      </c>
      <c r="D188" s="66" t="s">
        <v>4137</v>
      </c>
      <c r="E188" s="116">
        <v>2</v>
      </c>
      <c r="F188" s="140">
        <v>0.3</v>
      </c>
      <c r="G188" s="117">
        <v>14000</v>
      </c>
      <c r="H188" s="139"/>
      <c r="I188" s="140">
        <v>1.46</v>
      </c>
      <c r="J188" s="66" t="s">
        <v>4138</v>
      </c>
      <c r="K188" s="487">
        <v>3600000</v>
      </c>
      <c r="L188" s="116">
        <v>1</v>
      </c>
      <c r="M188" s="117" t="s">
        <v>4075</v>
      </c>
      <c r="N188" s="118" t="s">
        <v>4139</v>
      </c>
      <c r="O188" s="66" t="s">
        <v>4129</v>
      </c>
      <c r="P188" s="481">
        <v>3800000</v>
      </c>
    </row>
    <row r="189" spans="1:16" ht="33.75">
      <c r="A189" s="115" t="s">
        <v>4084</v>
      </c>
      <c r="B189" s="119" t="s">
        <v>4126</v>
      </c>
      <c r="C189" s="171" t="s">
        <v>4140</v>
      </c>
      <c r="D189" s="66" t="s">
        <v>4141</v>
      </c>
      <c r="E189" s="116">
        <v>2</v>
      </c>
      <c r="F189" s="140">
        <v>64</v>
      </c>
      <c r="G189" s="117"/>
      <c r="H189" s="139"/>
      <c r="I189" s="116">
        <v>1.6</v>
      </c>
      <c r="J189" s="66" t="s">
        <v>4142</v>
      </c>
      <c r="K189" s="487">
        <v>3900000</v>
      </c>
      <c r="L189" s="116">
        <v>1</v>
      </c>
      <c r="M189" s="117" t="s">
        <v>4075</v>
      </c>
      <c r="N189" s="118" t="s">
        <v>4143</v>
      </c>
      <c r="O189" s="66" t="s">
        <v>4129</v>
      </c>
      <c r="P189" s="481">
        <v>4000000</v>
      </c>
    </row>
    <row r="190" spans="1:16" ht="33.75">
      <c r="A190" s="115" t="s">
        <v>4084</v>
      </c>
      <c r="B190" s="119" t="s">
        <v>4126</v>
      </c>
      <c r="C190" s="171" t="s">
        <v>1802</v>
      </c>
      <c r="D190" s="66" t="s">
        <v>4144</v>
      </c>
      <c r="E190" s="116">
        <v>1</v>
      </c>
      <c r="F190" s="116">
        <v>0.8</v>
      </c>
      <c r="G190" s="117"/>
      <c r="H190" s="139"/>
      <c r="I190" s="140">
        <v>0.1</v>
      </c>
      <c r="J190" s="66" t="s">
        <v>4145</v>
      </c>
      <c r="K190" s="487">
        <v>240000</v>
      </c>
      <c r="L190" s="116">
        <v>1</v>
      </c>
      <c r="M190" s="117" t="s">
        <v>4075</v>
      </c>
      <c r="N190" s="118" t="s">
        <v>4143</v>
      </c>
      <c r="O190" s="66" t="s">
        <v>4129</v>
      </c>
      <c r="P190" s="481">
        <v>250000</v>
      </c>
    </row>
    <row r="191" spans="1:16" ht="33.75">
      <c r="A191" s="115" t="s">
        <v>4084</v>
      </c>
      <c r="B191" s="119" t="s">
        <v>4126</v>
      </c>
      <c r="C191" s="171" t="s">
        <v>1802</v>
      </c>
      <c r="D191" s="66" t="s">
        <v>4146</v>
      </c>
      <c r="E191" s="116">
        <v>1</v>
      </c>
      <c r="F191" s="116">
        <v>1.5</v>
      </c>
      <c r="G191" s="117"/>
      <c r="H191" s="139"/>
      <c r="I191" s="116">
        <v>0.2</v>
      </c>
      <c r="J191" s="66" t="s">
        <v>4145</v>
      </c>
      <c r="K191" s="487">
        <v>750000</v>
      </c>
      <c r="L191" s="116">
        <v>1</v>
      </c>
      <c r="M191" s="117" t="s">
        <v>4075</v>
      </c>
      <c r="N191" s="118" t="s">
        <v>4143</v>
      </c>
      <c r="O191" s="66" t="s">
        <v>4129</v>
      </c>
      <c r="P191" s="481">
        <v>780000</v>
      </c>
    </row>
    <row r="192" spans="1:16" ht="33.75">
      <c r="A192" s="115" t="s">
        <v>4084</v>
      </c>
      <c r="B192" s="119" t="s">
        <v>4126</v>
      </c>
      <c r="C192" s="171" t="s">
        <v>1802</v>
      </c>
      <c r="D192" s="66" t="s">
        <v>4147</v>
      </c>
      <c r="E192" s="116">
        <v>1</v>
      </c>
      <c r="F192" s="116">
        <v>2.6</v>
      </c>
      <c r="G192" s="117"/>
      <c r="H192" s="139"/>
      <c r="I192" s="116">
        <v>0.2</v>
      </c>
      <c r="J192" s="66" t="s">
        <v>4145</v>
      </c>
      <c r="K192" s="487">
        <v>1400000</v>
      </c>
      <c r="L192" s="116">
        <v>1</v>
      </c>
      <c r="M192" s="117" t="s">
        <v>4075</v>
      </c>
      <c r="N192" s="118" t="s">
        <v>4143</v>
      </c>
      <c r="O192" s="66" t="s">
        <v>4129</v>
      </c>
      <c r="P192" s="481">
        <v>1500000</v>
      </c>
    </row>
    <row r="193" spans="1:16" ht="45">
      <c r="A193" s="115" t="s">
        <v>4084</v>
      </c>
      <c r="B193" s="119" t="s">
        <v>4126</v>
      </c>
      <c r="C193" s="171" t="s">
        <v>1802</v>
      </c>
      <c r="D193" s="66" t="s">
        <v>3947</v>
      </c>
      <c r="E193" s="116">
        <v>1</v>
      </c>
      <c r="F193" s="140">
        <v>0.82</v>
      </c>
      <c r="G193" s="117"/>
      <c r="H193" s="139"/>
      <c r="I193" s="116">
        <v>0.2</v>
      </c>
      <c r="J193" s="66" t="s">
        <v>4145</v>
      </c>
      <c r="K193" s="487">
        <v>1640000</v>
      </c>
      <c r="L193" s="116">
        <v>1</v>
      </c>
      <c r="M193" s="117" t="s">
        <v>4075</v>
      </c>
      <c r="N193" s="118" t="s">
        <v>4148</v>
      </c>
      <c r="O193" s="66" t="s">
        <v>4129</v>
      </c>
      <c r="P193" s="481">
        <v>1700000</v>
      </c>
    </row>
    <row r="194" spans="1:16" ht="90">
      <c r="A194" s="115" t="s">
        <v>4084</v>
      </c>
      <c r="B194" s="119" t="s">
        <v>4149</v>
      </c>
      <c r="C194" s="171" t="s">
        <v>4150</v>
      </c>
      <c r="D194" s="66" t="s">
        <v>4151</v>
      </c>
      <c r="E194" s="116">
        <v>1</v>
      </c>
      <c r="F194" s="140">
        <v>2</v>
      </c>
      <c r="G194" s="117"/>
      <c r="H194" s="139"/>
      <c r="I194" s="116">
        <v>0.2</v>
      </c>
      <c r="J194" s="66" t="s">
        <v>4152</v>
      </c>
      <c r="K194" s="487">
        <v>1000000</v>
      </c>
      <c r="L194" s="116">
        <v>1</v>
      </c>
      <c r="M194" s="117" t="s">
        <v>4075</v>
      </c>
      <c r="N194" s="118" t="s">
        <v>4153</v>
      </c>
      <c r="O194" s="66" t="s">
        <v>4129</v>
      </c>
      <c r="P194" s="481">
        <v>1500000</v>
      </c>
    </row>
    <row r="195" spans="1:16" ht="45">
      <c r="A195" s="115" t="s">
        <v>4084</v>
      </c>
      <c r="B195" s="119" t="s">
        <v>1879</v>
      </c>
      <c r="C195" s="171" t="s">
        <v>1879</v>
      </c>
      <c r="D195" s="66" t="s">
        <v>4151</v>
      </c>
      <c r="E195" s="116">
        <v>1</v>
      </c>
      <c r="F195" s="140">
        <v>2</v>
      </c>
      <c r="G195" s="117"/>
      <c r="H195" s="139"/>
      <c r="I195" s="116">
        <v>0.3</v>
      </c>
      <c r="J195" s="66" t="s">
        <v>4154</v>
      </c>
      <c r="K195" s="487">
        <v>3000000</v>
      </c>
      <c r="L195" s="116">
        <v>1</v>
      </c>
      <c r="M195" s="117" t="s">
        <v>4075</v>
      </c>
      <c r="N195" s="118" t="s">
        <v>4155</v>
      </c>
      <c r="O195" s="66" t="s">
        <v>4129</v>
      </c>
      <c r="P195" s="481">
        <v>3100000</v>
      </c>
    </row>
    <row r="196" spans="1:16" ht="22.5">
      <c r="A196" s="115" t="s">
        <v>4156</v>
      </c>
      <c r="B196" s="119" t="s">
        <v>3475</v>
      </c>
      <c r="C196" s="171" t="s">
        <v>2053</v>
      </c>
      <c r="D196" s="66" t="s">
        <v>4157</v>
      </c>
      <c r="E196" s="116">
        <v>15</v>
      </c>
      <c r="F196" s="140">
        <f>+(143*253)/1000</f>
        <v>36.179000000000002</v>
      </c>
      <c r="G196" s="117"/>
      <c r="H196" s="139"/>
      <c r="I196" s="134">
        <v>4.2300000000000004</v>
      </c>
      <c r="J196" s="66" t="s">
        <v>387</v>
      </c>
      <c r="K196" s="487">
        <v>14300000</v>
      </c>
      <c r="L196" s="116">
        <v>1</v>
      </c>
      <c r="M196" s="117" t="s">
        <v>4075</v>
      </c>
      <c r="N196" s="118" t="s">
        <v>4158</v>
      </c>
      <c r="O196" s="66" t="s">
        <v>3974</v>
      </c>
      <c r="P196" s="481">
        <v>14300000</v>
      </c>
    </row>
    <row r="197" spans="1:16" ht="22.5">
      <c r="A197" s="115" t="s">
        <v>4156</v>
      </c>
      <c r="B197" s="119" t="s">
        <v>3475</v>
      </c>
      <c r="C197" s="171" t="s">
        <v>1674</v>
      </c>
      <c r="D197" s="66" t="s">
        <v>4157</v>
      </c>
      <c r="E197" s="116">
        <v>2</v>
      </c>
      <c r="F197" s="140">
        <f>+(6*253)/1000</f>
        <v>1.518</v>
      </c>
      <c r="G197" s="117"/>
      <c r="H197" s="139"/>
      <c r="I197" s="134">
        <v>0.75</v>
      </c>
      <c r="J197" s="66" t="s">
        <v>387</v>
      </c>
      <c r="K197" s="487">
        <v>700000</v>
      </c>
      <c r="L197" s="116">
        <v>1</v>
      </c>
      <c r="M197" s="117" t="s">
        <v>4075</v>
      </c>
      <c r="N197" s="118" t="s">
        <v>4158</v>
      </c>
      <c r="O197" s="66" t="s">
        <v>3974</v>
      </c>
      <c r="P197" s="481">
        <v>700000</v>
      </c>
    </row>
    <row r="198" spans="1:16" ht="22.5">
      <c r="A198" s="115" t="s">
        <v>4156</v>
      </c>
      <c r="B198" s="119" t="s">
        <v>3475</v>
      </c>
      <c r="C198" s="171" t="s">
        <v>1808</v>
      </c>
      <c r="D198" s="66" t="s">
        <v>4157</v>
      </c>
      <c r="E198" s="116">
        <v>2</v>
      </c>
      <c r="F198" s="140">
        <f>+(10*253)/1000</f>
        <v>2.5299999999999998</v>
      </c>
      <c r="G198" s="117"/>
      <c r="H198" s="139"/>
      <c r="I198" s="134">
        <v>0.35</v>
      </c>
      <c r="J198" s="66" t="s">
        <v>387</v>
      </c>
      <c r="K198" s="487">
        <v>1000000</v>
      </c>
      <c r="L198" s="116">
        <v>1</v>
      </c>
      <c r="M198" s="117" t="s">
        <v>4075</v>
      </c>
      <c r="N198" s="118" t="s">
        <v>4158</v>
      </c>
      <c r="O198" s="66" t="s">
        <v>3974</v>
      </c>
      <c r="P198" s="481">
        <v>1000000</v>
      </c>
    </row>
    <row r="199" spans="1:16" ht="22.5">
      <c r="A199" s="115" t="s">
        <v>4156</v>
      </c>
      <c r="B199" s="119" t="s">
        <v>3475</v>
      </c>
      <c r="C199" s="171" t="s">
        <v>4159</v>
      </c>
      <c r="D199" s="66" t="s">
        <v>4157</v>
      </c>
      <c r="E199" s="116">
        <v>1</v>
      </c>
      <c r="F199" s="140">
        <f>+(25*253)/1000</f>
        <v>6.3250000000000002</v>
      </c>
      <c r="G199" s="117"/>
      <c r="H199" s="139"/>
      <c r="I199" s="134">
        <v>0.75</v>
      </c>
      <c r="J199" s="66" t="s">
        <v>387</v>
      </c>
      <c r="K199" s="487">
        <v>2500000</v>
      </c>
      <c r="L199" s="116">
        <v>1</v>
      </c>
      <c r="M199" s="117" t="s">
        <v>4075</v>
      </c>
      <c r="N199" s="118" t="s">
        <v>4158</v>
      </c>
      <c r="O199" s="66" t="s">
        <v>3974</v>
      </c>
      <c r="P199" s="481">
        <v>2500000</v>
      </c>
    </row>
    <row r="200" spans="1:16" ht="22.5">
      <c r="A200" s="115" t="s">
        <v>4156</v>
      </c>
      <c r="B200" s="119" t="s">
        <v>3494</v>
      </c>
      <c r="C200" s="171" t="s">
        <v>4160</v>
      </c>
      <c r="D200" s="66" t="s">
        <v>4157</v>
      </c>
      <c r="E200" s="116">
        <v>3</v>
      </c>
      <c r="F200" s="140">
        <f>+(19*253)/1000</f>
        <v>4.8070000000000004</v>
      </c>
      <c r="G200" s="117"/>
      <c r="H200" s="139"/>
      <c r="I200" s="134">
        <v>1.25</v>
      </c>
      <c r="J200" s="66" t="s">
        <v>387</v>
      </c>
      <c r="K200" s="487">
        <v>1900000</v>
      </c>
      <c r="L200" s="116">
        <v>1</v>
      </c>
      <c r="M200" s="117" t="s">
        <v>4075</v>
      </c>
      <c r="N200" s="118" t="s">
        <v>4158</v>
      </c>
      <c r="O200" s="66" t="s">
        <v>3974</v>
      </c>
      <c r="P200" s="481">
        <v>1100000</v>
      </c>
    </row>
    <row r="201" spans="1:16" ht="22.5">
      <c r="A201" s="115" t="s">
        <v>4156</v>
      </c>
      <c r="B201" s="119" t="s">
        <v>3475</v>
      </c>
      <c r="C201" s="171" t="s">
        <v>4161</v>
      </c>
      <c r="D201" s="66" t="s">
        <v>4157</v>
      </c>
      <c r="E201" s="116">
        <v>1</v>
      </c>
      <c r="F201" s="140">
        <f>+(20*253)/1000</f>
        <v>5.0599999999999996</v>
      </c>
      <c r="G201" s="117"/>
      <c r="H201" s="139"/>
      <c r="I201" s="116">
        <v>0.5</v>
      </c>
      <c r="J201" s="66" t="s">
        <v>387</v>
      </c>
      <c r="K201" s="487">
        <v>1900000</v>
      </c>
      <c r="L201" s="116">
        <v>1</v>
      </c>
      <c r="M201" s="117" t="s">
        <v>4075</v>
      </c>
      <c r="N201" s="118" t="s">
        <v>4158</v>
      </c>
      <c r="O201" s="66" t="s">
        <v>3974</v>
      </c>
      <c r="P201" s="481">
        <v>1900000</v>
      </c>
    </row>
    <row r="202" spans="1:16" ht="22.5">
      <c r="A202" s="115" t="s">
        <v>4156</v>
      </c>
      <c r="B202" s="119" t="s">
        <v>3475</v>
      </c>
      <c r="C202" s="171" t="s">
        <v>3946</v>
      </c>
      <c r="D202" s="66" t="s">
        <v>4157</v>
      </c>
      <c r="E202" s="116">
        <v>2</v>
      </c>
      <c r="F202" s="140">
        <f>+(42*253)/1000</f>
        <v>10.625999999999999</v>
      </c>
      <c r="G202" s="117"/>
      <c r="H202" s="139"/>
      <c r="I202" s="116">
        <v>1.1000000000000001</v>
      </c>
      <c r="J202" s="66" t="s">
        <v>387</v>
      </c>
      <c r="K202" s="487">
        <v>4200000</v>
      </c>
      <c r="L202" s="116">
        <v>1</v>
      </c>
      <c r="M202" s="117" t="s">
        <v>4075</v>
      </c>
      <c r="N202" s="118" t="s">
        <v>4162</v>
      </c>
      <c r="O202" s="66" t="s">
        <v>3974</v>
      </c>
      <c r="P202" s="481">
        <v>4200000</v>
      </c>
    </row>
    <row r="203" spans="1:16" ht="22.5">
      <c r="A203" s="115" t="s">
        <v>4156</v>
      </c>
      <c r="B203" s="119" t="s">
        <v>3475</v>
      </c>
      <c r="C203" s="171" t="s">
        <v>4163</v>
      </c>
      <c r="D203" s="66" t="s">
        <v>4157</v>
      </c>
      <c r="E203" s="116">
        <v>1</v>
      </c>
      <c r="F203" s="140">
        <f>+(3*253)/1000</f>
        <v>0.75900000000000001</v>
      </c>
      <c r="G203" s="117"/>
      <c r="H203" s="139"/>
      <c r="I203" s="134">
        <v>0.15</v>
      </c>
      <c r="J203" s="66" t="s">
        <v>387</v>
      </c>
      <c r="K203" s="487">
        <v>300000</v>
      </c>
      <c r="L203" s="116">
        <v>1</v>
      </c>
      <c r="M203" s="117" t="s">
        <v>4075</v>
      </c>
      <c r="N203" s="118" t="s">
        <v>4162</v>
      </c>
      <c r="O203" s="66" t="s">
        <v>3974</v>
      </c>
      <c r="P203" s="481">
        <v>300000</v>
      </c>
    </row>
    <row r="204" spans="1:16" ht="22.5">
      <c r="A204" s="115" t="s">
        <v>4156</v>
      </c>
      <c r="B204" s="119" t="s">
        <v>3494</v>
      </c>
      <c r="C204" s="171" t="s">
        <v>4164</v>
      </c>
      <c r="D204" s="66" t="s">
        <v>4165</v>
      </c>
      <c r="E204" s="116">
        <v>1</v>
      </c>
      <c r="F204" s="140" t="s">
        <v>4166</v>
      </c>
      <c r="G204" s="117"/>
      <c r="H204" s="139" t="s">
        <v>4167</v>
      </c>
      <c r="I204" s="134">
        <v>1</v>
      </c>
      <c r="J204" s="66" t="s">
        <v>4168</v>
      </c>
      <c r="K204" s="487">
        <v>750000</v>
      </c>
      <c r="L204" s="116">
        <v>1</v>
      </c>
      <c r="M204" s="117" t="s">
        <v>4169</v>
      </c>
      <c r="N204" s="118" t="s">
        <v>4170</v>
      </c>
      <c r="O204" s="66">
        <v>1</v>
      </c>
      <c r="P204" s="481">
        <v>750000</v>
      </c>
    </row>
    <row r="205" spans="1:16">
      <c r="A205" s="115" t="s">
        <v>4156</v>
      </c>
      <c r="B205" s="119" t="s">
        <v>3494</v>
      </c>
      <c r="C205" s="171" t="s">
        <v>4160</v>
      </c>
      <c r="D205" s="66" t="s">
        <v>4165</v>
      </c>
      <c r="E205" s="116">
        <v>1</v>
      </c>
      <c r="F205" s="140" t="s">
        <v>4171</v>
      </c>
      <c r="G205" s="117"/>
      <c r="H205" s="139" t="s">
        <v>4172</v>
      </c>
      <c r="I205" s="134">
        <v>0.01</v>
      </c>
      <c r="J205" s="66" t="s">
        <v>387</v>
      </c>
      <c r="K205" s="487">
        <v>400000</v>
      </c>
      <c r="L205" s="116">
        <v>1</v>
      </c>
      <c r="M205" s="117" t="s">
        <v>4169</v>
      </c>
      <c r="N205" s="118" t="s">
        <v>4170</v>
      </c>
      <c r="O205" s="66">
        <v>1</v>
      </c>
      <c r="P205" s="481">
        <v>400000</v>
      </c>
    </row>
    <row r="206" spans="1:16" ht="22.5">
      <c r="A206" s="115" t="s">
        <v>4156</v>
      </c>
      <c r="B206" s="119" t="s">
        <v>3494</v>
      </c>
      <c r="C206" s="171" t="s">
        <v>2053</v>
      </c>
      <c r="D206" s="66" t="s">
        <v>4165</v>
      </c>
      <c r="E206" s="116">
        <v>1</v>
      </c>
      <c r="F206" s="140" t="s">
        <v>4173</v>
      </c>
      <c r="G206" s="117"/>
      <c r="H206" s="139" t="s">
        <v>4174</v>
      </c>
      <c r="I206" s="134">
        <v>0.5</v>
      </c>
      <c r="J206" s="66" t="s">
        <v>4175</v>
      </c>
      <c r="K206" s="487">
        <v>5000000</v>
      </c>
      <c r="L206" s="116">
        <v>1</v>
      </c>
      <c r="M206" s="117" t="s">
        <v>4169</v>
      </c>
      <c r="N206" s="118" t="s">
        <v>4170</v>
      </c>
      <c r="O206" s="66">
        <v>1</v>
      </c>
      <c r="P206" s="481">
        <v>5000000</v>
      </c>
    </row>
    <row r="207" spans="1:16">
      <c r="A207" s="115" t="s">
        <v>4156</v>
      </c>
      <c r="B207" s="119" t="s">
        <v>3494</v>
      </c>
      <c r="C207" s="171" t="s">
        <v>4176</v>
      </c>
      <c r="D207" s="66" t="s">
        <v>4165</v>
      </c>
      <c r="E207" s="116">
        <v>1</v>
      </c>
      <c r="F207" s="140" t="s">
        <v>4177</v>
      </c>
      <c r="G207" s="117"/>
      <c r="H207" s="139" t="s">
        <v>4178</v>
      </c>
      <c r="I207" s="134">
        <v>0.05</v>
      </c>
      <c r="J207" s="66" t="s">
        <v>387</v>
      </c>
      <c r="K207" s="487">
        <v>700000</v>
      </c>
      <c r="L207" s="116">
        <v>1</v>
      </c>
      <c r="M207" s="117" t="s">
        <v>4169</v>
      </c>
      <c r="N207" s="118" t="s">
        <v>4170</v>
      </c>
      <c r="O207" s="66">
        <v>1</v>
      </c>
      <c r="P207" s="481">
        <v>700000</v>
      </c>
    </row>
    <row r="208" spans="1:16" ht="22.5">
      <c r="A208" s="115" t="s">
        <v>4156</v>
      </c>
      <c r="B208" s="119" t="s">
        <v>3475</v>
      </c>
      <c r="C208" s="171" t="s">
        <v>4163</v>
      </c>
      <c r="D208" s="66" t="s">
        <v>4165</v>
      </c>
      <c r="E208" s="116">
        <v>1</v>
      </c>
      <c r="F208" s="140" t="s">
        <v>4179</v>
      </c>
      <c r="G208" s="117"/>
      <c r="H208" s="139" t="s">
        <v>4180</v>
      </c>
      <c r="I208" s="134">
        <v>2</v>
      </c>
      <c r="J208" s="66" t="s">
        <v>4168</v>
      </c>
      <c r="K208" s="487">
        <v>3000000</v>
      </c>
      <c r="L208" s="116">
        <v>1</v>
      </c>
      <c r="M208" s="117" t="s">
        <v>4169</v>
      </c>
      <c r="N208" s="118" t="s">
        <v>4170</v>
      </c>
      <c r="O208" s="66">
        <v>1</v>
      </c>
      <c r="P208" s="481">
        <v>3000000</v>
      </c>
    </row>
    <row r="209" spans="1:16" ht="22.5">
      <c r="A209" s="115" t="s">
        <v>4156</v>
      </c>
      <c r="B209" s="119" t="s">
        <v>3475</v>
      </c>
      <c r="C209" s="171" t="s">
        <v>1808</v>
      </c>
      <c r="D209" s="66" t="s">
        <v>4165</v>
      </c>
      <c r="E209" s="116">
        <v>1</v>
      </c>
      <c r="F209" s="140" t="s">
        <v>4181</v>
      </c>
      <c r="G209" s="117"/>
      <c r="H209" s="139" t="s">
        <v>4180</v>
      </c>
      <c r="I209" s="134">
        <v>0.25</v>
      </c>
      <c r="J209" s="66" t="s">
        <v>4168</v>
      </c>
      <c r="K209" s="487">
        <v>500000</v>
      </c>
      <c r="L209" s="116">
        <v>1</v>
      </c>
      <c r="M209" s="117" t="s">
        <v>4169</v>
      </c>
      <c r="N209" s="118" t="s">
        <v>4170</v>
      </c>
      <c r="O209" s="66">
        <v>1</v>
      </c>
      <c r="P209" s="481">
        <v>500000</v>
      </c>
    </row>
    <row r="210" spans="1:16" ht="22.5">
      <c r="A210" s="115" t="s">
        <v>4156</v>
      </c>
      <c r="B210" s="119" t="s">
        <v>3494</v>
      </c>
      <c r="C210" s="171" t="s">
        <v>2053</v>
      </c>
      <c r="D210" s="66" t="s">
        <v>4182</v>
      </c>
      <c r="E210" s="116">
        <v>2</v>
      </c>
      <c r="F210" s="140" t="s">
        <v>4171</v>
      </c>
      <c r="G210" s="117"/>
      <c r="H210" s="139" t="s">
        <v>4183</v>
      </c>
      <c r="I210" s="134">
        <v>0.73</v>
      </c>
      <c r="J210" s="66" t="s">
        <v>4168</v>
      </c>
      <c r="K210" s="487">
        <v>3500000</v>
      </c>
      <c r="L210" s="116">
        <v>1</v>
      </c>
      <c r="M210" s="117" t="s">
        <v>4169</v>
      </c>
      <c r="N210" s="118" t="s">
        <v>4170</v>
      </c>
      <c r="O210" s="66">
        <v>1</v>
      </c>
      <c r="P210" s="481">
        <v>3500000</v>
      </c>
    </row>
    <row r="211" spans="1:16" ht="22.5">
      <c r="A211" s="115" t="s">
        <v>4156</v>
      </c>
      <c r="B211" s="119" t="s">
        <v>3494</v>
      </c>
      <c r="C211" s="171" t="s">
        <v>4160</v>
      </c>
      <c r="D211" s="66" t="s">
        <v>4184</v>
      </c>
      <c r="E211" s="116">
        <v>3</v>
      </c>
      <c r="F211" s="140" t="s">
        <v>4185</v>
      </c>
      <c r="G211" s="117"/>
      <c r="H211" s="139" t="s">
        <v>4186</v>
      </c>
      <c r="I211" s="134">
        <v>2.2999999999999998</v>
      </c>
      <c r="J211" s="66" t="s">
        <v>4168</v>
      </c>
      <c r="K211" s="487">
        <v>1500000</v>
      </c>
      <c r="L211" s="116">
        <v>1</v>
      </c>
      <c r="M211" s="117" t="s">
        <v>4169</v>
      </c>
      <c r="N211" s="118" t="s">
        <v>4170</v>
      </c>
      <c r="O211" s="66">
        <v>1</v>
      </c>
      <c r="P211" s="481">
        <v>1500000</v>
      </c>
    </row>
    <row r="212" spans="1:16" ht="22.5">
      <c r="A212" s="115" t="s">
        <v>4156</v>
      </c>
      <c r="B212" s="119" t="s">
        <v>3494</v>
      </c>
      <c r="C212" s="171" t="s">
        <v>2053</v>
      </c>
      <c r="D212" s="66" t="s">
        <v>4184</v>
      </c>
      <c r="E212" s="116">
        <v>2</v>
      </c>
      <c r="F212" s="140" t="s">
        <v>4179</v>
      </c>
      <c r="G212" s="117"/>
      <c r="H212" s="139" t="s">
        <v>4186</v>
      </c>
      <c r="I212" s="134">
        <v>11</v>
      </c>
      <c r="J212" s="66" t="s">
        <v>4168</v>
      </c>
      <c r="K212" s="487">
        <v>4800000</v>
      </c>
      <c r="L212" s="116">
        <v>1</v>
      </c>
      <c r="M212" s="117" t="s">
        <v>4169</v>
      </c>
      <c r="N212" s="118" t="s">
        <v>4170</v>
      </c>
      <c r="O212" s="66">
        <v>1</v>
      </c>
      <c r="P212" s="481">
        <v>4800000</v>
      </c>
    </row>
    <row r="213" spans="1:16">
      <c r="A213" s="115" t="s">
        <v>4156</v>
      </c>
      <c r="B213" s="119" t="s">
        <v>3494</v>
      </c>
      <c r="C213" s="171" t="s">
        <v>2053</v>
      </c>
      <c r="D213" s="66" t="s">
        <v>4187</v>
      </c>
      <c r="E213" s="116">
        <v>1</v>
      </c>
      <c r="F213" s="140" t="s">
        <v>4188</v>
      </c>
      <c r="G213" s="117"/>
      <c r="H213" s="139" t="s">
        <v>4189</v>
      </c>
      <c r="I213" s="134">
        <v>0.2</v>
      </c>
      <c r="J213" s="66" t="s">
        <v>4190</v>
      </c>
      <c r="K213" s="487">
        <v>3000000</v>
      </c>
      <c r="L213" s="116">
        <v>1</v>
      </c>
      <c r="M213" s="117" t="s">
        <v>4169</v>
      </c>
      <c r="N213" s="118" t="s">
        <v>4170</v>
      </c>
      <c r="O213" s="66">
        <v>1</v>
      </c>
      <c r="P213" s="481">
        <v>3000000</v>
      </c>
    </row>
    <row r="214" spans="1:16" ht="22.5">
      <c r="A214" s="115" t="s">
        <v>4156</v>
      </c>
      <c r="B214" s="119" t="s">
        <v>3494</v>
      </c>
      <c r="C214" s="171" t="s">
        <v>4176</v>
      </c>
      <c r="D214" s="66" t="s">
        <v>4044</v>
      </c>
      <c r="E214" s="116">
        <v>1</v>
      </c>
      <c r="F214" s="140" t="s">
        <v>4191</v>
      </c>
      <c r="G214" s="117"/>
      <c r="H214" s="139" t="s">
        <v>4192</v>
      </c>
      <c r="I214" s="134">
        <v>5.5</v>
      </c>
      <c r="J214" s="66" t="s">
        <v>4168</v>
      </c>
      <c r="K214" s="487">
        <v>10000000</v>
      </c>
      <c r="L214" s="116">
        <v>1</v>
      </c>
      <c r="M214" s="117" t="s">
        <v>4169</v>
      </c>
      <c r="N214" s="118" t="s">
        <v>4170</v>
      </c>
      <c r="O214" s="66">
        <v>1</v>
      </c>
      <c r="P214" s="481">
        <v>10000000</v>
      </c>
    </row>
    <row r="215" spans="1:16" ht="45">
      <c r="A215" s="115" t="s">
        <v>4156</v>
      </c>
      <c r="B215" s="119" t="s">
        <v>3494</v>
      </c>
      <c r="C215" s="171" t="s">
        <v>4176</v>
      </c>
      <c r="D215" s="66" t="s">
        <v>4193</v>
      </c>
      <c r="E215" s="116">
        <v>3</v>
      </c>
      <c r="F215" s="140"/>
      <c r="G215" s="117"/>
      <c r="H215" s="139"/>
      <c r="I215" s="134">
        <v>3.03</v>
      </c>
      <c r="J215" s="66" t="s">
        <v>4194</v>
      </c>
      <c r="K215" s="487">
        <v>7250000</v>
      </c>
      <c r="L215" s="116">
        <v>1</v>
      </c>
      <c r="M215" s="117" t="s">
        <v>4169</v>
      </c>
      <c r="N215" s="118" t="s">
        <v>4170</v>
      </c>
      <c r="O215" s="66">
        <v>1</v>
      </c>
      <c r="P215" s="481">
        <v>7250000</v>
      </c>
    </row>
    <row r="216" spans="1:16">
      <c r="A216" s="115" t="s">
        <v>4156</v>
      </c>
      <c r="B216" s="119" t="s">
        <v>3494</v>
      </c>
      <c r="C216" s="171" t="s">
        <v>4176</v>
      </c>
      <c r="D216" s="66" t="s">
        <v>4182</v>
      </c>
      <c r="E216" s="116">
        <v>1</v>
      </c>
      <c r="F216" s="140" t="s">
        <v>4171</v>
      </c>
      <c r="G216" s="117"/>
      <c r="H216" s="139" t="s">
        <v>4192</v>
      </c>
      <c r="I216" s="140">
        <v>0.5</v>
      </c>
      <c r="J216" s="66" t="s">
        <v>4195</v>
      </c>
      <c r="K216" s="487">
        <v>600000</v>
      </c>
      <c r="L216" s="116">
        <v>1</v>
      </c>
      <c r="M216" s="117" t="s">
        <v>4169</v>
      </c>
      <c r="N216" s="118" t="s">
        <v>4170</v>
      </c>
      <c r="O216" s="66">
        <v>1</v>
      </c>
      <c r="P216" s="481">
        <v>6000000</v>
      </c>
    </row>
    <row r="217" spans="1:16">
      <c r="A217" s="115" t="s">
        <v>4156</v>
      </c>
      <c r="B217" s="119" t="s">
        <v>4196</v>
      </c>
      <c r="C217" s="171" t="s">
        <v>2053</v>
      </c>
      <c r="D217" s="66" t="s">
        <v>4184</v>
      </c>
      <c r="E217" s="116">
        <v>1</v>
      </c>
      <c r="F217" s="140" t="s">
        <v>4181</v>
      </c>
      <c r="G217" s="117"/>
      <c r="H217" s="139" t="s">
        <v>4192</v>
      </c>
      <c r="I217" s="140">
        <v>1.5</v>
      </c>
      <c r="J217" s="66" t="s">
        <v>4195</v>
      </c>
      <c r="K217" s="487">
        <v>500000</v>
      </c>
      <c r="L217" s="116">
        <v>1</v>
      </c>
      <c r="M217" s="117" t="s">
        <v>4169</v>
      </c>
      <c r="N217" s="118" t="s">
        <v>4170</v>
      </c>
      <c r="O217" s="66">
        <v>1</v>
      </c>
      <c r="P217" s="481">
        <v>500000</v>
      </c>
    </row>
    <row r="218" spans="1:16">
      <c r="A218" s="115" t="s">
        <v>4197</v>
      </c>
      <c r="B218" s="119" t="s">
        <v>19</v>
      </c>
      <c r="C218" s="171" t="s">
        <v>4198</v>
      </c>
      <c r="D218" s="66" t="s">
        <v>4199</v>
      </c>
      <c r="E218" s="116">
        <v>2</v>
      </c>
      <c r="F218" s="140"/>
      <c r="G218" s="117">
        <v>9.5000000000000001E-2</v>
      </c>
      <c r="H218" s="139" t="s">
        <v>4200</v>
      </c>
      <c r="I218" s="140">
        <v>9.5000000000000001E-2</v>
      </c>
      <c r="J218" s="66" t="s">
        <v>4138</v>
      </c>
      <c r="K218" s="487">
        <v>760000</v>
      </c>
      <c r="L218" s="116">
        <v>1</v>
      </c>
      <c r="M218" s="117" t="s">
        <v>4075</v>
      </c>
      <c r="N218" s="118" t="s">
        <v>4170</v>
      </c>
      <c r="O218" s="66" t="s">
        <v>3974</v>
      </c>
      <c r="P218" s="481">
        <v>760000</v>
      </c>
    </row>
    <row r="219" spans="1:16">
      <c r="A219" s="115" t="s">
        <v>4197</v>
      </c>
      <c r="B219" s="119" t="s">
        <v>19</v>
      </c>
      <c r="C219" s="171" t="s">
        <v>4198</v>
      </c>
      <c r="D219" s="66" t="s">
        <v>4044</v>
      </c>
      <c r="E219" s="116">
        <v>1</v>
      </c>
      <c r="F219" s="140" t="s">
        <v>4201</v>
      </c>
      <c r="G219" s="117"/>
      <c r="H219" s="139" t="s">
        <v>4200</v>
      </c>
      <c r="I219" s="140">
        <v>0.08</v>
      </c>
      <c r="J219" s="66" t="s">
        <v>4138</v>
      </c>
      <c r="K219" s="487">
        <v>2200000</v>
      </c>
      <c r="L219" s="116">
        <v>1</v>
      </c>
      <c r="M219" s="117" t="s">
        <v>4075</v>
      </c>
      <c r="N219" s="118" t="s">
        <v>4170</v>
      </c>
      <c r="O219" s="66" t="s">
        <v>3974</v>
      </c>
      <c r="P219" s="481">
        <v>2200000</v>
      </c>
    </row>
    <row r="220" spans="1:16">
      <c r="A220" s="115" t="s">
        <v>4197</v>
      </c>
      <c r="B220" s="119" t="s">
        <v>19</v>
      </c>
      <c r="C220" s="171" t="s">
        <v>4202</v>
      </c>
      <c r="D220" s="66" t="s">
        <v>4184</v>
      </c>
      <c r="E220" s="116">
        <v>2</v>
      </c>
      <c r="F220" s="140" t="s">
        <v>4171</v>
      </c>
      <c r="G220" s="117"/>
      <c r="H220" s="139" t="s">
        <v>4200</v>
      </c>
      <c r="I220" s="140">
        <v>2.5</v>
      </c>
      <c r="J220" s="66" t="s">
        <v>4138</v>
      </c>
      <c r="K220" s="487">
        <v>400000</v>
      </c>
      <c r="L220" s="116">
        <v>1</v>
      </c>
      <c r="M220" s="117" t="s">
        <v>4075</v>
      </c>
      <c r="N220" s="118" t="s">
        <v>4170</v>
      </c>
      <c r="O220" s="66" t="s">
        <v>3974</v>
      </c>
      <c r="P220" s="481">
        <v>400000</v>
      </c>
    </row>
    <row r="221" spans="1:16" ht="56.25">
      <c r="A221" s="115" t="s">
        <v>1230</v>
      </c>
      <c r="B221" s="119" t="s">
        <v>4203</v>
      </c>
      <c r="C221" s="171" t="s">
        <v>4204</v>
      </c>
      <c r="D221" s="66" t="s">
        <v>4111</v>
      </c>
      <c r="E221" s="116">
        <v>3</v>
      </c>
      <c r="F221" s="116">
        <v>65</v>
      </c>
      <c r="G221" s="141" t="s">
        <v>4205</v>
      </c>
      <c r="H221" s="139"/>
      <c r="I221" s="140">
        <v>0.8</v>
      </c>
      <c r="J221" s="66" t="s">
        <v>4206</v>
      </c>
      <c r="K221" s="487">
        <v>1200000</v>
      </c>
      <c r="L221" s="116">
        <v>1</v>
      </c>
      <c r="M221" s="117" t="s">
        <v>4075</v>
      </c>
      <c r="N221" s="118" t="s">
        <v>4207</v>
      </c>
      <c r="O221" s="66" t="s">
        <v>3974</v>
      </c>
      <c r="P221" s="481">
        <v>1200000</v>
      </c>
    </row>
    <row r="222" spans="1:16" ht="45">
      <c r="A222" s="115" t="s">
        <v>1230</v>
      </c>
      <c r="B222" s="119" t="s">
        <v>4208</v>
      </c>
      <c r="C222" s="171" t="s">
        <v>4209</v>
      </c>
      <c r="D222" s="66" t="s">
        <v>4111</v>
      </c>
      <c r="E222" s="116">
        <v>1</v>
      </c>
      <c r="F222" s="116">
        <v>55</v>
      </c>
      <c r="G222" s="141" t="s">
        <v>4205</v>
      </c>
      <c r="H222" s="139"/>
      <c r="I222" s="140">
        <v>1</v>
      </c>
      <c r="J222" s="66" t="s">
        <v>4210</v>
      </c>
      <c r="K222" s="487">
        <v>180000</v>
      </c>
      <c r="L222" s="116">
        <v>1</v>
      </c>
      <c r="M222" s="117" t="s">
        <v>4075</v>
      </c>
      <c r="N222" s="118" t="s">
        <v>4207</v>
      </c>
      <c r="O222" s="66" t="s">
        <v>4211</v>
      </c>
      <c r="P222" s="481">
        <v>180000</v>
      </c>
    </row>
    <row r="223" spans="1:16" ht="45">
      <c r="A223" s="115" t="s">
        <v>1230</v>
      </c>
      <c r="B223" s="119" t="s">
        <v>4203</v>
      </c>
      <c r="C223" s="171" t="s">
        <v>4204</v>
      </c>
      <c r="D223" s="66" t="s">
        <v>4212</v>
      </c>
      <c r="E223" s="116">
        <v>2</v>
      </c>
      <c r="F223" s="116">
        <v>1.3</v>
      </c>
      <c r="G223" s="141" t="s">
        <v>4205</v>
      </c>
      <c r="H223" s="139"/>
      <c r="I223" s="140">
        <v>0.5</v>
      </c>
      <c r="J223" s="66" t="s">
        <v>4213</v>
      </c>
      <c r="K223" s="487">
        <v>450000</v>
      </c>
      <c r="L223" s="116">
        <v>1</v>
      </c>
      <c r="M223" s="117" t="s">
        <v>4075</v>
      </c>
      <c r="N223" s="118" t="s">
        <v>4207</v>
      </c>
      <c r="O223" s="66" t="s">
        <v>3974</v>
      </c>
      <c r="P223" s="481">
        <v>450000</v>
      </c>
    </row>
    <row r="224" spans="1:16" ht="56.25">
      <c r="A224" s="115" t="s">
        <v>1230</v>
      </c>
      <c r="B224" s="119" t="s">
        <v>4208</v>
      </c>
      <c r="C224" s="171" t="s">
        <v>4209</v>
      </c>
      <c r="D224" s="66" t="s">
        <v>4214</v>
      </c>
      <c r="E224" s="116">
        <v>1</v>
      </c>
      <c r="F224" s="116">
        <v>15</v>
      </c>
      <c r="G224" s="141" t="s">
        <v>4205</v>
      </c>
      <c r="H224" s="139"/>
      <c r="I224" s="140">
        <v>0.5</v>
      </c>
      <c r="J224" s="66" t="s">
        <v>4215</v>
      </c>
      <c r="K224" s="487">
        <v>583000</v>
      </c>
      <c r="L224" s="116">
        <v>1</v>
      </c>
      <c r="M224" s="117" t="s">
        <v>4075</v>
      </c>
      <c r="N224" s="118" t="s">
        <v>4216</v>
      </c>
      <c r="O224" s="66" t="s">
        <v>4211</v>
      </c>
      <c r="P224" s="481">
        <v>583000</v>
      </c>
    </row>
    <row r="225" spans="1:16" ht="56.25">
      <c r="A225" s="115" t="s">
        <v>1230</v>
      </c>
      <c r="B225" s="119" t="s">
        <v>1230</v>
      </c>
      <c r="C225" s="171" t="s">
        <v>4217</v>
      </c>
      <c r="D225" s="66" t="s">
        <v>4218</v>
      </c>
      <c r="E225" s="116">
        <v>1</v>
      </c>
      <c r="F225" s="116">
        <v>15</v>
      </c>
      <c r="G225" s="141" t="s">
        <v>4205</v>
      </c>
      <c r="H225" s="139"/>
      <c r="I225" s="140">
        <v>0.2</v>
      </c>
      <c r="J225" s="66" t="s">
        <v>4219</v>
      </c>
      <c r="K225" s="487">
        <v>207000</v>
      </c>
      <c r="L225" s="116">
        <v>1</v>
      </c>
      <c r="M225" s="117" t="s">
        <v>4075</v>
      </c>
      <c r="N225" s="118" t="s">
        <v>4216</v>
      </c>
      <c r="O225" s="66" t="s">
        <v>4211</v>
      </c>
      <c r="P225" s="481">
        <v>207000</v>
      </c>
    </row>
    <row r="226" spans="1:16" ht="45">
      <c r="A226" s="115" t="s">
        <v>1230</v>
      </c>
      <c r="B226" s="119" t="s">
        <v>1230</v>
      </c>
      <c r="C226" s="171" t="s">
        <v>4217</v>
      </c>
      <c r="D226" s="66" t="s">
        <v>3897</v>
      </c>
      <c r="E226" s="116">
        <v>1</v>
      </c>
      <c r="F226" s="116">
        <v>20</v>
      </c>
      <c r="G226" s="141" t="s">
        <v>4205</v>
      </c>
      <c r="H226" s="139"/>
      <c r="I226" s="140">
        <v>0.2</v>
      </c>
      <c r="J226" s="66" t="s">
        <v>4210</v>
      </c>
      <c r="K226" s="487">
        <v>207000</v>
      </c>
      <c r="L226" s="116">
        <v>1</v>
      </c>
      <c r="M226" s="117" t="s">
        <v>4075</v>
      </c>
      <c r="N226" s="118" t="s">
        <v>4216</v>
      </c>
      <c r="O226" s="66" t="s">
        <v>3974</v>
      </c>
      <c r="P226" s="481">
        <v>207000</v>
      </c>
    </row>
    <row r="227" spans="1:16" ht="45">
      <c r="A227" s="115" t="s">
        <v>1230</v>
      </c>
      <c r="B227" s="119" t="s">
        <v>4208</v>
      </c>
      <c r="C227" s="171" t="s">
        <v>4209</v>
      </c>
      <c r="D227" s="66" t="s">
        <v>4220</v>
      </c>
      <c r="E227" s="116">
        <v>1</v>
      </c>
      <c r="F227" s="116">
        <v>1.3</v>
      </c>
      <c r="G227" s="141" t="s">
        <v>4205</v>
      </c>
      <c r="H227" s="139"/>
      <c r="I227" s="140">
        <v>0.12</v>
      </c>
      <c r="J227" s="66" t="s">
        <v>4210</v>
      </c>
      <c r="K227" s="487">
        <v>150000</v>
      </c>
      <c r="L227" s="116">
        <v>1</v>
      </c>
      <c r="M227" s="117" t="s">
        <v>4075</v>
      </c>
      <c r="N227" s="118" t="s">
        <v>4207</v>
      </c>
      <c r="O227" s="66" t="s">
        <v>4211</v>
      </c>
      <c r="P227" s="481">
        <v>150000</v>
      </c>
    </row>
    <row r="228" spans="1:16" ht="45">
      <c r="A228" s="115" t="s">
        <v>1230</v>
      </c>
      <c r="B228" s="119" t="s">
        <v>4208</v>
      </c>
      <c r="C228" s="171" t="s">
        <v>4209</v>
      </c>
      <c r="D228" s="66" t="s">
        <v>4221</v>
      </c>
      <c r="E228" s="116">
        <v>1</v>
      </c>
      <c r="F228" s="116">
        <v>4</v>
      </c>
      <c r="G228" s="141" t="s">
        <v>4205</v>
      </c>
      <c r="H228" s="139"/>
      <c r="I228" s="140">
        <v>0.25</v>
      </c>
      <c r="J228" s="66" t="s">
        <v>4210</v>
      </c>
      <c r="K228" s="487">
        <v>350000</v>
      </c>
      <c r="L228" s="116">
        <v>1</v>
      </c>
      <c r="M228" s="117" t="s">
        <v>4075</v>
      </c>
      <c r="N228" s="118" t="s">
        <v>4207</v>
      </c>
      <c r="O228" s="66" t="s">
        <v>3974</v>
      </c>
      <c r="P228" s="481">
        <v>350000</v>
      </c>
    </row>
    <row r="229" spans="1:16" ht="56.25">
      <c r="A229" s="115" t="s">
        <v>1230</v>
      </c>
      <c r="B229" s="119" t="s">
        <v>1230</v>
      </c>
      <c r="C229" s="171" t="s">
        <v>4222</v>
      </c>
      <c r="D229" s="66" t="s">
        <v>4223</v>
      </c>
      <c r="E229" s="116">
        <v>1</v>
      </c>
      <c r="F229" s="116">
        <v>26</v>
      </c>
      <c r="G229" s="141" t="s">
        <v>4205</v>
      </c>
      <c r="H229" s="139"/>
      <c r="I229" s="140" t="s">
        <v>4224</v>
      </c>
      <c r="J229" s="66" t="s">
        <v>4225</v>
      </c>
      <c r="K229" s="487">
        <v>1520000</v>
      </c>
      <c r="L229" s="116">
        <v>1</v>
      </c>
      <c r="M229" s="117" t="s">
        <v>4075</v>
      </c>
      <c r="N229" s="118" t="s">
        <v>4207</v>
      </c>
      <c r="O229" s="66" t="s">
        <v>4211</v>
      </c>
      <c r="P229" s="481">
        <v>1520000</v>
      </c>
    </row>
    <row r="230" spans="1:16" ht="33.75">
      <c r="A230" s="115" t="s">
        <v>1230</v>
      </c>
      <c r="B230" s="119" t="s">
        <v>1230</v>
      </c>
      <c r="C230" s="171" t="s">
        <v>4226</v>
      </c>
      <c r="D230" s="66" t="s">
        <v>4005</v>
      </c>
      <c r="E230" s="116">
        <v>1</v>
      </c>
      <c r="F230" s="116"/>
      <c r="G230" s="141" t="s">
        <v>4205</v>
      </c>
      <c r="H230" s="139"/>
      <c r="I230" s="140">
        <v>0.1</v>
      </c>
      <c r="J230" s="66" t="s">
        <v>4227</v>
      </c>
      <c r="K230" s="487">
        <v>60000</v>
      </c>
      <c r="L230" s="116">
        <v>1</v>
      </c>
      <c r="M230" s="117" t="s">
        <v>4075</v>
      </c>
      <c r="N230" s="118" t="s">
        <v>4207</v>
      </c>
      <c r="O230" s="66" t="s">
        <v>3974</v>
      </c>
      <c r="P230" s="481">
        <v>60000</v>
      </c>
    </row>
    <row r="231" spans="1:16" ht="33.75">
      <c r="A231" s="115" t="s">
        <v>1230</v>
      </c>
      <c r="B231" s="119" t="s">
        <v>1230</v>
      </c>
      <c r="C231" s="171" t="s">
        <v>4226</v>
      </c>
      <c r="D231" s="66" t="s">
        <v>4228</v>
      </c>
      <c r="E231" s="116">
        <v>1</v>
      </c>
      <c r="F231" s="116"/>
      <c r="G231" s="141" t="s">
        <v>4205</v>
      </c>
      <c r="H231" s="139"/>
      <c r="I231" s="140">
        <v>0.1</v>
      </c>
      <c r="J231" s="66" t="s">
        <v>4227</v>
      </c>
      <c r="K231" s="487">
        <v>50000</v>
      </c>
      <c r="L231" s="116">
        <v>1</v>
      </c>
      <c r="M231" s="117" t="s">
        <v>4075</v>
      </c>
      <c r="N231" s="118" t="s">
        <v>4207</v>
      </c>
      <c r="O231" s="66" t="s">
        <v>4211</v>
      </c>
      <c r="P231" s="481">
        <v>50000</v>
      </c>
    </row>
    <row r="232" spans="1:16" ht="33.75">
      <c r="A232" s="115" t="s">
        <v>1230</v>
      </c>
      <c r="B232" s="119" t="s">
        <v>4203</v>
      </c>
      <c r="C232" s="171" t="s">
        <v>4229</v>
      </c>
      <c r="D232" s="66" t="s">
        <v>3795</v>
      </c>
      <c r="E232" s="116">
        <v>1</v>
      </c>
      <c r="F232" s="116"/>
      <c r="G232" s="141" t="s">
        <v>4230</v>
      </c>
      <c r="H232" s="139"/>
      <c r="I232" s="140"/>
      <c r="J232" s="66" t="s">
        <v>4227</v>
      </c>
      <c r="K232" s="487">
        <v>660000</v>
      </c>
      <c r="L232" s="116">
        <v>1</v>
      </c>
      <c r="M232" s="117" t="s">
        <v>4075</v>
      </c>
      <c r="N232" s="118" t="s">
        <v>4207</v>
      </c>
      <c r="O232" s="66" t="s">
        <v>4211</v>
      </c>
      <c r="P232" s="481">
        <v>660000</v>
      </c>
    </row>
    <row r="233" spans="1:16" ht="56.25">
      <c r="A233" s="115" t="s">
        <v>4231</v>
      </c>
      <c r="B233" s="119" t="s">
        <v>699</v>
      </c>
      <c r="C233" s="171" t="s">
        <v>4232</v>
      </c>
      <c r="D233" s="66" t="s">
        <v>4218</v>
      </c>
      <c r="E233" s="116">
        <v>2</v>
      </c>
      <c r="F233" s="116">
        <v>30</v>
      </c>
      <c r="G233" s="141" t="s">
        <v>4233</v>
      </c>
      <c r="H233" s="139"/>
      <c r="I233" s="140"/>
      <c r="J233" s="66" t="s">
        <v>4234</v>
      </c>
      <c r="K233" s="487">
        <v>693000</v>
      </c>
      <c r="L233" s="116">
        <v>1</v>
      </c>
      <c r="M233" s="117" t="s">
        <v>4235</v>
      </c>
      <c r="N233" s="118" t="s">
        <v>4236</v>
      </c>
      <c r="O233" s="66"/>
      <c r="P233" s="481">
        <v>693000</v>
      </c>
    </row>
    <row r="234" spans="1:16" ht="56.25">
      <c r="A234" s="115" t="s">
        <v>4231</v>
      </c>
      <c r="B234" s="119" t="s">
        <v>699</v>
      </c>
      <c r="C234" s="171" t="s">
        <v>4237</v>
      </c>
      <c r="D234" s="66" t="s">
        <v>3897</v>
      </c>
      <c r="E234" s="116">
        <v>1</v>
      </c>
      <c r="F234" s="116">
        <v>120</v>
      </c>
      <c r="G234" s="141" t="s">
        <v>4238</v>
      </c>
      <c r="H234" s="139"/>
      <c r="I234" s="140"/>
      <c r="J234" s="66" t="s">
        <v>4234</v>
      </c>
      <c r="K234" s="487">
        <v>70000</v>
      </c>
      <c r="L234" s="116">
        <v>1</v>
      </c>
      <c r="M234" s="117" t="s">
        <v>4235</v>
      </c>
      <c r="N234" s="118" t="s">
        <v>4236</v>
      </c>
      <c r="O234" s="66"/>
      <c r="P234" s="481">
        <v>70000</v>
      </c>
    </row>
    <row r="235" spans="1:16" ht="22.5">
      <c r="A235" s="115" t="s">
        <v>4239</v>
      </c>
      <c r="B235" s="119" t="s">
        <v>4240</v>
      </c>
      <c r="C235" s="171" t="s">
        <v>4241</v>
      </c>
      <c r="D235" s="66" t="s">
        <v>4242</v>
      </c>
      <c r="E235" s="116">
        <v>1</v>
      </c>
      <c r="F235" s="116"/>
      <c r="G235" s="141">
        <v>1050</v>
      </c>
      <c r="H235" s="139"/>
      <c r="I235" s="140">
        <v>0.105</v>
      </c>
      <c r="J235" s="66" t="s">
        <v>4243</v>
      </c>
      <c r="K235" s="487">
        <v>515000</v>
      </c>
      <c r="L235" s="116">
        <v>1</v>
      </c>
      <c r="M235" s="117" t="s">
        <v>4075</v>
      </c>
      <c r="N235" s="118" t="s">
        <v>4244</v>
      </c>
      <c r="O235" s="66" t="s">
        <v>4245</v>
      </c>
      <c r="P235" s="481">
        <v>515000</v>
      </c>
    </row>
    <row r="236" spans="1:16" ht="22.5">
      <c r="A236" s="115" t="s">
        <v>4239</v>
      </c>
      <c r="B236" s="119" t="s">
        <v>4246</v>
      </c>
      <c r="C236" s="171" t="s">
        <v>2443</v>
      </c>
      <c r="D236" s="66" t="s">
        <v>4247</v>
      </c>
      <c r="E236" s="116">
        <v>1</v>
      </c>
      <c r="F236" s="116"/>
      <c r="G236" s="141">
        <v>1000</v>
      </c>
      <c r="H236" s="139"/>
      <c r="I236" s="140">
        <v>0.1</v>
      </c>
      <c r="J236" s="66" t="s">
        <v>4248</v>
      </c>
      <c r="K236" s="487">
        <v>491000</v>
      </c>
      <c r="L236" s="116">
        <v>1</v>
      </c>
      <c r="M236" s="117"/>
      <c r="N236" s="118" t="s">
        <v>4244</v>
      </c>
      <c r="O236" s="66" t="s">
        <v>4245</v>
      </c>
      <c r="P236" s="481">
        <v>491000</v>
      </c>
    </row>
    <row r="237" spans="1:16" ht="22.5">
      <c r="A237" s="115" t="s">
        <v>4249</v>
      </c>
      <c r="B237" s="119" t="s">
        <v>4250</v>
      </c>
      <c r="C237" s="171" t="s">
        <v>4251</v>
      </c>
      <c r="D237" s="66" t="s">
        <v>3947</v>
      </c>
      <c r="E237" s="116">
        <v>1</v>
      </c>
      <c r="F237" s="116"/>
      <c r="G237" s="141">
        <v>600</v>
      </c>
      <c r="H237" s="139"/>
      <c r="I237" s="140">
        <v>0.06</v>
      </c>
      <c r="J237" s="66" t="s">
        <v>4248</v>
      </c>
      <c r="K237" s="487">
        <v>295000</v>
      </c>
      <c r="L237" s="116">
        <v>1</v>
      </c>
      <c r="M237" s="117" t="s">
        <v>4075</v>
      </c>
      <c r="N237" s="118" t="s">
        <v>4252</v>
      </c>
      <c r="O237" s="66" t="s">
        <v>4245</v>
      </c>
      <c r="P237" s="481">
        <v>295000</v>
      </c>
    </row>
    <row r="238" spans="1:16" ht="33.75">
      <c r="A238" s="115" t="s">
        <v>4253</v>
      </c>
      <c r="B238" s="119" t="s">
        <v>2621</v>
      </c>
      <c r="C238" s="171" t="s">
        <v>4254</v>
      </c>
      <c r="D238" s="66" t="s">
        <v>4073</v>
      </c>
      <c r="E238" s="131">
        <f>117+21+3+15+1+15</f>
        <v>172</v>
      </c>
      <c r="F238" s="134">
        <f>((1289.5*254)/1000)+80.26+7.93+34+((10*254)/1000)+32.47</f>
        <v>484.73300000000006</v>
      </c>
      <c r="G238" s="141"/>
      <c r="H238" s="139"/>
      <c r="I238" s="134">
        <f>40.93+12.97+1.15+5.85+2.1+4.92</f>
        <v>67.92</v>
      </c>
      <c r="J238" s="66" t="s">
        <v>4255</v>
      </c>
      <c r="K238" s="487">
        <f>120329500+26280000+2500000+2500800+800000+10220160</f>
        <v>162630460</v>
      </c>
      <c r="L238" s="116">
        <v>1</v>
      </c>
      <c r="M238" s="117"/>
      <c r="N238" s="118" t="s">
        <v>4256</v>
      </c>
      <c r="O238" s="66">
        <v>1</v>
      </c>
      <c r="P238" s="481">
        <f>+((I238*3273140)+12972500)+44932625+4830000+24500000+(0.24*4200000)+(4.92*4200000)</f>
        <v>331218793.80000001</v>
      </c>
    </row>
    <row r="239" spans="1:16" ht="33.75">
      <c r="A239" s="115" t="s">
        <v>4253</v>
      </c>
      <c r="B239" s="119" t="s">
        <v>2621</v>
      </c>
      <c r="C239" s="171" t="s">
        <v>4254</v>
      </c>
      <c r="D239" s="66" t="s">
        <v>4110</v>
      </c>
      <c r="E239" s="131">
        <f>37+1+2</f>
        <v>40</v>
      </c>
      <c r="F239" s="134">
        <f>(38500/1000)+10+0.3+5.6</f>
        <v>54.4</v>
      </c>
      <c r="G239" s="141"/>
      <c r="H239" s="139"/>
      <c r="I239" s="134">
        <f>11.03+0.7+1+5</f>
        <v>17.729999999999997</v>
      </c>
      <c r="J239" s="66" t="s">
        <v>4257</v>
      </c>
      <c r="K239" s="487">
        <f>34080000+10000000+300000+5600000</f>
        <v>49980000</v>
      </c>
      <c r="L239" s="116">
        <v>1</v>
      </c>
      <c r="M239" s="117"/>
      <c r="N239" s="118" t="s">
        <v>4256</v>
      </c>
      <c r="O239" s="66">
        <v>1</v>
      </c>
      <c r="P239" s="481">
        <v>32894999.999999996</v>
      </c>
    </row>
    <row r="240" spans="1:16" ht="22.5">
      <c r="A240" s="115" t="s">
        <v>4253</v>
      </c>
      <c r="B240" s="119" t="s">
        <v>421</v>
      </c>
      <c r="C240" s="171" t="s">
        <v>4258</v>
      </c>
      <c r="D240" s="66" t="s">
        <v>4073</v>
      </c>
      <c r="E240" s="116">
        <v>14</v>
      </c>
      <c r="F240" s="140">
        <v>35.49</v>
      </c>
      <c r="G240" s="141"/>
      <c r="H240" s="139"/>
      <c r="I240" s="140">
        <v>4</v>
      </c>
      <c r="J240" s="66" t="s">
        <v>387</v>
      </c>
      <c r="K240" s="487">
        <f>15195600</f>
        <v>15195600</v>
      </c>
      <c r="L240" s="116">
        <v>1</v>
      </c>
      <c r="M240" s="117"/>
      <c r="N240" s="118" t="s">
        <v>4256</v>
      </c>
      <c r="O240" s="66">
        <v>1</v>
      </c>
      <c r="P240" s="481">
        <f>27063291.4</f>
        <v>27063291.399999999</v>
      </c>
    </row>
    <row r="241" spans="1:16" ht="22.5">
      <c r="A241" s="115" t="s">
        <v>4253</v>
      </c>
      <c r="B241" s="119" t="s">
        <v>421</v>
      </c>
      <c r="C241" s="171" t="s">
        <v>4258</v>
      </c>
      <c r="D241" s="66" t="s">
        <v>4110</v>
      </c>
      <c r="E241" s="116">
        <v>2</v>
      </c>
      <c r="F241" s="116">
        <v>5.3</v>
      </c>
      <c r="G241" s="141"/>
      <c r="H241" s="139"/>
      <c r="I241" s="140">
        <v>3.85</v>
      </c>
      <c r="J241" s="66" t="s">
        <v>4257</v>
      </c>
      <c r="K241" s="487">
        <v>3300000</v>
      </c>
      <c r="L241" s="116">
        <v>1</v>
      </c>
      <c r="M241" s="117"/>
      <c r="N241" s="118" t="s">
        <v>4256</v>
      </c>
      <c r="O241" s="66">
        <v>1</v>
      </c>
      <c r="P241" s="481">
        <f>+I241*1500000</f>
        <v>5775000</v>
      </c>
    </row>
    <row r="242" spans="1:16" ht="22.5">
      <c r="A242" s="115" t="s">
        <v>4253</v>
      </c>
      <c r="B242" s="119" t="s">
        <v>1262</v>
      </c>
      <c r="C242" s="171" t="s">
        <v>4259</v>
      </c>
      <c r="D242" s="66" t="s">
        <v>4073</v>
      </c>
      <c r="E242" s="116">
        <f>26+1</f>
        <v>27</v>
      </c>
      <c r="F242" s="116">
        <f>+((215*254)/1000)+9.14+0.76</f>
        <v>64.510000000000005</v>
      </c>
      <c r="G242" s="141"/>
      <c r="H242" s="139"/>
      <c r="I242" s="140">
        <f>5.361+1.1+0.05</f>
        <v>6.5110000000000001</v>
      </c>
      <c r="J242" s="66" t="s">
        <v>4257</v>
      </c>
      <c r="K242" s="487">
        <f>(16828720+560000)+2900000+240000</f>
        <v>20528720</v>
      </c>
      <c r="L242" s="116">
        <v>1</v>
      </c>
      <c r="M242" s="117"/>
      <c r="N242" s="118" t="s">
        <v>4256</v>
      </c>
      <c r="O242" s="66">
        <v>1</v>
      </c>
      <c r="P242" s="481">
        <f>+((I242*3273140)+560000)+4000454+210000</f>
        <v>26081868.539999999</v>
      </c>
    </row>
    <row r="243" spans="1:16" ht="22.5">
      <c r="A243" s="115" t="s">
        <v>4253</v>
      </c>
      <c r="B243" s="119" t="s">
        <v>1262</v>
      </c>
      <c r="C243" s="171" t="s">
        <v>4259</v>
      </c>
      <c r="D243" s="66" t="s">
        <v>3852</v>
      </c>
      <c r="E243" s="116">
        <v>7</v>
      </c>
      <c r="F243" s="116">
        <v>4.37</v>
      </c>
      <c r="G243" s="141"/>
      <c r="H243" s="139"/>
      <c r="I243" s="140">
        <v>4.33</v>
      </c>
      <c r="J243" s="66" t="s">
        <v>4260</v>
      </c>
      <c r="K243" s="487">
        <v>7406000</v>
      </c>
      <c r="L243" s="116">
        <v>1</v>
      </c>
      <c r="M243" s="117"/>
      <c r="N243" s="118" t="s">
        <v>4256</v>
      </c>
      <c r="O243" s="66">
        <v>1</v>
      </c>
      <c r="P243" s="481">
        <f>+I243*2500000</f>
        <v>10825000</v>
      </c>
    </row>
    <row r="244" spans="1:16" ht="22.5">
      <c r="A244" s="115" t="s">
        <v>4253</v>
      </c>
      <c r="B244" s="119" t="s">
        <v>1262</v>
      </c>
      <c r="C244" s="171" t="s">
        <v>4259</v>
      </c>
      <c r="D244" s="66" t="s">
        <v>4110</v>
      </c>
      <c r="E244" s="116">
        <v>1</v>
      </c>
      <c r="F244" s="116">
        <v>1.5</v>
      </c>
      <c r="G244" s="141"/>
      <c r="H244" s="139"/>
      <c r="I244" s="140">
        <v>0.18</v>
      </c>
      <c r="J244" s="66" t="s">
        <v>4260</v>
      </c>
      <c r="K244" s="487">
        <v>700000</v>
      </c>
      <c r="L244" s="116">
        <v>1</v>
      </c>
      <c r="M244" s="117"/>
      <c r="N244" s="118" t="s">
        <v>4256</v>
      </c>
      <c r="O244" s="66">
        <v>1</v>
      </c>
      <c r="P244" s="481">
        <v>500000</v>
      </c>
    </row>
    <row r="245" spans="1:16" ht="22.5">
      <c r="A245" s="115" t="s">
        <v>4253</v>
      </c>
      <c r="B245" s="119" t="s">
        <v>1262</v>
      </c>
      <c r="C245" s="171" t="s">
        <v>4259</v>
      </c>
      <c r="D245" s="66" t="s">
        <v>4113</v>
      </c>
      <c r="E245" s="116">
        <v>5</v>
      </c>
      <c r="F245" s="116">
        <f>+(22000*0.07)/1000</f>
        <v>1.5400000000000003</v>
      </c>
      <c r="G245" s="141"/>
      <c r="H245" s="139"/>
      <c r="I245" s="140">
        <v>1.49</v>
      </c>
      <c r="J245" s="66" t="s">
        <v>4260</v>
      </c>
      <c r="K245" s="487">
        <v>2040000</v>
      </c>
      <c r="L245" s="116">
        <v>1</v>
      </c>
      <c r="M245" s="117"/>
      <c r="N245" s="118" t="s">
        <v>4256</v>
      </c>
      <c r="O245" s="66">
        <v>1</v>
      </c>
      <c r="P245" s="481">
        <f>+I245*1250000</f>
        <v>1862500</v>
      </c>
    </row>
    <row r="246" spans="1:16" ht="22.5">
      <c r="A246" s="115" t="s">
        <v>4253</v>
      </c>
      <c r="B246" s="119" t="s">
        <v>1262</v>
      </c>
      <c r="C246" s="171" t="s">
        <v>4259</v>
      </c>
      <c r="D246" s="66" t="s">
        <v>3818</v>
      </c>
      <c r="E246" s="116">
        <v>1</v>
      </c>
      <c r="F246" s="116">
        <v>0.16400000000000001</v>
      </c>
      <c r="G246" s="141"/>
      <c r="H246" s="139"/>
      <c r="I246" s="140">
        <v>0.1</v>
      </c>
      <c r="J246" s="66" t="s">
        <v>4260</v>
      </c>
      <c r="K246" s="487">
        <v>164000</v>
      </c>
      <c r="L246" s="116">
        <v>1</v>
      </c>
      <c r="M246" s="117"/>
      <c r="N246" s="118" t="s">
        <v>4261</v>
      </c>
      <c r="O246" s="66">
        <v>1</v>
      </c>
      <c r="P246" s="481">
        <v>164000</v>
      </c>
    </row>
    <row r="247" spans="1:16" ht="22.5">
      <c r="A247" s="115" t="s">
        <v>4253</v>
      </c>
      <c r="B247" s="119" t="s">
        <v>1262</v>
      </c>
      <c r="C247" s="171" t="s">
        <v>4259</v>
      </c>
      <c r="D247" s="66" t="s">
        <v>4262</v>
      </c>
      <c r="E247" s="116">
        <v>1</v>
      </c>
      <c r="F247" s="116"/>
      <c r="G247" s="141"/>
      <c r="H247" s="139"/>
      <c r="I247" s="140">
        <v>0.5</v>
      </c>
      <c r="J247" s="66" t="s">
        <v>387</v>
      </c>
      <c r="K247" s="487">
        <v>100000</v>
      </c>
      <c r="L247" s="116">
        <v>1</v>
      </c>
      <c r="M247" s="117"/>
      <c r="N247" s="118" t="s">
        <v>4261</v>
      </c>
      <c r="O247" s="66">
        <v>1</v>
      </c>
      <c r="P247" s="481">
        <v>250000</v>
      </c>
    </row>
    <row r="248" spans="1:16" ht="22.5">
      <c r="A248" s="115" t="s">
        <v>4253</v>
      </c>
      <c r="B248" s="119" t="s">
        <v>3525</v>
      </c>
      <c r="C248" s="171" t="s">
        <v>4263</v>
      </c>
      <c r="D248" s="66" t="s">
        <v>4073</v>
      </c>
      <c r="E248" s="116">
        <f>9+1+1</f>
        <v>11</v>
      </c>
      <c r="F248" s="140">
        <f>+((16*254)/1000)+16+10.1+5.5</f>
        <v>35.664000000000001</v>
      </c>
      <c r="G248" s="141"/>
      <c r="H248" s="139"/>
      <c r="I248" s="140">
        <f>0.85+2.17+0.7+0.7</f>
        <v>4.42</v>
      </c>
      <c r="J248" s="66" t="s">
        <v>387</v>
      </c>
      <c r="K248" s="487">
        <f>(2280000+1600000)+10240000+4000000+1750000</f>
        <v>19870000</v>
      </c>
      <c r="L248" s="116">
        <v>1</v>
      </c>
      <c r="M248" s="117"/>
      <c r="N248" s="118" t="s">
        <v>4256</v>
      </c>
      <c r="O248" s="66">
        <v>1</v>
      </c>
      <c r="P248" s="481">
        <f>+((I248*3273140)+1600000)+7102713+2940000+2940000</f>
        <v>29049991.799999997</v>
      </c>
    </row>
    <row r="249" spans="1:16" ht="22.5">
      <c r="A249" s="115" t="s">
        <v>4253</v>
      </c>
      <c r="B249" s="119" t="s">
        <v>3525</v>
      </c>
      <c r="C249" s="171" t="s">
        <v>4263</v>
      </c>
      <c r="D249" s="66" t="s">
        <v>4110</v>
      </c>
      <c r="E249" s="116">
        <v>1</v>
      </c>
      <c r="F249" s="116"/>
      <c r="G249" s="141"/>
      <c r="H249" s="139"/>
      <c r="I249" s="140">
        <v>1</v>
      </c>
      <c r="J249" s="66" t="s">
        <v>387</v>
      </c>
      <c r="K249" s="487">
        <v>1000000</v>
      </c>
      <c r="L249" s="116">
        <v>1</v>
      </c>
      <c r="M249" s="117"/>
      <c r="N249" s="118" t="s">
        <v>4256</v>
      </c>
      <c r="O249" s="66">
        <v>1</v>
      </c>
      <c r="P249" s="481">
        <f>+I249*1500000</f>
        <v>1500000</v>
      </c>
    </row>
    <row r="250" spans="1:16" ht="22.5">
      <c r="A250" s="115" t="s">
        <v>4253</v>
      </c>
      <c r="B250" s="119" t="s">
        <v>19</v>
      </c>
      <c r="C250" s="171" t="s">
        <v>4264</v>
      </c>
      <c r="D250" s="66" t="s">
        <v>4073</v>
      </c>
      <c r="E250" s="116">
        <v>18</v>
      </c>
      <c r="F250" s="140">
        <f>+((97.5*254)/1000)+7.87</f>
        <v>32.634999999999998</v>
      </c>
      <c r="G250" s="141"/>
      <c r="H250" s="139"/>
      <c r="I250" s="140">
        <f>4.77+1.03</f>
        <v>5.8</v>
      </c>
      <c r="J250" s="66"/>
      <c r="K250" s="487">
        <f>(9104000+6640000)+2505000</f>
        <v>18249000</v>
      </c>
      <c r="L250" s="116">
        <v>1</v>
      </c>
      <c r="M250" s="117"/>
      <c r="N250" s="118" t="s">
        <v>4256</v>
      </c>
      <c r="O250" s="66">
        <v>1</v>
      </c>
      <c r="P250" s="481">
        <f>+((I250*3273140)+12972500)+3371334</f>
        <v>35328046</v>
      </c>
    </row>
    <row r="251" spans="1:16" ht="22.5">
      <c r="A251" s="115" t="s">
        <v>4253</v>
      </c>
      <c r="B251" s="119" t="s">
        <v>19</v>
      </c>
      <c r="C251" s="171" t="s">
        <v>4265</v>
      </c>
      <c r="D251" s="66" t="s">
        <v>4110</v>
      </c>
      <c r="E251" s="116">
        <v>1</v>
      </c>
      <c r="F251" s="116">
        <v>0.3</v>
      </c>
      <c r="G251" s="141"/>
      <c r="H251" s="139"/>
      <c r="I251" s="140">
        <v>0.3</v>
      </c>
      <c r="J251" s="66" t="s">
        <v>387</v>
      </c>
      <c r="K251" s="487">
        <v>300000</v>
      </c>
      <c r="L251" s="116">
        <v>1</v>
      </c>
      <c r="M251" s="117"/>
      <c r="N251" s="118" t="s">
        <v>4256</v>
      </c>
      <c r="O251" s="66">
        <v>1</v>
      </c>
      <c r="P251" s="481">
        <f>+F251*1500000</f>
        <v>450000</v>
      </c>
    </row>
    <row r="252" spans="1:16" ht="22.5">
      <c r="A252" s="115" t="s">
        <v>4253</v>
      </c>
      <c r="B252" s="119" t="s">
        <v>3666</v>
      </c>
      <c r="C252" s="171" t="s">
        <v>3666</v>
      </c>
      <c r="D252" s="66" t="s">
        <v>4073</v>
      </c>
      <c r="E252" s="116">
        <f>6+1</f>
        <v>7</v>
      </c>
      <c r="F252" s="116">
        <f>+((45*254)/1000)+2.54+10.1</f>
        <v>24.07</v>
      </c>
      <c r="G252" s="141"/>
      <c r="H252" s="139"/>
      <c r="I252" s="140">
        <f>1.27+1.23+0.75</f>
        <v>3.25</v>
      </c>
      <c r="J252" s="66" t="s">
        <v>387</v>
      </c>
      <c r="K252" s="487">
        <f>3600000+2000000+3200000</f>
        <v>8800000</v>
      </c>
      <c r="L252" s="116">
        <v>1</v>
      </c>
      <c r="M252" s="117"/>
      <c r="N252" s="118" t="s">
        <v>4256</v>
      </c>
      <c r="O252" s="66">
        <v>1</v>
      </c>
      <c r="P252" s="481">
        <f>+(I252*3273140)+4025962+3150000</f>
        <v>17813667</v>
      </c>
    </row>
    <row r="253" spans="1:16" ht="22.5">
      <c r="A253" s="115" t="s">
        <v>4253</v>
      </c>
      <c r="B253" s="119" t="s">
        <v>3666</v>
      </c>
      <c r="C253" s="171" t="s">
        <v>3666</v>
      </c>
      <c r="D253" s="66" t="s">
        <v>4113</v>
      </c>
      <c r="E253" s="116">
        <v>1</v>
      </c>
      <c r="F253" s="116">
        <f>+(30000*0.07)/1000</f>
        <v>2.1</v>
      </c>
      <c r="G253" s="141"/>
      <c r="H253" s="139"/>
      <c r="I253" s="140">
        <v>0.7</v>
      </c>
      <c r="J253" s="66" t="s">
        <v>4266</v>
      </c>
      <c r="K253" s="487">
        <v>2100000</v>
      </c>
      <c r="L253" s="116">
        <v>1</v>
      </c>
      <c r="M253" s="117"/>
      <c r="N253" s="118" t="s">
        <v>4256</v>
      </c>
      <c r="O253" s="66">
        <v>1</v>
      </c>
      <c r="P253" s="481">
        <f>+I253*1250000</f>
        <v>875000</v>
      </c>
    </row>
    <row r="254" spans="1:16" ht="22.5">
      <c r="A254" s="115" t="s">
        <v>4267</v>
      </c>
      <c r="B254" s="119" t="s">
        <v>4268</v>
      </c>
      <c r="C254" s="171" t="s">
        <v>4269</v>
      </c>
      <c r="D254" s="66" t="s">
        <v>4270</v>
      </c>
      <c r="E254" s="116">
        <v>5</v>
      </c>
      <c r="F254" s="116">
        <f>21.5*1000</f>
        <v>21500</v>
      </c>
      <c r="G254" s="141"/>
      <c r="H254" s="139"/>
      <c r="I254" s="140">
        <v>1.82</v>
      </c>
      <c r="J254" s="66" t="s">
        <v>4271</v>
      </c>
      <c r="K254" s="487">
        <v>5353025</v>
      </c>
      <c r="L254" s="116">
        <v>1</v>
      </c>
      <c r="M254" s="117" t="s">
        <v>4075</v>
      </c>
      <c r="N254" s="118" t="s">
        <v>4272</v>
      </c>
      <c r="O254" s="66">
        <v>1</v>
      </c>
      <c r="P254" s="481">
        <f t="shared" ref="P254:P276" si="0">K254</f>
        <v>5353025</v>
      </c>
    </row>
    <row r="255" spans="1:16" ht="22.5">
      <c r="A255" s="115" t="s">
        <v>4267</v>
      </c>
      <c r="B255" s="119" t="s">
        <v>4268</v>
      </c>
      <c r="C255" s="171" t="s">
        <v>4269</v>
      </c>
      <c r="D255" s="66" t="s">
        <v>4273</v>
      </c>
      <c r="E255" s="116">
        <v>1</v>
      </c>
      <c r="F255" s="116">
        <f>36*1000</f>
        <v>36000</v>
      </c>
      <c r="G255" s="141"/>
      <c r="H255" s="139"/>
      <c r="I255" s="140">
        <v>1.63</v>
      </c>
      <c r="J255" s="66" t="s">
        <v>4271</v>
      </c>
      <c r="K255" s="487">
        <v>4740000</v>
      </c>
      <c r="L255" s="116">
        <v>1</v>
      </c>
      <c r="M255" s="117" t="s">
        <v>4075</v>
      </c>
      <c r="N255" s="118" t="s">
        <v>4272</v>
      </c>
      <c r="O255" s="66">
        <v>1</v>
      </c>
      <c r="P255" s="481">
        <f t="shared" si="0"/>
        <v>4740000</v>
      </c>
    </row>
    <row r="256" spans="1:16" ht="22.5">
      <c r="A256" s="115" t="s">
        <v>4267</v>
      </c>
      <c r="B256" s="119" t="s">
        <v>4268</v>
      </c>
      <c r="C256" s="171" t="s">
        <v>4269</v>
      </c>
      <c r="D256" s="66" t="s">
        <v>4039</v>
      </c>
      <c r="E256" s="116">
        <v>13</v>
      </c>
      <c r="F256" s="116">
        <f>20340/1000</f>
        <v>20.34</v>
      </c>
      <c r="G256" s="141"/>
      <c r="H256" s="139"/>
      <c r="I256" s="140">
        <v>2.99</v>
      </c>
      <c r="J256" s="66" t="s">
        <v>387</v>
      </c>
      <c r="K256" s="487">
        <v>8671883</v>
      </c>
      <c r="L256" s="116">
        <v>1</v>
      </c>
      <c r="M256" s="117" t="s">
        <v>4075</v>
      </c>
      <c r="N256" s="118" t="s">
        <v>4272</v>
      </c>
      <c r="O256" s="66">
        <v>1</v>
      </c>
      <c r="P256" s="481">
        <f t="shared" si="0"/>
        <v>8671883</v>
      </c>
    </row>
    <row r="257" spans="1:16" ht="22.5">
      <c r="A257" s="115" t="s">
        <v>4267</v>
      </c>
      <c r="B257" s="119" t="s">
        <v>4268</v>
      </c>
      <c r="C257" s="171" t="s">
        <v>4269</v>
      </c>
      <c r="D257" s="66" t="s">
        <v>4274</v>
      </c>
      <c r="E257" s="116">
        <v>3</v>
      </c>
      <c r="F257" s="116">
        <f>15.74*1000</f>
        <v>15740</v>
      </c>
      <c r="G257" s="141"/>
      <c r="H257" s="139"/>
      <c r="I257" s="140">
        <v>0.63</v>
      </c>
      <c r="J257" s="66" t="s">
        <v>4045</v>
      </c>
      <c r="K257" s="487">
        <v>1940000</v>
      </c>
      <c r="L257" s="116">
        <v>1</v>
      </c>
      <c r="M257" s="117" t="s">
        <v>4075</v>
      </c>
      <c r="N257" s="118" t="s">
        <v>4272</v>
      </c>
      <c r="O257" s="66">
        <v>1</v>
      </c>
      <c r="P257" s="481">
        <f t="shared" si="0"/>
        <v>1940000</v>
      </c>
    </row>
    <row r="258" spans="1:16" ht="22.5">
      <c r="A258" s="115" t="s">
        <v>4267</v>
      </c>
      <c r="B258" s="119" t="s">
        <v>4268</v>
      </c>
      <c r="C258" s="171" t="s">
        <v>4269</v>
      </c>
      <c r="D258" s="66" t="s">
        <v>4275</v>
      </c>
      <c r="E258" s="116">
        <v>4</v>
      </c>
      <c r="F258" s="116">
        <f>34.9*1000</f>
        <v>34900</v>
      </c>
      <c r="G258" s="141"/>
      <c r="H258" s="139"/>
      <c r="I258" s="140">
        <v>1.33</v>
      </c>
      <c r="J258" s="66" t="s">
        <v>4045</v>
      </c>
      <c r="K258" s="487">
        <v>1974000</v>
      </c>
      <c r="L258" s="116">
        <v>1</v>
      </c>
      <c r="M258" s="117" t="s">
        <v>4075</v>
      </c>
      <c r="N258" s="118" t="s">
        <v>4272</v>
      </c>
      <c r="O258" s="66">
        <v>1</v>
      </c>
      <c r="P258" s="481">
        <f t="shared" si="0"/>
        <v>1974000</v>
      </c>
    </row>
    <row r="259" spans="1:16" ht="22.5">
      <c r="A259" s="115" t="s">
        <v>4267</v>
      </c>
      <c r="B259" s="119" t="s">
        <v>4268</v>
      </c>
      <c r="C259" s="171" t="s">
        <v>4269</v>
      </c>
      <c r="D259" s="66" t="s">
        <v>4276</v>
      </c>
      <c r="E259" s="116">
        <v>3</v>
      </c>
      <c r="F259" s="116">
        <f>20.9*1000</f>
        <v>20900</v>
      </c>
      <c r="G259" s="141"/>
      <c r="H259" s="139"/>
      <c r="I259" s="140">
        <v>0.8</v>
      </c>
      <c r="J259" s="66" t="s">
        <v>4277</v>
      </c>
      <c r="K259" s="487">
        <v>1270000</v>
      </c>
      <c r="L259" s="116">
        <v>1</v>
      </c>
      <c r="M259" s="117" t="s">
        <v>4075</v>
      </c>
      <c r="N259" s="118" t="s">
        <v>4272</v>
      </c>
      <c r="O259" s="66">
        <v>1</v>
      </c>
      <c r="P259" s="481">
        <f t="shared" si="0"/>
        <v>1270000</v>
      </c>
    </row>
    <row r="260" spans="1:16" ht="22.5">
      <c r="A260" s="115" t="s">
        <v>4267</v>
      </c>
      <c r="B260" s="119" t="s">
        <v>4268</v>
      </c>
      <c r="C260" s="171" t="s">
        <v>4269</v>
      </c>
      <c r="D260" s="66" t="s">
        <v>4278</v>
      </c>
      <c r="E260" s="116">
        <v>1</v>
      </c>
      <c r="F260" s="116">
        <f>10.6*1000</f>
        <v>10600</v>
      </c>
      <c r="G260" s="141"/>
      <c r="H260" s="139"/>
      <c r="I260" s="140">
        <v>1</v>
      </c>
      <c r="J260" s="66" t="s">
        <v>4045</v>
      </c>
      <c r="K260" s="487">
        <v>1925000</v>
      </c>
      <c r="L260" s="116">
        <v>1</v>
      </c>
      <c r="M260" s="117" t="s">
        <v>4075</v>
      </c>
      <c r="N260" s="118" t="s">
        <v>4272</v>
      </c>
      <c r="O260" s="66">
        <v>1</v>
      </c>
      <c r="P260" s="481">
        <f t="shared" si="0"/>
        <v>1925000</v>
      </c>
    </row>
    <row r="261" spans="1:16" ht="22.5">
      <c r="A261" s="115" t="s">
        <v>4267</v>
      </c>
      <c r="B261" s="119" t="s">
        <v>4268</v>
      </c>
      <c r="C261" s="171" t="s">
        <v>4269</v>
      </c>
      <c r="D261" s="66" t="s">
        <v>4279</v>
      </c>
      <c r="E261" s="116">
        <v>3</v>
      </c>
      <c r="F261" s="116">
        <v>11300</v>
      </c>
      <c r="G261" s="141"/>
      <c r="H261" s="139"/>
      <c r="I261" s="140">
        <v>0.85</v>
      </c>
      <c r="J261" s="66" t="s">
        <v>4045</v>
      </c>
      <c r="K261" s="487">
        <v>4845000</v>
      </c>
      <c r="L261" s="116">
        <v>1</v>
      </c>
      <c r="M261" s="117" t="s">
        <v>4075</v>
      </c>
      <c r="N261" s="118" t="s">
        <v>4272</v>
      </c>
      <c r="O261" s="66">
        <v>1</v>
      </c>
      <c r="P261" s="481">
        <f t="shared" si="0"/>
        <v>4845000</v>
      </c>
    </row>
    <row r="262" spans="1:16" ht="22.5">
      <c r="A262" s="115" t="s">
        <v>4267</v>
      </c>
      <c r="B262" s="119" t="s">
        <v>4268</v>
      </c>
      <c r="C262" s="171" t="s">
        <v>4269</v>
      </c>
      <c r="D262" s="66" t="s">
        <v>4187</v>
      </c>
      <c r="E262" s="116">
        <v>12</v>
      </c>
      <c r="F262" s="116">
        <v>143000</v>
      </c>
      <c r="G262" s="141"/>
      <c r="H262" s="139"/>
      <c r="I262" s="140">
        <v>4.4000000000000004</v>
      </c>
      <c r="J262" s="66" t="s">
        <v>4045</v>
      </c>
      <c r="K262" s="487">
        <v>57000000</v>
      </c>
      <c r="L262" s="116">
        <v>1</v>
      </c>
      <c r="M262" s="117" t="s">
        <v>4075</v>
      </c>
      <c r="N262" s="118" t="s">
        <v>4272</v>
      </c>
      <c r="O262" s="66">
        <v>1</v>
      </c>
      <c r="P262" s="481">
        <f t="shared" si="0"/>
        <v>57000000</v>
      </c>
    </row>
    <row r="263" spans="1:16" ht="22.5">
      <c r="A263" s="115" t="s">
        <v>4267</v>
      </c>
      <c r="B263" s="119" t="s">
        <v>4268</v>
      </c>
      <c r="C263" s="171" t="s">
        <v>4269</v>
      </c>
      <c r="D263" s="66" t="s">
        <v>4280</v>
      </c>
      <c r="E263" s="116">
        <v>4</v>
      </c>
      <c r="F263" s="116">
        <f>20.9*1000</f>
        <v>20900</v>
      </c>
      <c r="G263" s="141"/>
      <c r="H263" s="139"/>
      <c r="I263" s="140">
        <v>1.45</v>
      </c>
      <c r="J263" s="66" t="s">
        <v>4271</v>
      </c>
      <c r="K263" s="487">
        <v>1400000</v>
      </c>
      <c r="L263" s="116">
        <v>1</v>
      </c>
      <c r="M263" s="117" t="s">
        <v>4281</v>
      </c>
      <c r="N263" s="118" t="s">
        <v>4272</v>
      </c>
      <c r="O263" s="66">
        <v>1</v>
      </c>
      <c r="P263" s="481">
        <f t="shared" si="0"/>
        <v>1400000</v>
      </c>
    </row>
    <row r="264" spans="1:16" ht="22.5">
      <c r="A264" s="115" t="s">
        <v>4267</v>
      </c>
      <c r="B264" s="119" t="s">
        <v>4268</v>
      </c>
      <c r="C264" s="171" t="s">
        <v>4269</v>
      </c>
      <c r="D264" s="66" t="s">
        <v>4282</v>
      </c>
      <c r="E264" s="116">
        <v>1</v>
      </c>
      <c r="F264" s="116">
        <v>0</v>
      </c>
      <c r="G264" s="141"/>
      <c r="H264" s="139" t="s">
        <v>4283</v>
      </c>
      <c r="I264" s="140">
        <v>0.18</v>
      </c>
      <c r="J264" s="66" t="s">
        <v>4284</v>
      </c>
      <c r="K264" s="487">
        <v>246000</v>
      </c>
      <c r="L264" s="116">
        <v>1</v>
      </c>
      <c r="M264" s="117" t="s">
        <v>4285</v>
      </c>
      <c r="N264" s="118" t="s">
        <v>4286</v>
      </c>
      <c r="O264" s="66">
        <v>1</v>
      </c>
      <c r="P264" s="481">
        <f t="shared" si="0"/>
        <v>246000</v>
      </c>
    </row>
    <row r="265" spans="1:16" ht="22.5">
      <c r="A265" s="115" t="s">
        <v>4267</v>
      </c>
      <c r="B265" s="119" t="s">
        <v>4268</v>
      </c>
      <c r="C265" s="171" t="s">
        <v>4269</v>
      </c>
      <c r="D265" s="66" t="s">
        <v>4287</v>
      </c>
      <c r="E265" s="116">
        <v>1</v>
      </c>
      <c r="F265" s="116">
        <f>14*1000</f>
        <v>14000</v>
      </c>
      <c r="G265" s="141"/>
      <c r="H265" s="139"/>
      <c r="I265" s="140">
        <v>0.4</v>
      </c>
      <c r="J265" s="66" t="s">
        <v>4045</v>
      </c>
      <c r="K265" s="487">
        <v>360000</v>
      </c>
      <c r="L265" s="116">
        <v>0</v>
      </c>
      <c r="M265" s="117" t="s">
        <v>4075</v>
      </c>
      <c r="N265" s="118" t="s">
        <v>4272</v>
      </c>
      <c r="O265" s="66">
        <v>1</v>
      </c>
      <c r="P265" s="481">
        <f t="shared" si="0"/>
        <v>360000</v>
      </c>
    </row>
    <row r="266" spans="1:16">
      <c r="A266" s="115" t="s">
        <v>4267</v>
      </c>
      <c r="B266" s="119" t="s">
        <v>19</v>
      </c>
      <c r="C266" s="171" t="s">
        <v>4288</v>
      </c>
      <c r="D266" s="66" t="s">
        <v>4044</v>
      </c>
      <c r="E266" s="116">
        <v>2</v>
      </c>
      <c r="F266" s="116">
        <v>8300</v>
      </c>
      <c r="G266" s="141"/>
      <c r="H266" s="139" t="s">
        <v>4289</v>
      </c>
      <c r="I266" s="140">
        <v>0.25</v>
      </c>
      <c r="J266" s="66" t="s">
        <v>4290</v>
      </c>
      <c r="K266" s="487">
        <v>775000</v>
      </c>
      <c r="L266" s="116">
        <v>1</v>
      </c>
      <c r="M266" s="117" t="s">
        <v>4285</v>
      </c>
      <c r="N266" s="118" t="s">
        <v>4291</v>
      </c>
      <c r="O266" s="66">
        <v>1</v>
      </c>
      <c r="P266" s="481">
        <f t="shared" si="0"/>
        <v>775000</v>
      </c>
    </row>
    <row r="267" spans="1:16">
      <c r="A267" s="115" t="s">
        <v>4267</v>
      </c>
      <c r="B267" s="119" t="s">
        <v>19</v>
      </c>
      <c r="C267" s="171" t="s">
        <v>4288</v>
      </c>
      <c r="D267" s="66" t="s">
        <v>4292</v>
      </c>
      <c r="E267" s="116">
        <v>1</v>
      </c>
      <c r="F267" s="116">
        <v>1300</v>
      </c>
      <c r="G267" s="141"/>
      <c r="H267" s="139"/>
      <c r="I267" s="140">
        <v>0.08</v>
      </c>
      <c r="J267" s="66" t="s">
        <v>4293</v>
      </c>
      <c r="K267" s="487">
        <v>260000</v>
      </c>
      <c r="L267" s="116">
        <v>1</v>
      </c>
      <c r="M267" s="117" t="s">
        <v>4285</v>
      </c>
      <c r="N267" s="118" t="s">
        <v>4291</v>
      </c>
      <c r="O267" s="66">
        <v>1</v>
      </c>
      <c r="P267" s="481">
        <f t="shared" si="0"/>
        <v>260000</v>
      </c>
    </row>
    <row r="268" spans="1:16">
      <c r="A268" s="115" t="s">
        <v>4197</v>
      </c>
      <c r="B268" s="119" t="s">
        <v>4294</v>
      </c>
      <c r="C268" s="171" t="s">
        <v>4295</v>
      </c>
      <c r="D268" s="66" t="s">
        <v>4270</v>
      </c>
      <c r="E268" s="116">
        <v>2</v>
      </c>
      <c r="F268" s="116">
        <f>5.1*1000</f>
        <v>5100</v>
      </c>
      <c r="G268" s="141"/>
      <c r="H268" s="139"/>
      <c r="I268" s="140">
        <v>0.32</v>
      </c>
      <c r="J268" s="66" t="s">
        <v>4271</v>
      </c>
      <c r="K268" s="487">
        <v>1260000</v>
      </c>
      <c r="L268" s="116">
        <v>1</v>
      </c>
      <c r="M268" s="117" t="s">
        <v>4075</v>
      </c>
      <c r="N268" s="118" t="s">
        <v>4272</v>
      </c>
      <c r="O268" s="66">
        <v>1</v>
      </c>
      <c r="P268" s="481">
        <f t="shared" si="0"/>
        <v>1260000</v>
      </c>
    </row>
    <row r="269" spans="1:16">
      <c r="A269" s="115" t="s">
        <v>4197</v>
      </c>
      <c r="B269" s="119" t="s">
        <v>4294</v>
      </c>
      <c r="C269" s="171" t="s">
        <v>4295</v>
      </c>
      <c r="D269" s="66" t="s">
        <v>4296</v>
      </c>
      <c r="E269" s="116">
        <v>1</v>
      </c>
      <c r="F269" s="116">
        <f>1*1000</f>
        <v>1000</v>
      </c>
      <c r="G269" s="141"/>
      <c r="H269" s="139"/>
      <c r="I269" s="140">
        <v>0.05</v>
      </c>
      <c r="J269" s="66" t="s">
        <v>4271</v>
      </c>
      <c r="K269" s="487">
        <v>200000</v>
      </c>
      <c r="L269" s="116">
        <v>1</v>
      </c>
      <c r="M269" s="117" t="s">
        <v>4075</v>
      </c>
      <c r="N269" s="118" t="s">
        <v>4272</v>
      </c>
      <c r="O269" s="66">
        <v>1</v>
      </c>
      <c r="P269" s="481">
        <f t="shared" si="0"/>
        <v>200000</v>
      </c>
    </row>
    <row r="270" spans="1:16">
      <c r="A270" s="115" t="s">
        <v>4197</v>
      </c>
      <c r="B270" s="119" t="s">
        <v>4294</v>
      </c>
      <c r="C270" s="171" t="s">
        <v>4295</v>
      </c>
      <c r="D270" s="66" t="s">
        <v>4275</v>
      </c>
      <c r="E270" s="116">
        <v>3</v>
      </c>
      <c r="F270" s="116">
        <f>0.7*1000</f>
        <v>700</v>
      </c>
      <c r="G270" s="141"/>
      <c r="H270" s="139"/>
      <c r="I270" s="140">
        <v>0.7</v>
      </c>
      <c r="J270" s="66" t="s">
        <v>4271</v>
      </c>
      <c r="K270" s="487">
        <v>1050000</v>
      </c>
      <c r="L270" s="116">
        <v>1</v>
      </c>
      <c r="M270" s="117" t="s">
        <v>4075</v>
      </c>
      <c r="N270" s="118" t="s">
        <v>4272</v>
      </c>
      <c r="O270" s="66">
        <v>1</v>
      </c>
      <c r="P270" s="481">
        <f t="shared" si="0"/>
        <v>1050000</v>
      </c>
    </row>
    <row r="271" spans="1:16">
      <c r="A271" s="115" t="s">
        <v>4197</v>
      </c>
      <c r="B271" s="119" t="s">
        <v>4294</v>
      </c>
      <c r="C271" s="171" t="s">
        <v>4295</v>
      </c>
      <c r="D271" s="66" t="s">
        <v>4276</v>
      </c>
      <c r="E271" s="116">
        <v>7</v>
      </c>
      <c r="F271" s="116">
        <f>158*1000</f>
        <v>158000</v>
      </c>
      <c r="G271" s="141"/>
      <c r="H271" s="139"/>
      <c r="I271" s="140">
        <v>3.78</v>
      </c>
      <c r="J271" s="66" t="s">
        <v>4271</v>
      </c>
      <c r="K271" s="487">
        <v>6750000</v>
      </c>
      <c r="L271" s="116">
        <v>1</v>
      </c>
      <c r="M271" s="117" t="s">
        <v>4075</v>
      </c>
      <c r="N271" s="118" t="s">
        <v>4272</v>
      </c>
      <c r="O271" s="66">
        <v>1</v>
      </c>
      <c r="P271" s="481">
        <f t="shared" si="0"/>
        <v>6750000</v>
      </c>
    </row>
    <row r="272" spans="1:16">
      <c r="A272" s="115" t="s">
        <v>4197</v>
      </c>
      <c r="B272" s="119" t="s">
        <v>4294</v>
      </c>
      <c r="C272" s="171" t="s">
        <v>4295</v>
      </c>
      <c r="D272" s="66" t="s">
        <v>4297</v>
      </c>
      <c r="E272" s="116">
        <v>1</v>
      </c>
      <c r="F272" s="116">
        <f>6*1000</f>
        <v>6000</v>
      </c>
      <c r="G272" s="141"/>
      <c r="H272" s="139"/>
      <c r="I272" s="140">
        <v>0.35</v>
      </c>
      <c r="J272" s="66" t="s">
        <v>4271</v>
      </c>
      <c r="K272" s="487">
        <v>300000</v>
      </c>
      <c r="L272" s="116">
        <v>1</v>
      </c>
      <c r="M272" s="117" t="s">
        <v>4075</v>
      </c>
      <c r="N272" s="118" t="s">
        <v>4272</v>
      </c>
      <c r="O272" s="66">
        <v>1</v>
      </c>
      <c r="P272" s="481">
        <f t="shared" si="0"/>
        <v>300000</v>
      </c>
    </row>
    <row r="273" spans="1:16">
      <c r="A273" s="115" t="s">
        <v>4197</v>
      </c>
      <c r="B273" s="119" t="s">
        <v>4294</v>
      </c>
      <c r="C273" s="171" t="s">
        <v>4295</v>
      </c>
      <c r="D273" s="66" t="s">
        <v>4280</v>
      </c>
      <c r="E273" s="116">
        <v>3</v>
      </c>
      <c r="F273" s="116">
        <f>48*1000</f>
        <v>48000</v>
      </c>
      <c r="G273" s="141"/>
      <c r="H273" s="139"/>
      <c r="I273" s="140">
        <v>3</v>
      </c>
      <c r="J273" s="66" t="s">
        <v>4271</v>
      </c>
      <c r="K273" s="487">
        <v>4900000</v>
      </c>
      <c r="L273" s="116">
        <v>1</v>
      </c>
      <c r="M273" s="117" t="s">
        <v>4075</v>
      </c>
      <c r="N273" s="118" t="s">
        <v>4272</v>
      </c>
      <c r="O273" s="66">
        <v>1</v>
      </c>
      <c r="P273" s="481">
        <f t="shared" si="0"/>
        <v>4900000</v>
      </c>
    </row>
    <row r="274" spans="1:16" ht="45">
      <c r="A274" s="115" t="s">
        <v>4298</v>
      </c>
      <c r="B274" s="119" t="s">
        <v>4085</v>
      </c>
      <c r="C274" s="171" t="s">
        <v>4299</v>
      </c>
      <c r="D274" s="66" t="s">
        <v>4039</v>
      </c>
      <c r="E274" s="116">
        <v>111</v>
      </c>
      <c r="F274" s="116">
        <f>150880/1000</f>
        <v>150.88</v>
      </c>
      <c r="G274" s="141"/>
      <c r="H274" s="139">
        <v>558.53</v>
      </c>
      <c r="I274" s="140">
        <v>17.149999999999999</v>
      </c>
      <c r="J274" s="66" t="s">
        <v>387</v>
      </c>
      <c r="K274" s="487">
        <v>61851769</v>
      </c>
      <c r="L274" s="116">
        <v>1</v>
      </c>
      <c r="M274" s="117" t="s">
        <v>4075</v>
      </c>
      <c r="N274" s="118" t="s">
        <v>4272</v>
      </c>
      <c r="O274" s="66">
        <v>1</v>
      </c>
      <c r="P274" s="481">
        <f t="shared" si="0"/>
        <v>61851769</v>
      </c>
    </row>
    <row r="275" spans="1:16">
      <c r="A275" s="115" t="s">
        <v>4298</v>
      </c>
      <c r="B275" s="119" t="s">
        <v>4085</v>
      </c>
      <c r="C275" s="171" t="s">
        <v>1205</v>
      </c>
      <c r="D275" s="66" t="s">
        <v>4270</v>
      </c>
      <c r="E275" s="116">
        <v>1</v>
      </c>
      <c r="F275" s="116">
        <v>45000</v>
      </c>
      <c r="G275" s="141"/>
      <c r="H275" s="139">
        <v>4500</v>
      </c>
      <c r="I275" s="140">
        <v>0.17499999999999999</v>
      </c>
      <c r="J275" s="66" t="s">
        <v>387</v>
      </c>
      <c r="K275" s="487">
        <v>1350000</v>
      </c>
      <c r="L275" s="116">
        <v>1</v>
      </c>
      <c r="M275" s="117" t="s">
        <v>4285</v>
      </c>
      <c r="N275" s="118" t="s">
        <v>4291</v>
      </c>
      <c r="O275" s="66"/>
      <c r="P275" s="481">
        <f t="shared" si="0"/>
        <v>1350000</v>
      </c>
    </row>
    <row r="276" spans="1:16">
      <c r="A276" s="115" t="s">
        <v>4298</v>
      </c>
      <c r="B276" s="119" t="s">
        <v>4300</v>
      </c>
      <c r="C276" s="171" t="s">
        <v>4301</v>
      </c>
      <c r="D276" s="66" t="s">
        <v>4157</v>
      </c>
      <c r="E276" s="116">
        <v>3</v>
      </c>
      <c r="F276" s="140">
        <f>1564/1000</f>
        <v>1.5640000000000001</v>
      </c>
      <c r="G276" s="141"/>
      <c r="H276" s="139">
        <v>6.32</v>
      </c>
      <c r="I276" s="140">
        <v>0.2</v>
      </c>
      <c r="J276" s="66" t="s">
        <v>387</v>
      </c>
      <c r="K276" s="487">
        <v>681978</v>
      </c>
      <c r="L276" s="116">
        <v>1</v>
      </c>
      <c r="M276" s="117" t="s">
        <v>4285</v>
      </c>
      <c r="N276" s="118" t="s">
        <v>4272</v>
      </c>
      <c r="O276" s="66">
        <v>1</v>
      </c>
      <c r="P276" s="481">
        <f t="shared" si="0"/>
        <v>681978</v>
      </c>
    </row>
    <row r="277" spans="1:16">
      <c r="A277" s="115" t="s">
        <v>4298</v>
      </c>
      <c r="B277" s="119" t="s">
        <v>4300</v>
      </c>
      <c r="C277" s="171" t="s">
        <v>4302</v>
      </c>
      <c r="D277" s="66" t="s">
        <v>4018</v>
      </c>
      <c r="E277" s="116">
        <v>1</v>
      </c>
      <c r="F277" s="116">
        <v>20000</v>
      </c>
      <c r="G277" s="141"/>
      <c r="H277" s="139"/>
      <c r="I277" s="140">
        <v>0.35</v>
      </c>
      <c r="J277" s="66" t="s">
        <v>4303</v>
      </c>
      <c r="K277" s="487">
        <v>1400000</v>
      </c>
      <c r="L277" s="116">
        <v>1</v>
      </c>
      <c r="M277" s="117" t="s">
        <v>4285</v>
      </c>
      <c r="N277" s="118" t="s">
        <v>4291</v>
      </c>
      <c r="O277" s="66">
        <v>1</v>
      </c>
      <c r="P277" s="481">
        <v>1400000</v>
      </c>
    </row>
    <row r="278" spans="1:16" ht="33.75">
      <c r="A278" s="115" t="s">
        <v>4070</v>
      </c>
      <c r="B278" s="119" t="s">
        <v>4304</v>
      </c>
      <c r="C278" s="171" t="s">
        <v>4305</v>
      </c>
      <c r="D278" s="66" t="s">
        <v>4039</v>
      </c>
      <c r="E278" s="116">
        <v>20</v>
      </c>
      <c r="F278" s="116">
        <f>18000/1000</f>
        <v>18</v>
      </c>
      <c r="G278" s="141"/>
      <c r="H278" s="139">
        <v>71.150000000000006</v>
      </c>
      <c r="I278" s="140">
        <v>2.25</v>
      </c>
      <c r="J278" s="66" t="s">
        <v>387</v>
      </c>
      <c r="K278" s="487">
        <v>7671005</v>
      </c>
      <c r="L278" s="116">
        <v>1</v>
      </c>
      <c r="M278" s="117" t="s">
        <v>4075</v>
      </c>
      <c r="N278" s="118" t="s">
        <v>4272</v>
      </c>
      <c r="O278" s="66">
        <v>1</v>
      </c>
      <c r="P278" s="481">
        <f>K278</f>
        <v>7671005</v>
      </c>
    </row>
    <row r="279" spans="1:16">
      <c r="A279" s="115" t="s">
        <v>4070</v>
      </c>
      <c r="B279" s="119" t="s">
        <v>4304</v>
      </c>
      <c r="C279" s="171" t="s">
        <v>4306</v>
      </c>
      <c r="D279" s="66" t="s">
        <v>4307</v>
      </c>
      <c r="E279" s="116">
        <v>1</v>
      </c>
      <c r="F279" s="116">
        <f>1.29*1000</f>
        <v>1290</v>
      </c>
      <c r="G279" s="141"/>
      <c r="H279" s="139"/>
      <c r="I279" s="140">
        <v>0.15</v>
      </c>
      <c r="J279" s="66" t="s">
        <v>4045</v>
      </c>
      <c r="K279" s="487">
        <v>680000</v>
      </c>
      <c r="L279" s="116">
        <v>1</v>
      </c>
      <c r="M279" s="117" t="s">
        <v>4075</v>
      </c>
      <c r="N279" s="118" t="s">
        <v>4272</v>
      </c>
      <c r="O279" s="66">
        <v>1</v>
      </c>
      <c r="P279" s="481">
        <f>K279</f>
        <v>680000</v>
      </c>
    </row>
    <row r="280" spans="1:16">
      <c r="A280" s="115" t="s">
        <v>4298</v>
      </c>
      <c r="B280" s="119" t="s">
        <v>1879</v>
      </c>
      <c r="C280" s="171" t="s">
        <v>4308</v>
      </c>
      <c r="D280" s="66" t="s">
        <v>4274</v>
      </c>
      <c r="E280" s="116">
        <v>1</v>
      </c>
      <c r="F280" s="116">
        <f>22*1000</f>
        <v>22000</v>
      </c>
      <c r="G280" s="141"/>
      <c r="H280" s="139"/>
      <c r="I280" s="140">
        <v>0.4</v>
      </c>
      <c r="J280" s="66" t="s">
        <v>4271</v>
      </c>
      <c r="K280" s="487">
        <v>1200000</v>
      </c>
      <c r="L280" s="116">
        <v>1</v>
      </c>
      <c r="M280" s="117" t="s">
        <v>4075</v>
      </c>
      <c r="N280" s="118" t="s">
        <v>4272</v>
      </c>
      <c r="O280" s="66">
        <v>1</v>
      </c>
      <c r="P280" s="481">
        <f>K280</f>
        <v>1200000</v>
      </c>
    </row>
    <row r="281" spans="1:16">
      <c r="A281" s="115" t="s">
        <v>4298</v>
      </c>
      <c r="B281" s="119" t="s">
        <v>1879</v>
      </c>
      <c r="C281" s="171" t="s">
        <v>4308</v>
      </c>
      <c r="D281" s="66" t="s">
        <v>4278</v>
      </c>
      <c r="E281" s="116">
        <v>1</v>
      </c>
      <c r="F281" s="116">
        <f>2.4*1000</f>
        <v>2400</v>
      </c>
      <c r="G281" s="141"/>
      <c r="H281" s="139"/>
      <c r="I281" s="140">
        <v>0.4</v>
      </c>
      <c r="J281" s="66" t="s">
        <v>4271</v>
      </c>
      <c r="K281" s="487">
        <v>1725000</v>
      </c>
      <c r="L281" s="116">
        <v>1</v>
      </c>
      <c r="M281" s="117" t="s">
        <v>4075</v>
      </c>
      <c r="N281" s="118" t="s">
        <v>4272</v>
      </c>
      <c r="O281" s="66">
        <v>1</v>
      </c>
      <c r="P281" s="481">
        <f>K281</f>
        <v>1725000</v>
      </c>
    </row>
    <row r="282" spans="1:16">
      <c r="A282" s="115" t="s">
        <v>4298</v>
      </c>
      <c r="B282" s="119" t="s">
        <v>1064</v>
      </c>
      <c r="C282" s="171" t="s">
        <v>3883</v>
      </c>
      <c r="D282" s="66" t="s">
        <v>4276</v>
      </c>
      <c r="E282" s="116">
        <v>1</v>
      </c>
      <c r="F282" s="116">
        <f>1.5*1000</f>
        <v>1500</v>
      </c>
      <c r="G282" s="141"/>
      <c r="H282" s="139"/>
      <c r="I282" s="140">
        <v>0.6</v>
      </c>
      <c r="J282" s="66" t="s">
        <v>4271</v>
      </c>
      <c r="K282" s="487">
        <v>250000</v>
      </c>
      <c r="L282" s="116">
        <v>1</v>
      </c>
      <c r="M282" s="117" t="s">
        <v>4075</v>
      </c>
      <c r="N282" s="118" t="s">
        <v>4272</v>
      </c>
      <c r="O282" s="66">
        <v>1</v>
      </c>
      <c r="P282" s="481">
        <f>K282</f>
        <v>250000</v>
      </c>
    </row>
    <row r="283" spans="1:16" ht="22.5">
      <c r="A283" s="115" t="s">
        <v>4309</v>
      </c>
      <c r="B283" s="119" t="s">
        <v>621</v>
      </c>
      <c r="C283" s="171" t="s">
        <v>4310</v>
      </c>
      <c r="D283" s="66" t="s">
        <v>4001</v>
      </c>
      <c r="E283" s="116">
        <v>2</v>
      </c>
      <c r="F283" s="116">
        <v>4</v>
      </c>
      <c r="G283" s="141"/>
      <c r="H283" s="139" t="s">
        <v>4311</v>
      </c>
      <c r="I283" s="140">
        <v>1</v>
      </c>
      <c r="J283" s="66" t="s">
        <v>4312</v>
      </c>
      <c r="K283" s="487">
        <v>1080000</v>
      </c>
      <c r="L283" s="116" t="s">
        <v>1725</v>
      </c>
      <c r="M283" s="117" t="s">
        <v>4313</v>
      </c>
      <c r="N283" s="118" t="s">
        <v>4314</v>
      </c>
      <c r="O283" s="66">
        <v>2018</v>
      </c>
      <c r="P283" s="481">
        <v>1080000</v>
      </c>
    </row>
    <row r="284" spans="1:16" ht="45">
      <c r="A284" s="115" t="s">
        <v>4231</v>
      </c>
      <c r="B284" s="119" t="s">
        <v>4315</v>
      </c>
      <c r="C284" s="171" t="s">
        <v>4316</v>
      </c>
      <c r="D284" s="66" t="s">
        <v>3996</v>
      </c>
      <c r="E284" s="116">
        <v>1</v>
      </c>
      <c r="F284" s="116">
        <v>2</v>
      </c>
      <c r="G284" s="141"/>
      <c r="H284" s="75" t="s">
        <v>4317</v>
      </c>
      <c r="I284" s="140">
        <v>0.5</v>
      </c>
      <c r="J284" s="66" t="s">
        <v>4312</v>
      </c>
      <c r="K284" s="487">
        <v>500000</v>
      </c>
      <c r="L284" s="116" t="s">
        <v>1725</v>
      </c>
      <c r="M284" s="117" t="s">
        <v>4313</v>
      </c>
      <c r="N284" s="118"/>
      <c r="O284" s="66">
        <v>2018</v>
      </c>
      <c r="P284" s="481">
        <v>500000</v>
      </c>
    </row>
    <row r="285" spans="1:16" ht="67.5">
      <c r="A285" s="115" t="s">
        <v>4084</v>
      </c>
      <c r="B285" s="119" t="s">
        <v>4318</v>
      </c>
      <c r="C285" s="171" t="s">
        <v>4319</v>
      </c>
      <c r="D285" s="66" t="s">
        <v>4320</v>
      </c>
      <c r="E285" s="116">
        <v>11</v>
      </c>
      <c r="F285" s="116">
        <v>372.57</v>
      </c>
      <c r="G285" s="141"/>
      <c r="H285" s="139">
        <v>33719000</v>
      </c>
      <c r="I285" s="140">
        <v>11.24</v>
      </c>
      <c r="J285" s="66" t="s">
        <v>4321</v>
      </c>
      <c r="K285" s="487">
        <v>41324000</v>
      </c>
      <c r="L285" s="116">
        <v>1</v>
      </c>
      <c r="M285" s="117" t="s">
        <v>4285</v>
      </c>
      <c r="N285" s="118" t="s">
        <v>4256</v>
      </c>
      <c r="O285" s="66" t="s">
        <v>3974</v>
      </c>
      <c r="P285" s="481">
        <v>42000000</v>
      </c>
    </row>
    <row r="286" spans="1:16" ht="67.5">
      <c r="A286" s="115" t="s">
        <v>4309</v>
      </c>
      <c r="B286" s="119" t="s">
        <v>4322</v>
      </c>
      <c r="C286" s="171" t="s">
        <v>4323</v>
      </c>
      <c r="D286" s="66" t="s">
        <v>4324</v>
      </c>
      <c r="E286" s="116">
        <v>6</v>
      </c>
      <c r="F286" s="116">
        <v>181.98</v>
      </c>
      <c r="G286" s="141"/>
      <c r="H286" s="139">
        <v>15400000</v>
      </c>
      <c r="I286" s="140">
        <v>6.45</v>
      </c>
      <c r="J286" s="66" t="s">
        <v>4321</v>
      </c>
      <c r="K286" s="487">
        <v>25250000</v>
      </c>
      <c r="L286" s="116">
        <v>1</v>
      </c>
      <c r="M286" s="117" t="s">
        <v>4285</v>
      </c>
      <c r="N286" s="118" t="s">
        <v>4256</v>
      </c>
      <c r="O286" s="66" t="s">
        <v>3974</v>
      </c>
      <c r="P286" s="481">
        <v>26500000</v>
      </c>
    </row>
    <row r="287" spans="1:16" ht="67.5">
      <c r="A287" s="115" t="s">
        <v>4309</v>
      </c>
      <c r="B287" s="119" t="s">
        <v>4325</v>
      </c>
      <c r="C287" s="171" t="s">
        <v>4326</v>
      </c>
      <c r="D287" s="66" t="s">
        <v>4327</v>
      </c>
      <c r="E287" s="116">
        <v>3</v>
      </c>
      <c r="F287" s="116">
        <v>478.1</v>
      </c>
      <c r="G287" s="141"/>
      <c r="H287" s="139">
        <v>7250000</v>
      </c>
      <c r="I287" s="140">
        <v>8.0500000000000007</v>
      </c>
      <c r="J287" s="66" t="s">
        <v>4321</v>
      </c>
      <c r="K287" s="487">
        <v>10060000</v>
      </c>
      <c r="L287" s="116">
        <v>1</v>
      </c>
      <c r="M287" s="117" t="s">
        <v>4285</v>
      </c>
      <c r="N287" s="118" t="s">
        <v>4256</v>
      </c>
      <c r="O287" s="66" t="s">
        <v>3974</v>
      </c>
      <c r="P287" s="481">
        <v>11000000</v>
      </c>
    </row>
    <row r="288" spans="1:16" ht="67.5">
      <c r="A288" s="115" t="s">
        <v>4309</v>
      </c>
      <c r="B288" s="119" t="s">
        <v>1658</v>
      </c>
      <c r="C288" s="171" t="s">
        <v>4328</v>
      </c>
      <c r="D288" s="66" t="s">
        <v>4018</v>
      </c>
      <c r="E288" s="116">
        <v>1</v>
      </c>
      <c r="F288" s="116">
        <v>14.09</v>
      </c>
      <c r="G288" s="141"/>
      <c r="H288" s="139">
        <v>500000</v>
      </c>
      <c r="I288" s="140">
        <v>0.5</v>
      </c>
      <c r="J288" s="66" t="s">
        <v>4321</v>
      </c>
      <c r="K288" s="487">
        <v>2000000</v>
      </c>
      <c r="L288" s="116">
        <v>1</v>
      </c>
      <c r="M288" s="117" t="s">
        <v>4285</v>
      </c>
      <c r="N288" s="118" t="s">
        <v>4256</v>
      </c>
      <c r="O288" s="66" t="s">
        <v>3974</v>
      </c>
      <c r="P288" s="481">
        <v>2400000</v>
      </c>
    </row>
    <row r="289" spans="1:16" ht="25.5" customHeight="1">
      <c r="A289" s="121" t="s">
        <v>4329</v>
      </c>
      <c r="B289" s="116" t="s">
        <v>3666</v>
      </c>
      <c r="C289" s="66" t="s">
        <v>4330</v>
      </c>
      <c r="D289" s="66" t="s">
        <v>3834</v>
      </c>
      <c r="E289" s="66">
        <v>3</v>
      </c>
      <c r="F289" s="142"/>
      <c r="G289" s="66"/>
      <c r="H289" s="66"/>
      <c r="I289" s="142">
        <v>4</v>
      </c>
      <c r="J289" s="66" t="s">
        <v>4331</v>
      </c>
      <c r="K289" s="485">
        <v>13200000</v>
      </c>
      <c r="L289" s="66">
        <v>1</v>
      </c>
      <c r="M289" s="66" t="s">
        <v>4332</v>
      </c>
      <c r="N289" s="118" t="s">
        <v>4333</v>
      </c>
      <c r="O289" s="66" t="s">
        <v>3974</v>
      </c>
      <c r="P289" s="482">
        <f>348250*E289</f>
        <v>1044750</v>
      </c>
    </row>
    <row r="290" spans="1:16" ht="24" customHeight="1">
      <c r="A290" s="121" t="s">
        <v>1572</v>
      </c>
      <c r="B290" s="116" t="s">
        <v>126</v>
      </c>
      <c r="C290" s="66" t="s">
        <v>4334</v>
      </c>
      <c r="D290" s="66" t="s">
        <v>3834</v>
      </c>
      <c r="E290" s="66">
        <v>8</v>
      </c>
      <c r="F290" s="142"/>
      <c r="G290" s="66"/>
      <c r="H290" s="66"/>
      <c r="I290" s="142">
        <v>16</v>
      </c>
      <c r="J290" s="66" t="s">
        <v>4290</v>
      </c>
      <c r="K290" s="485">
        <v>13000000</v>
      </c>
      <c r="L290" s="66">
        <v>1</v>
      </c>
      <c r="M290" s="66" t="s">
        <v>4332</v>
      </c>
      <c r="N290" s="118" t="s">
        <v>4333</v>
      </c>
      <c r="O290" s="66" t="s">
        <v>3974</v>
      </c>
      <c r="P290" s="482">
        <f t="shared" ref="P290:P292" si="1">348250*E290</f>
        <v>2786000</v>
      </c>
    </row>
    <row r="291" spans="1:16" ht="19.5" customHeight="1">
      <c r="A291" s="121" t="s">
        <v>1572</v>
      </c>
      <c r="B291" s="116" t="s">
        <v>4335</v>
      </c>
      <c r="C291" s="66" t="s">
        <v>1323</v>
      </c>
      <c r="D291" s="66" t="s">
        <v>3834</v>
      </c>
      <c r="E291" s="66">
        <v>1</v>
      </c>
      <c r="F291" s="142"/>
      <c r="G291" s="66"/>
      <c r="H291" s="66"/>
      <c r="I291" s="142">
        <v>1</v>
      </c>
      <c r="J291" s="66" t="s">
        <v>4290</v>
      </c>
      <c r="K291" s="485">
        <v>5000000</v>
      </c>
      <c r="L291" s="66">
        <v>1</v>
      </c>
      <c r="M291" s="66" t="s">
        <v>4332</v>
      </c>
      <c r="N291" s="118" t="s">
        <v>4333</v>
      </c>
      <c r="O291" s="66" t="s">
        <v>3974</v>
      </c>
      <c r="P291" s="482">
        <f t="shared" si="1"/>
        <v>348250</v>
      </c>
    </row>
    <row r="292" spans="1:16" ht="23.45" customHeight="1">
      <c r="A292" s="121" t="s">
        <v>4336</v>
      </c>
      <c r="B292" s="116" t="s">
        <v>3666</v>
      </c>
      <c r="C292" s="66" t="s">
        <v>4337</v>
      </c>
      <c r="D292" s="66" t="s">
        <v>3834</v>
      </c>
      <c r="E292" s="66">
        <v>5</v>
      </c>
      <c r="F292" s="142"/>
      <c r="G292" s="66"/>
      <c r="H292" s="66"/>
      <c r="I292" s="142">
        <v>11</v>
      </c>
      <c r="J292" s="66" t="s">
        <v>4331</v>
      </c>
      <c r="K292" s="485">
        <v>6625000</v>
      </c>
      <c r="L292" s="66">
        <v>2</v>
      </c>
      <c r="M292" s="66" t="s">
        <v>4332</v>
      </c>
      <c r="N292" s="118" t="s">
        <v>4333</v>
      </c>
      <c r="O292" s="66" t="s">
        <v>3974</v>
      </c>
      <c r="P292" s="482">
        <f t="shared" si="1"/>
        <v>1741250</v>
      </c>
    </row>
    <row r="293" spans="1:16" ht="21.95" customHeight="1">
      <c r="A293" s="121" t="s">
        <v>4338</v>
      </c>
      <c r="B293" s="116" t="s">
        <v>4339</v>
      </c>
      <c r="C293" s="66" t="s">
        <v>4340</v>
      </c>
      <c r="D293" s="66" t="s">
        <v>4341</v>
      </c>
      <c r="E293" s="66">
        <v>1</v>
      </c>
      <c r="F293" s="66"/>
      <c r="G293" s="66"/>
      <c r="H293" s="66"/>
      <c r="I293" s="142">
        <v>0.5</v>
      </c>
      <c r="J293" s="66" t="s">
        <v>4271</v>
      </c>
      <c r="K293" s="485">
        <v>100000</v>
      </c>
      <c r="L293" s="66">
        <v>3</v>
      </c>
      <c r="M293" s="66" t="s">
        <v>4342</v>
      </c>
      <c r="N293" s="118" t="s">
        <v>4333</v>
      </c>
      <c r="O293" s="66" t="s">
        <v>3974</v>
      </c>
      <c r="P293" s="482">
        <f>424900*E293</f>
        <v>424900</v>
      </c>
    </row>
    <row r="294" spans="1:16" ht="27.95" customHeight="1">
      <c r="A294" s="121" t="s">
        <v>4338</v>
      </c>
      <c r="B294" s="116" t="s">
        <v>4343</v>
      </c>
      <c r="C294" s="66" t="s">
        <v>4344</v>
      </c>
      <c r="D294" s="66" t="s">
        <v>3778</v>
      </c>
      <c r="E294" s="66">
        <v>7</v>
      </c>
      <c r="F294" s="142"/>
      <c r="G294" s="66"/>
      <c r="H294" s="66"/>
      <c r="I294" s="142">
        <v>1.5</v>
      </c>
      <c r="J294" s="66" t="s">
        <v>387</v>
      </c>
      <c r="K294" s="485">
        <v>3235000</v>
      </c>
      <c r="L294" s="66">
        <v>1</v>
      </c>
      <c r="M294" s="66" t="s">
        <v>4345</v>
      </c>
      <c r="N294" s="118" t="s">
        <v>4333</v>
      </c>
      <c r="O294" s="66" t="s">
        <v>3974</v>
      </c>
      <c r="P294" s="482">
        <f>1174227*E294</f>
        <v>8219589</v>
      </c>
    </row>
    <row r="295" spans="1:16" ht="27" customHeight="1">
      <c r="A295" s="121" t="s">
        <v>4338</v>
      </c>
      <c r="B295" s="116" t="s">
        <v>421</v>
      </c>
      <c r="C295" s="66" t="s">
        <v>2063</v>
      </c>
      <c r="D295" s="66" t="s">
        <v>3824</v>
      </c>
      <c r="E295" s="66">
        <v>1</v>
      </c>
      <c r="F295" s="130"/>
      <c r="G295" s="66"/>
      <c r="H295" s="66"/>
      <c r="I295" s="142">
        <v>1</v>
      </c>
      <c r="J295" s="66" t="s">
        <v>4284</v>
      </c>
      <c r="K295" s="485">
        <v>4000000</v>
      </c>
      <c r="L295" s="66">
        <v>2</v>
      </c>
      <c r="M295" s="66" t="s">
        <v>4345</v>
      </c>
      <c r="N295" s="118" t="s">
        <v>4333</v>
      </c>
      <c r="O295" s="66" t="s">
        <v>3974</v>
      </c>
      <c r="P295" s="482">
        <f>569000*E295</f>
        <v>569000</v>
      </c>
    </row>
    <row r="296" spans="1:16" ht="20.45" customHeight="1">
      <c r="A296" s="143" t="s">
        <v>4346</v>
      </c>
      <c r="B296" s="148" t="s">
        <v>2377</v>
      </c>
      <c r="C296" s="146" t="s">
        <v>2390</v>
      </c>
      <c r="D296" s="66" t="s">
        <v>3824</v>
      </c>
      <c r="E296" s="144">
        <v>10</v>
      </c>
      <c r="F296" s="145"/>
      <c r="G296" s="146"/>
      <c r="H296" s="146"/>
      <c r="I296" s="147">
        <v>28.7</v>
      </c>
      <c r="J296" s="146" t="s">
        <v>4271</v>
      </c>
      <c r="K296" s="757">
        <v>29007090</v>
      </c>
      <c r="L296" s="146">
        <v>1</v>
      </c>
      <c r="M296" s="66" t="s">
        <v>4345</v>
      </c>
      <c r="N296" s="118" t="s">
        <v>4333</v>
      </c>
      <c r="O296" s="66" t="s">
        <v>3974</v>
      </c>
      <c r="P296" s="482">
        <f>569000*E296</f>
        <v>5690000</v>
      </c>
    </row>
    <row r="297" spans="1:16" ht="23.1" customHeight="1">
      <c r="A297" s="143" t="s">
        <v>4346</v>
      </c>
      <c r="B297" s="148" t="s">
        <v>2377</v>
      </c>
      <c r="C297" s="146" t="s">
        <v>2390</v>
      </c>
      <c r="D297" s="66" t="s">
        <v>3834</v>
      </c>
      <c r="E297" s="144">
        <v>4</v>
      </c>
      <c r="F297" s="147"/>
      <c r="G297" s="146"/>
      <c r="H297" s="146"/>
      <c r="I297" s="147">
        <v>5.5</v>
      </c>
      <c r="J297" s="146" t="s">
        <v>4271</v>
      </c>
      <c r="K297" s="757">
        <f>3817450+1667200</f>
        <v>5484650</v>
      </c>
      <c r="L297" s="146">
        <v>1</v>
      </c>
      <c r="M297" s="66" t="s">
        <v>4345</v>
      </c>
      <c r="N297" s="118" t="s">
        <v>4333</v>
      </c>
      <c r="O297" s="66" t="s">
        <v>3974</v>
      </c>
      <c r="P297" s="482">
        <f>348250*E297</f>
        <v>1393000</v>
      </c>
    </row>
    <row r="298" spans="1:16" ht="22.5">
      <c r="A298" s="143" t="s">
        <v>4338</v>
      </c>
      <c r="B298" s="148" t="s">
        <v>4347</v>
      </c>
      <c r="C298" s="146" t="s">
        <v>4348</v>
      </c>
      <c r="D298" s="146" t="s">
        <v>4349</v>
      </c>
      <c r="E298" s="144">
        <v>3</v>
      </c>
      <c r="F298" s="146">
        <v>1.01</v>
      </c>
      <c r="G298" s="148"/>
      <c r="H298" s="146"/>
      <c r="I298" s="149">
        <v>1</v>
      </c>
      <c r="J298" s="146" t="s">
        <v>4350</v>
      </c>
      <c r="K298" s="757">
        <v>1305815</v>
      </c>
      <c r="L298" s="146">
        <v>1</v>
      </c>
      <c r="M298" s="146" t="s">
        <v>4345</v>
      </c>
      <c r="N298" s="118" t="s">
        <v>4333</v>
      </c>
      <c r="O298" s="66" t="s">
        <v>3974</v>
      </c>
      <c r="P298" s="778">
        <f>925735*E298</f>
        <v>2777205</v>
      </c>
    </row>
    <row r="299" spans="1:16" ht="29.1" customHeight="1">
      <c r="A299" s="143" t="s">
        <v>4338</v>
      </c>
      <c r="B299" s="148" t="s">
        <v>4347</v>
      </c>
      <c r="C299" s="146" t="s">
        <v>4351</v>
      </c>
      <c r="D299" s="66" t="s">
        <v>3824</v>
      </c>
      <c r="E299" s="144">
        <v>1</v>
      </c>
      <c r="F299" s="145"/>
      <c r="G299" s="146"/>
      <c r="H299" s="146"/>
      <c r="I299" s="147">
        <v>1.0620000000000001</v>
      </c>
      <c r="J299" s="146" t="s">
        <v>4293</v>
      </c>
      <c r="K299" s="757">
        <v>694000</v>
      </c>
      <c r="L299" s="146">
        <v>1</v>
      </c>
      <c r="M299" s="146" t="s">
        <v>4345</v>
      </c>
      <c r="N299" s="118" t="s">
        <v>4333</v>
      </c>
      <c r="O299" s="66" t="s">
        <v>3974</v>
      </c>
      <c r="P299" s="482">
        <f>569000*E299</f>
        <v>569000</v>
      </c>
    </row>
    <row r="300" spans="1:16" ht="18" customHeight="1">
      <c r="A300" s="143" t="s">
        <v>4338</v>
      </c>
      <c r="B300" s="148" t="s">
        <v>4347</v>
      </c>
      <c r="C300" s="146" t="s">
        <v>4352</v>
      </c>
      <c r="D300" s="66" t="s">
        <v>4353</v>
      </c>
      <c r="E300" s="144">
        <v>1</v>
      </c>
      <c r="F300" s="146">
        <v>1.65</v>
      </c>
      <c r="G300" s="148"/>
      <c r="H300" s="146"/>
      <c r="I300" s="150">
        <v>0.7</v>
      </c>
      <c r="J300" s="146" t="s">
        <v>4293</v>
      </c>
      <c r="K300" s="757">
        <v>646000</v>
      </c>
      <c r="L300" s="146">
        <v>1</v>
      </c>
      <c r="M300" s="146" t="s">
        <v>4345</v>
      </c>
      <c r="N300" s="118" t="s">
        <v>4333</v>
      </c>
      <c r="O300" s="66" t="s">
        <v>3974</v>
      </c>
      <c r="P300" s="778"/>
    </row>
    <row r="301" spans="1:16" ht="22.5">
      <c r="A301" s="143" t="s">
        <v>4338</v>
      </c>
      <c r="B301" s="148" t="s">
        <v>4347</v>
      </c>
      <c r="C301" s="146" t="s">
        <v>4354</v>
      </c>
      <c r="D301" s="66" t="s">
        <v>3834</v>
      </c>
      <c r="E301" s="144">
        <v>3</v>
      </c>
      <c r="F301" s="147"/>
      <c r="G301" s="146"/>
      <c r="H301" s="146"/>
      <c r="I301" s="147">
        <v>7</v>
      </c>
      <c r="J301" s="146" t="s">
        <v>4355</v>
      </c>
      <c r="K301" s="757">
        <v>414000</v>
      </c>
      <c r="L301" s="146">
        <v>1</v>
      </c>
      <c r="M301" s="146" t="s">
        <v>4345</v>
      </c>
      <c r="N301" s="118" t="s">
        <v>4333</v>
      </c>
      <c r="O301" s="66" t="s">
        <v>3974</v>
      </c>
      <c r="P301" s="482">
        <f>348250*E301</f>
        <v>1044750</v>
      </c>
    </row>
    <row r="302" spans="1:16" ht="22.5">
      <c r="A302" s="143" t="s">
        <v>4338</v>
      </c>
      <c r="B302" s="148" t="s">
        <v>4347</v>
      </c>
      <c r="C302" s="146" t="s">
        <v>4356</v>
      </c>
      <c r="D302" s="66" t="s">
        <v>4341</v>
      </c>
      <c r="E302" s="144">
        <v>1</v>
      </c>
      <c r="F302" s="146"/>
      <c r="G302" s="146"/>
      <c r="H302" s="146"/>
      <c r="I302" s="147">
        <v>1</v>
      </c>
      <c r="J302" s="146" t="s">
        <v>4357</v>
      </c>
      <c r="K302" s="757">
        <v>50000</v>
      </c>
      <c r="L302" s="146">
        <v>1</v>
      </c>
      <c r="M302" s="146" t="s">
        <v>4345</v>
      </c>
      <c r="N302" s="118" t="s">
        <v>4333</v>
      </c>
      <c r="O302" s="66" t="s">
        <v>3974</v>
      </c>
      <c r="P302" s="482">
        <f>424900*E302</f>
        <v>424900</v>
      </c>
    </row>
    <row r="303" spans="1:16" ht="22.5">
      <c r="A303" s="121" t="s">
        <v>4358</v>
      </c>
      <c r="B303" s="116" t="s">
        <v>2525</v>
      </c>
      <c r="C303" s="66" t="s">
        <v>4359</v>
      </c>
      <c r="D303" s="66" t="s">
        <v>3778</v>
      </c>
      <c r="E303" s="66">
        <v>6</v>
      </c>
      <c r="F303" s="142"/>
      <c r="G303" s="66"/>
      <c r="H303" s="66"/>
      <c r="I303" s="142">
        <v>1.3</v>
      </c>
      <c r="J303" s="66" t="s">
        <v>387</v>
      </c>
      <c r="K303" s="485">
        <v>5725000</v>
      </c>
      <c r="L303" s="66">
        <v>1</v>
      </c>
      <c r="M303" s="66" t="s">
        <v>4360</v>
      </c>
      <c r="N303" s="118" t="s">
        <v>4333</v>
      </c>
      <c r="O303" s="66" t="s">
        <v>3974</v>
      </c>
      <c r="P303" s="482">
        <f>1174227*E303</f>
        <v>7045362</v>
      </c>
    </row>
    <row r="304" spans="1:16" ht="22.5">
      <c r="A304" s="121" t="s">
        <v>4358</v>
      </c>
      <c r="B304" s="116" t="s">
        <v>2525</v>
      </c>
      <c r="C304" s="66" t="s">
        <v>4361</v>
      </c>
      <c r="D304" s="66" t="s">
        <v>3824</v>
      </c>
      <c r="E304" s="66">
        <v>6</v>
      </c>
      <c r="F304" s="130">
        <v>8.4</v>
      </c>
      <c r="G304" s="66"/>
      <c r="H304" s="66"/>
      <c r="I304" s="142">
        <v>3</v>
      </c>
      <c r="J304" s="66" t="s">
        <v>4362</v>
      </c>
      <c r="K304" s="485">
        <v>10880835</v>
      </c>
      <c r="L304" s="66">
        <v>2</v>
      </c>
      <c r="M304" s="66" t="s">
        <v>4360</v>
      </c>
      <c r="N304" s="118" t="s">
        <v>4333</v>
      </c>
      <c r="O304" s="66" t="s">
        <v>3974</v>
      </c>
      <c r="P304" s="482">
        <f>569000*E304</f>
        <v>3414000</v>
      </c>
    </row>
    <row r="305" spans="1:16" ht="22.5">
      <c r="A305" s="121" t="s">
        <v>4358</v>
      </c>
      <c r="B305" s="116" t="s">
        <v>2525</v>
      </c>
      <c r="C305" s="66" t="s">
        <v>4363</v>
      </c>
      <c r="D305" s="66" t="s">
        <v>3834</v>
      </c>
      <c r="E305" s="66">
        <v>1</v>
      </c>
      <c r="F305" s="142">
        <f>2/10000</f>
        <v>2.0000000000000001E-4</v>
      </c>
      <c r="G305" s="66"/>
      <c r="H305" s="66"/>
      <c r="I305" s="142">
        <v>0.5</v>
      </c>
      <c r="J305" s="66" t="s">
        <v>4362</v>
      </c>
      <c r="K305" s="485">
        <v>1400000</v>
      </c>
      <c r="L305" s="66">
        <v>2</v>
      </c>
      <c r="M305" s="66" t="s">
        <v>4360</v>
      </c>
      <c r="N305" s="118" t="s">
        <v>4333</v>
      </c>
      <c r="O305" s="66" t="s">
        <v>3974</v>
      </c>
      <c r="P305" s="482">
        <f>348250*E305</f>
        <v>348250</v>
      </c>
    </row>
    <row r="306" spans="1:16" ht="23.1" customHeight="1">
      <c r="A306" s="121" t="s">
        <v>4364</v>
      </c>
      <c r="B306" s="116" t="s">
        <v>1969</v>
      </c>
      <c r="C306" s="66" t="s">
        <v>1969</v>
      </c>
      <c r="D306" s="66" t="s">
        <v>3778</v>
      </c>
      <c r="E306" s="66">
        <v>2</v>
      </c>
      <c r="F306" s="142">
        <v>6.5</v>
      </c>
      <c r="G306" s="66"/>
      <c r="H306" s="66"/>
      <c r="I306" s="142">
        <v>0.96</v>
      </c>
      <c r="J306" s="66" t="s">
        <v>387</v>
      </c>
      <c r="K306" s="485">
        <f t="shared" ref="K306:K307" si="2">75000*F306</f>
        <v>487500</v>
      </c>
      <c r="L306" s="66">
        <v>1</v>
      </c>
      <c r="M306" s="66" t="s">
        <v>4342</v>
      </c>
      <c r="N306" s="118" t="s">
        <v>4333</v>
      </c>
      <c r="O306" s="66" t="s">
        <v>3974</v>
      </c>
      <c r="P306" s="482">
        <f t="shared" ref="P306:P307" si="3">1174227*E306</f>
        <v>2348454</v>
      </c>
    </row>
    <row r="307" spans="1:16" ht="33.75">
      <c r="A307" s="121" t="s">
        <v>4364</v>
      </c>
      <c r="B307" s="116" t="s">
        <v>2041</v>
      </c>
      <c r="C307" s="66" t="s">
        <v>4365</v>
      </c>
      <c r="D307" s="66" t="s">
        <v>3778</v>
      </c>
      <c r="E307" s="66">
        <v>86</v>
      </c>
      <c r="F307" s="142">
        <v>742</v>
      </c>
      <c r="G307" s="66"/>
      <c r="H307" s="66"/>
      <c r="I307" s="142">
        <v>70</v>
      </c>
      <c r="J307" s="66" t="s">
        <v>387</v>
      </c>
      <c r="K307" s="485">
        <f t="shared" si="2"/>
        <v>55650000</v>
      </c>
      <c r="L307" s="66">
        <v>1</v>
      </c>
      <c r="M307" s="66" t="s">
        <v>4342</v>
      </c>
      <c r="N307" s="118" t="s">
        <v>4333</v>
      </c>
      <c r="O307" s="66" t="s">
        <v>3974</v>
      </c>
      <c r="P307" s="482">
        <f t="shared" si="3"/>
        <v>100983522</v>
      </c>
    </row>
    <row r="308" spans="1:16" ht="29.45" customHeight="1">
      <c r="A308" s="121" t="s">
        <v>4364</v>
      </c>
      <c r="B308" s="116" t="s">
        <v>2041</v>
      </c>
      <c r="C308" s="66" t="s">
        <v>2057</v>
      </c>
      <c r="D308" s="66" t="s">
        <v>4341</v>
      </c>
      <c r="E308" s="66">
        <v>5</v>
      </c>
      <c r="F308" s="142">
        <f>2553/10000</f>
        <v>0.25530000000000003</v>
      </c>
      <c r="G308" s="66"/>
      <c r="H308" s="66"/>
      <c r="I308" s="142">
        <v>6</v>
      </c>
      <c r="J308" s="66" t="s">
        <v>387</v>
      </c>
      <c r="K308" s="485">
        <f>1000*F308*10000</f>
        <v>2553000.0000000005</v>
      </c>
      <c r="L308" s="66">
        <v>3</v>
      </c>
      <c r="M308" s="66" t="s">
        <v>4342</v>
      </c>
      <c r="N308" s="118" t="s">
        <v>4333</v>
      </c>
      <c r="O308" s="66" t="s">
        <v>3974</v>
      </c>
      <c r="P308" s="482">
        <f>424900*E308</f>
        <v>2124500</v>
      </c>
    </row>
    <row r="309" spans="1:16" ht="25.5" customHeight="1">
      <c r="A309" s="121" t="s">
        <v>4364</v>
      </c>
      <c r="B309" s="116" t="s">
        <v>2041</v>
      </c>
      <c r="C309" s="66" t="s">
        <v>2057</v>
      </c>
      <c r="D309" s="146" t="s">
        <v>4349</v>
      </c>
      <c r="E309" s="66">
        <v>2</v>
      </c>
      <c r="F309" s="130">
        <f>125/10000</f>
        <v>1.2500000000000001E-2</v>
      </c>
      <c r="G309" s="66"/>
      <c r="H309" s="66"/>
      <c r="I309" s="151">
        <v>0.5</v>
      </c>
      <c r="J309" s="66" t="s">
        <v>387</v>
      </c>
      <c r="K309" s="485">
        <f>2000*F309*10000</f>
        <v>250000</v>
      </c>
      <c r="L309" s="66">
        <v>3</v>
      </c>
      <c r="M309" s="66" t="s">
        <v>4345</v>
      </c>
      <c r="N309" s="118" t="s">
        <v>4333</v>
      </c>
      <c r="O309" s="66" t="s">
        <v>3974</v>
      </c>
      <c r="P309" s="778">
        <f>925735*E309</f>
        <v>1851470</v>
      </c>
    </row>
    <row r="310" spans="1:16" ht="25.5" customHeight="1">
      <c r="A310" s="121" t="s">
        <v>4364</v>
      </c>
      <c r="B310" s="116" t="s">
        <v>2041</v>
      </c>
      <c r="C310" s="66" t="s">
        <v>2057</v>
      </c>
      <c r="D310" s="66" t="s">
        <v>4353</v>
      </c>
      <c r="E310" s="66">
        <v>2</v>
      </c>
      <c r="F310" s="130">
        <f>3345/10000</f>
        <v>0.33450000000000002</v>
      </c>
      <c r="G310" s="66"/>
      <c r="H310" s="66"/>
      <c r="I310" s="66">
        <v>0.65</v>
      </c>
      <c r="J310" s="66" t="s">
        <v>387</v>
      </c>
      <c r="K310" s="485">
        <f>500*F310*10000</f>
        <v>1672500</v>
      </c>
      <c r="L310" s="66">
        <v>3</v>
      </c>
      <c r="M310" s="66" t="s">
        <v>4342</v>
      </c>
      <c r="N310" s="118" t="s">
        <v>4333</v>
      </c>
      <c r="O310" s="66" t="s">
        <v>3974</v>
      </c>
      <c r="P310" s="482"/>
    </row>
    <row r="311" spans="1:16" ht="21" customHeight="1">
      <c r="A311" s="121" t="s">
        <v>4364</v>
      </c>
      <c r="B311" s="116" t="s">
        <v>2041</v>
      </c>
      <c r="C311" s="66" t="s">
        <v>4366</v>
      </c>
      <c r="D311" s="66" t="s">
        <v>3834</v>
      </c>
      <c r="E311" s="66">
        <v>1</v>
      </c>
      <c r="F311" s="142">
        <f>250/10000</f>
        <v>2.5000000000000001E-2</v>
      </c>
      <c r="G311" s="66"/>
      <c r="H311" s="66"/>
      <c r="I311" s="142">
        <v>0.02</v>
      </c>
      <c r="J311" s="66" t="s">
        <v>387</v>
      </c>
      <c r="K311" s="485">
        <f>2000*F311*10000</f>
        <v>500000</v>
      </c>
      <c r="L311" s="66">
        <v>3</v>
      </c>
      <c r="M311" s="66" t="s">
        <v>4342</v>
      </c>
      <c r="N311" s="118" t="s">
        <v>4333</v>
      </c>
      <c r="O311" s="66" t="s">
        <v>3974</v>
      </c>
      <c r="P311" s="482">
        <f>348250*E311</f>
        <v>348250</v>
      </c>
    </row>
    <row r="312" spans="1:16" ht="33.75">
      <c r="A312" s="121" t="s">
        <v>4364</v>
      </c>
      <c r="B312" s="116" t="s">
        <v>2020</v>
      </c>
      <c r="C312" s="66" t="s">
        <v>4367</v>
      </c>
      <c r="D312" s="66" t="s">
        <v>3778</v>
      </c>
      <c r="E312" s="66">
        <v>26</v>
      </c>
      <c r="F312" s="142">
        <v>236</v>
      </c>
      <c r="G312" s="66"/>
      <c r="H312" s="66"/>
      <c r="I312" s="142">
        <v>56</v>
      </c>
      <c r="J312" s="66" t="s">
        <v>387</v>
      </c>
      <c r="K312" s="485">
        <v>21700000</v>
      </c>
      <c r="L312" s="66">
        <v>1</v>
      </c>
      <c r="M312" s="66" t="s">
        <v>4342</v>
      </c>
      <c r="N312" s="118" t="s">
        <v>4333</v>
      </c>
      <c r="O312" s="66" t="s">
        <v>3974</v>
      </c>
      <c r="P312" s="482">
        <f t="shared" ref="P312" si="4">1174227*E312</f>
        <v>30529902</v>
      </c>
    </row>
    <row r="313" spans="1:16" ht="22.5">
      <c r="A313" s="121" t="s">
        <v>4364</v>
      </c>
      <c r="B313" s="116" t="s">
        <v>2020</v>
      </c>
      <c r="C313" s="66" t="s">
        <v>4368</v>
      </c>
      <c r="D313" s="66" t="s">
        <v>3824</v>
      </c>
      <c r="E313" s="66">
        <v>12</v>
      </c>
      <c r="F313" s="130">
        <v>19</v>
      </c>
      <c r="G313" s="66">
        <v>200</v>
      </c>
      <c r="H313" s="66"/>
      <c r="I313" s="142">
        <v>16.2</v>
      </c>
      <c r="J313" s="66" t="s">
        <v>4369</v>
      </c>
      <c r="K313" s="485">
        <v>22039150</v>
      </c>
      <c r="L313" s="66">
        <v>1</v>
      </c>
      <c r="M313" s="66" t="s">
        <v>4345</v>
      </c>
      <c r="N313" s="118" t="s">
        <v>4333</v>
      </c>
      <c r="O313" s="66" t="s">
        <v>3974</v>
      </c>
      <c r="P313" s="482">
        <f t="shared" ref="P313:P314" si="5">569000*E313</f>
        <v>6828000</v>
      </c>
    </row>
    <row r="314" spans="1:16" ht="21.95" customHeight="1">
      <c r="A314" s="121" t="s">
        <v>4364</v>
      </c>
      <c r="B314" s="116" t="s">
        <v>1989</v>
      </c>
      <c r="C314" s="66" t="s">
        <v>4370</v>
      </c>
      <c r="D314" s="66" t="s">
        <v>3824</v>
      </c>
      <c r="E314" s="66">
        <v>49</v>
      </c>
      <c r="F314" s="130">
        <v>7.51</v>
      </c>
      <c r="G314" s="66">
        <v>9000</v>
      </c>
      <c r="H314" s="66"/>
      <c r="I314" s="142">
        <v>13</v>
      </c>
      <c r="J314" s="66" t="s">
        <v>4371</v>
      </c>
      <c r="K314" s="485">
        <v>24406695</v>
      </c>
      <c r="L314" s="66">
        <v>1</v>
      </c>
      <c r="M314" s="66" t="s">
        <v>4345</v>
      </c>
      <c r="N314" s="118" t="s">
        <v>4333</v>
      </c>
      <c r="O314" s="66" t="s">
        <v>3974</v>
      </c>
      <c r="P314" s="482">
        <f t="shared" si="5"/>
        <v>27881000</v>
      </c>
    </row>
    <row r="315" spans="1:16" ht="24" customHeight="1">
      <c r="A315" s="121" t="s">
        <v>4364</v>
      </c>
      <c r="B315" s="116" t="s">
        <v>1989</v>
      </c>
      <c r="C315" s="66" t="s">
        <v>4372</v>
      </c>
      <c r="D315" s="66" t="s">
        <v>3788</v>
      </c>
      <c r="E315" s="66">
        <v>2</v>
      </c>
      <c r="F315" s="66">
        <v>2000</v>
      </c>
      <c r="G315" s="66"/>
      <c r="H315" s="66"/>
      <c r="I315" s="130">
        <v>1.25</v>
      </c>
      <c r="J315" s="66" t="s">
        <v>387</v>
      </c>
      <c r="K315" s="485">
        <v>1800000</v>
      </c>
      <c r="L315" s="66">
        <v>3</v>
      </c>
      <c r="M315" s="66" t="s">
        <v>4345</v>
      </c>
      <c r="N315" s="118" t="s">
        <v>4333</v>
      </c>
      <c r="O315" s="66" t="s">
        <v>3974</v>
      </c>
      <c r="P315" s="482"/>
    </row>
    <row r="316" spans="1:16" ht="20.45" customHeight="1">
      <c r="A316" s="121" t="s">
        <v>4364</v>
      </c>
      <c r="B316" s="116" t="s">
        <v>1989</v>
      </c>
      <c r="C316" s="66" t="s">
        <v>4373</v>
      </c>
      <c r="D316" s="66" t="s">
        <v>4374</v>
      </c>
      <c r="E316" s="66">
        <v>3</v>
      </c>
      <c r="F316" s="66">
        <v>3.8</v>
      </c>
      <c r="G316" s="66"/>
      <c r="H316" s="66"/>
      <c r="I316" s="66">
        <v>0.1</v>
      </c>
      <c r="J316" s="66" t="s">
        <v>4375</v>
      </c>
      <c r="K316" s="485">
        <f>1500*F316*1000</f>
        <v>5700000</v>
      </c>
      <c r="L316" s="66">
        <v>3</v>
      </c>
      <c r="M316" s="66" t="s">
        <v>4345</v>
      </c>
      <c r="N316" s="118" t="s">
        <v>4333</v>
      </c>
      <c r="O316" s="66" t="s">
        <v>3974</v>
      </c>
      <c r="P316" s="482"/>
    </row>
    <row r="317" spans="1:16" ht="24" customHeight="1">
      <c r="A317" s="121" t="s">
        <v>4364</v>
      </c>
      <c r="B317" s="116" t="s">
        <v>1989</v>
      </c>
      <c r="C317" s="66" t="s">
        <v>4373</v>
      </c>
      <c r="D317" s="66" t="s">
        <v>4341</v>
      </c>
      <c r="E317" s="66">
        <v>26</v>
      </c>
      <c r="F317" s="142">
        <v>0.4</v>
      </c>
      <c r="G317" s="66"/>
      <c r="H317" s="66"/>
      <c r="I317" s="142">
        <v>17</v>
      </c>
      <c r="J317" s="66" t="s">
        <v>4290</v>
      </c>
      <c r="K317" s="485">
        <f>1000*F317*10000</f>
        <v>4000000</v>
      </c>
      <c r="L317" s="66">
        <v>3</v>
      </c>
      <c r="M317" s="66" t="s">
        <v>4342</v>
      </c>
      <c r="N317" s="118" t="s">
        <v>4333</v>
      </c>
      <c r="O317" s="66" t="s">
        <v>3974</v>
      </c>
      <c r="P317" s="482">
        <f>424900*E317</f>
        <v>11047400</v>
      </c>
    </row>
    <row r="318" spans="1:16" ht="22.5">
      <c r="A318" s="121" t="s">
        <v>4364</v>
      </c>
      <c r="B318" s="116" t="s">
        <v>1989</v>
      </c>
      <c r="C318" s="66" t="s">
        <v>4376</v>
      </c>
      <c r="D318" s="66" t="s">
        <v>3778</v>
      </c>
      <c r="E318" s="66">
        <v>92</v>
      </c>
      <c r="F318" s="142">
        <v>430</v>
      </c>
      <c r="G318" s="66"/>
      <c r="H318" s="66"/>
      <c r="I318" s="142">
        <v>32</v>
      </c>
      <c r="J318" s="66" t="s">
        <v>4377</v>
      </c>
      <c r="K318" s="485">
        <v>45370000</v>
      </c>
      <c r="L318" s="66">
        <v>1</v>
      </c>
      <c r="M318" s="66" t="s">
        <v>4342</v>
      </c>
      <c r="N318" s="118" t="s">
        <v>4333</v>
      </c>
      <c r="O318" s="66" t="s">
        <v>3974</v>
      </c>
      <c r="P318" s="482">
        <f t="shared" ref="P318" si="6">1174227*E318</f>
        <v>108028884</v>
      </c>
    </row>
    <row r="319" spans="1:16" ht="22.5">
      <c r="A319" s="121" t="s">
        <v>4364</v>
      </c>
      <c r="B319" s="116" t="s">
        <v>1989</v>
      </c>
      <c r="C319" s="66" t="s">
        <v>2089</v>
      </c>
      <c r="D319" s="66" t="s">
        <v>4378</v>
      </c>
      <c r="E319" s="66">
        <v>2</v>
      </c>
      <c r="F319" s="66">
        <v>10200</v>
      </c>
      <c r="G319" s="66">
        <v>500</v>
      </c>
      <c r="H319" s="66"/>
      <c r="I319" s="130"/>
      <c r="J319" s="66" t="s">
        <v>387</v>
      </c>
      <c r="K319" s="485">
        <v>2600000</v>
      </c>
      <c r="L319" s="66">
        <v>3</v>
      </c>
      <c r="M319" s="66" t="s">
        <v>4342</v>
      </c>
      <c r="N319" s="118" t="s">
        <v>4333</v>
      </c>
      <c r="O319" s="66" t="s">
        <v>3974</v>
      </c>
      <c r="P319" s="482">
        <f>K319/2</f>
        <v>1300000</v>
      </c>
    </row>
    <row r="320" spans="1:16" ht="22.5">
      <c r="A320" s="121" t="s">
        <v>4364</v>
      </c>
      <c r="B320" s="116" t="s">
        <v>1989</v>
      </c>
      <c r="C320" s="66" t="s">
        <v>4372</v>
      </c>
      <c r="D320" s="66" t="s">
        <v>4378</v>
      </c>
      <c r="E320" s="66">
        <v>2</v>
      </c>
      <c r="F320" s="66">
        <v>759</v>
      </c>
      <c r="G320" s="66">
        <v>300</v>
      </c>
      <c r="H320" s="66"/>
      <c r="I320" s="130"/>
      <c r="J320" s="66" t="s">
        <v>387</v>
      </c>
      <c r="K320" s="485">
        <v>600000</v>
      </c>
      <c r="L320" s="66">
        <v>3</v>
      </c>
      <c r="M320" s="66" t="s">
        <v>4342</v>
      </c>
      <c r="N320" s="118" t="s">
        <v>4333</v>
      </c>
      <c r="O320" s="66" t="s">
        <v>3974</v>
      </c>
      <c r="P320" s="482">
        <f>K320/2</f>
        <v>300000</v>
      </c>
    </row>
    <row r="321" spans="1:16" ht="27" customHeight="1">
      <c r="A321" s="121" t="s">
        <v>4364</v>
      </c>
      <c r="B321" s="116" t="s">
        <v>1989</v>
      </c>
      <c r="C321" s="66" t="s">
        <v>2089</v>
      </c>
      <c r="D321" s="66" t="s">
        <v>3834</v>
      </c>
      <c r="E321" s="66">
        <v>4</v>
      </c>
      <c r="F321" s="142">
        <v>13.2</v>
      </c>
      <c r="G321" s="66"/>
      <c r="H321" s="66"/>
      <c r="I321" s="142">
        <v>7.0000000000000007E-2</v>
      </c>
      <c r="J321" s="66" t="s">
        <v>4290</v>
      </c>
      <c r="K321" s="485">
        <v>3530000</v>
      </c>
      <c r="L321" s="66">
        <v>3</v>
      </c>
      <c r="M321" s="66" t="s">
        <v>4342</v>
      </c>
      <c r="N321" s="118" t="s">
        <v>4333</v>
      </c>
      <c r="O321" s="66" t="s">
        <v>3974</v>
      </c>
      <c r="P321" s="482">
        <f>348250*E321</f>
        <v>1393000</v>
      </c>
    </row>
    <row r="322" spans="1:16" ht="45">
      <c r="A322" s="121" t="s">
        <v>4364</v>
      </c>
      <c r="B322" s="116" t="s">
        <v>2005</v>
      </c>
      <c r="C322" s="66" t="s">
        <v>4379</v>
      </c>
      <c r="D322" s="66" t="s">
        <v>3778</v>
      </c>
      <c r="E322" s="66">
        <v>90</v>
      </c>
      <c r="F322" s="142">
        <v>431</v>
      </c>
      <c r="G322" s="66"/>
      <c r="H322" s="66"/>
      <c r="I322" s="142">
        <v>27</v>
      </c>
      <c r="J322" s="66" t="s">
        <v>387</v>
      </c>
      <c r="K322" s="485">
        <v>32296500</v>
      </c>
      <c r="L322" s="66">
        <v>1</v>
      </c>
      <c r="M322" s="66" t="s">
        <v>4342</v>
      </c>
      <c r="N322" s="118" t="s">
        <v>4333</v>
      </c>
      <c r="O322" s="66" t="s">
        <v>3974</v>
      </c>
      <c r="P322" s="482">
        <f t="shared" ref="P322" si="7">1174227*E322</f>
        <v>105680430</v>
      </c>
    </row>
    <row r="323" spans="1:16" ht="22.5">
      <c r="A323" s="121" t="s">
        <v>4364</v>
      </c>
      <c r="B323" s="116" t="s">
        <v>2005</v>
      </c>
      <c r="C323" s="66" t="s">
        <v>4380</v>
      </c>
      <c r="D323" s="66" t="s">
        <v>3824</v>
      </c>
      <c r="E323" s="66">
        <v>19</v>
      </c>
      <c r="F323" s="130">
        <v>6</v>
      </c>
      <c r="G323" s="66">
        <v>3700</v>
      </c>
      <c r="H323" s="66"/>
      <c r="I323" s="142">
        <v>14</v>
      </c>
      <c r="J323" s="66" t="s">
        <v>4381</v>
      </c>
      <c r="K323" s="485">
        <v>11249500</v>
      </c>
      <c r="L323" s="66">
        <v>2</v>
      </c>
      <c r="M323" s="66" t="s">
        <v>4345</v>
      </c>
      <c r="N323" s="118" t="s">
        <v>4333</v>
      </c>
      <c r="O323" s="66" t="s">
        <v>3974</v>
      </c>
      <c r="P323" s="482">
        <f>569000*E323</f>
        <v>10811000</v>
      </c>
    </row>
    <row r="324" spans="1:16" ht="25.5" customHeight="1">
      <c r="A324" s="121" t="s">
        <v>4364</v>
      </c>
      <c r="B324" s="116" t="s">
        <v>4382</v>
      </c>
      <c r="C324" s="66" t="s">
        <v>4382</v>
      </c>
      <c r="D324" s="66" t="s">
        <v>3778</v>
      </c>
      <c r="E324" s="66">
        <v>21</v>
      </c>
      <c r="F324" s="142">
        <v>73.5</v>
      </c>
      <c r="G324" s="66"/>
      <c r="H324" s="66"/>
      <c r="I324" s="142">
        <v>4.5</v>
      </c>
      <c r="J324" s="66" t="s">
        <v>387</v>
      </c>
      <c r="K324" s="485">
        <v>6445500</v>
      </c>
      <c r="L324" s="66">
        <v>1</v>
      </c>
      <c r="M324" s="66" t="s">
        <v>4342</v>
      </c>
      <c r="N324" s="118" t="s">
        <v>4333</v>
      </c>
      <c r="O324" s="66" t="s">
        <v>3974</v>
      </c>
      <c r="P324" s="482">
        <f t="shared" ref="P324" si="8">1174227*E324</f>
        <v>24658767</v>
      </c>
    </row>
    <row r="325" spans="1:16" ht="27" customHeight="1">
      <c r="A325" s="121" t="s">
        <v>4364</v>
      </c>
      <c r="B325" s="116" t="s">
        <v>4382</v>
      </c>
      <c r="C325" s="66" t="s">
        <v>4382</v>
      </c>
      <c r="D325" s="66" t="s">
        <v>3824</v>
      </c>
      <c r="E325" s="66">
        <v>1</v>
      </c>
      <c r="F325" s="130">
        <f>30000/10000</f>
        <v>3</v>
      </c>
      <c r="G325" s="66"/>
      <c r="H325" s="66"/>
      <c r="I325" s="142">
        <v>0.3</v>
      </c>
      <c r="J325" s="66" t="s">
        <v>4371</v>
      </c>
      <c r="K325" s="485">
        <v>3000000</v>
      </c>
      <c r="L325" s="66">
        <v>2</v>
      </c>
      <c r="M325" s="66" t="s">
        <v>4345</v>
      </c>
      <c r="N325" s="118" t="s">
        <v>4333</v>
      </c>
      <c r="O325" s="66" t="s">
        <v>3974</v>
      </c>
      <c r="P325" s="482">
        <f>569000*E325</f>
        <v>569000</v>
      </c>
    </row>
    <row r="326" spans="1:16" ht="35.1" customHeight="1">
      <c r="A326" s="121" t="s">
        <v>4383</v>
      </c>
      <c r="B326" s="116" t="s">
        <v>2595</v>
      </c>
      <c r="C326" s="66" t="s">
        <v>4384</v>
      </c>
      <c r="D326" s="66" t="s">
        <v>3778</v>
      </c>
      <c r="E326" s="66">
        <v>105</v>
      </c>
      <c r="F326" s="142"/>
      <c r="G326" s="66"/>
      <c r="H326" s="66"/>
      <c r="I326" s="152">
        <v>41.5</v>
      </c>
      <c r="J326" s="66" t="s">
        <v>387</v>
      </c>
      <c r="K326" s="485">
        <v>165845000</v>
      </c>
      <c r="L326" s="66">
        <v>1</v>
      </c>
      <c r="M326" s="66" t="s">
        <v>4345</v>
      </c>
      <c r="N326" s="118" t="s">
        <v>4333</v>
      </c>
      <c r="O326" s="66" t="s">
        <v>4385</v>
      </c>
      <c r="P326" s="482">
        <f t="shared" ref="P326" si="9">1174227*E326</f>
        <v>123293835</v>
      </c>
    </row>
    <row r="327" spans="1:16" ht="29.45" customHeight="1">
      <c r="A327" s="121" t="s">
        <v>4383</v>
      </c>
      <c r="B327" s="116" t="s">
        <v>2595</v>
      </c>
      <c r="C327" s="66" t="s">
        <v>4386</v>
      </c>
      <c r="D327" s="66" t="s">
        <v>3824</v>
      </c>
      <c r="E327" s="66">
        <v>12</v>
      </c>
      <c r="F327" s="130"/>
      <c r="G327" s="66"/>
      <c r="H327" s="66"/>
      <c r="I327" s="152">
        <v>9</v>
      </c>
      <c r="J327" s="66" t="s">
        <v>387</v>
      </c>
      <c r="K327" s="485">
        <v>27634000</v>
      </c>
      <c r="L327" s="66">
        <v>1</v>
      </c>
      <c r="M327" s="66" t="s">
        <v>4345</v>
      </c>
      <c r="N327" s="118" t="s">
        <v>4333</v>
      </c>
      <c r="O327" s="66" t="s">
        <v>4385</v>
      </c>
      <c r="P327" s="482">
        <f>569000*E327</f>
        <v>6828000</v>
      </c>
    </row>
    <row r="328" spans="1:16" ht="22.5" customHeight="1">
      <c r="A328" s="121" t="s">
        <v>4383</v>
      </c>
      <c r="B328" s="116" t="s">
        <v>2595</v>
      </c>
      <c r="C328" s="66" t="s">
        <v>4387</v>
      </c>
      <c r="D328" s="66" t="s">
        <v>4341</v>
      </c>
      <c r="E328" s="66">
        <v>2</v>
      </c>
      <c r="F328" s="66"/>
      <c r="G328" s="66"/>
      <c r="H328" s="66"/>
      <c r="I328" s="152">
        <v>3</v>
      </c>
      <c r="J328" s="66" t="s">
        <v>387</v>
      </c>
      <c r="K328" s="485">
        <v>660000</v>
      </c>
      <c r="L328" s="66">
        <v>2</v>
      </c>
      <c r="M328" s="66" t="s">
        <v>4345</v>
      </c>
      <c r="N328" s="118" t="s">
        <v>4333</v>
      </c>
      <c r="O328" s="66" t="s">
        <v>4385</v>
      </c>
      <c r="P328" s="482">
        <f>424900*E328</f>
        <v>849800</v>
      </c>
    </row>
    <row r="329" spans="1:16" ht="25.5" customHeight="1">
      <c r="A329" s="153" t="s">
        <v>4383</v>
      </c>
      <c r="B329" s="184" t="s">
        <v>2595</v>
      </c>
      <c r="C329" s="75" t="s">
        <v>2620</v>
      </c>
      <c r="D329" s="75" t="s">
        <v>3834</v>
      </c>
      <c r="E329" s="75">
        <v>1</v>
      </c>
      <c r="F329" s="154"/>
      <c r="G329" s="75">
        <v>400</v>
      </c>
      <c r="H329" s="75"/>
      <c r="I329" s="155"/>
      <c r="J329" s="75" t="s">
        <v>4388</v>
      </c>
      <c r="K329" s="732">
        <v>125000</v>
      </c>
      <c r="L329" s="75">
        <v>2</v>
      </c>
      <c r="M329" s="75" t="s">
        <v>4345</v>
      </c>
      <c r="N329" s="183" t="s">
        <v>4333</v>
      </c>
      <c r="O329" s="75" t="s">
        <v>4385</v>
      </c>
      <c r="P329" s="480">
        <f>348250*E329</f>
        <v>348250</v>
      </c>
    </row>
    <row r="330" spans="1:16" ht="21" customHeight="1">
      <c r="A330" s="121" t="s">
        <v>4383</v>
      </c>
      <c r="B330" s="116" t="s">
        <v>4389</v>
      </c>
      <c r="C330" s="66" t="s">
        <v>4390</v>
      </c>
      <c r="D330" s="146" t="s">
        <v>4349</v>
      </c>
      <c r="E330" s="66">
        <v>5</v>
      </c>
      <c r="F330" s="66"/>
      <c r="G330" s="66"/>
      <c r="H330" s="66"/>
      <c r="I330" s="156">
        <v>6.4</v>
      </c>
      <c r="J330" s="66" t="s">
        <v>387</v>
      </c>
      <c r="K330" s="485">
        <v>5805000</v>
      </c>
      <c r="L330" s="66">
        <v>2</v>
      </c>
      <c r="M330" s="66" t="s">
        <v>4345</v>
      </c>
      <c r="N330" s="118" t="s">
        <v>4333</v>
      </c>
      <c r="O330" s="66" t="s">
        <v>4385</v>
      </c>
      <c r="P330" s="778">
        <f>925735*E330</f>
        <v>4628675</v>
      </c>
    </row>
    <row r="331" spans="1:16" ht="24.6" customHeight="1">
      <c r="A331" s="121" t="s">
        <v>4383</v>
      </c>
      <c r="B331" s="116" t="s">
        <v>2509</v>
      </c>
      <c r="C331" s="66" t="s">
        <v>4391</v>
      </c>
      <c r="D331" s="66" t="s">
        <v>3778</v>
      </c>
      <c r="E331" s="66">
        <v>20</v>
      </c>
      <c r="F331" s="142"/>
      <c r="G331" s="66"/>
      <c r="H331" s="66"/>
      <c r="I331" s="152">
        <v>5</v>
      </c>
      <c r="J331" s="66" t="s">
        <v>387</v>
      </c>
      <c r="K331" s="485">
        <v>18952500</v>
      </c>
      <c r="L331" s="66">
        <v>1</v>
      </c>
      <c r="M331" s="66" t="s">
        <v>4345</v>
      </c>
      <c r="N331" s="118" t="s">
        <v>4333</v>
      </c>
      <c r="O331" s="66" t="s">
        <v>4385</v>
      </c>
      <c r="P331" s="482">
        <f>1174227*E331</f>
        <v>23484540</v>
      </c>
    </row>
    <row r="332" spans="1:16" ht="23.1" customHeight="1">
      <c r="A332" s="121" t="s">
        <v>4383</v>
      </c>
      <c r="B332" s="116" t="s">
        <v>4389</v>
      </c>
      <c r="C332" s="66" t="s">
        <v>4392</v>
      </c>
      <c r="D332" s="66" t="s">
        <v>3824</v>
      </c>
      <c r="E332" s="66">
        <v>7</v>
      </c>
      <c r="F332" s="130"/>
      <c r="G332" s="66"/>
      <c r="H332" s="66"/>
      <c r="I332" s="152">
        <v>3</v>
      </c>
      <c r="J332" s="66" t="s">
        <v>387</v>
      </c>
      <c r="K332" s="485">
        <v>9916665</v>
      </c>
      <c r="L332" s="66">
        <v>1</v>
      </c>
      <c r="M332" s="66" t="s">
        <v>4345</v>
      </c>
      <c r="N332" s="118" t="s">
        <v>4333</v>
      </c>
      <c r="O332" s="66" t="s">
        <v>4385</v>
      </c>
      <c r="P332" s="482">
        <f>569000*E332</f>
        <v>3983000</v>
      </c>
    </row>
    <row r="333" spans="1:16" ht="24.6" customHeight="1">
      <c r="A333" s="121" t="s">
        <v>4383</v>
      </c>
      <c r="B333" s="116" t="s">
        <v>4389</v>
      </c>
      <c r="C333" s="66" t="s">
        <v>4393</v>
      </c>
      <c r="D333" s="66" t="s">
        <v>4341</v>
      </c>
      <c r="E333" s="66">
        <v>2</v>
      </c>
      <c r="F333" s="66"/>
      <c r="G333" s="66"/>
      <c r="H333" s="66"/>
      <c r="I333" s="152">
        <v>1.3</v>
      </c>
      <c r="J333" s="66" t="s">
        <v>387</v>
      </c>
      <c r="K333" s="485">
        <v>275000</v>
      </c>
      <c r="L333" s="66">
        <v>2</v>
      </c>
      <c r="M333" s="66" t="s">
        <v>4345</v>
      </c>
      <c r="N333" s="118" t="s">
        <v>4333</v>
      </c>
      <c r="O333" s="66" t="s">
        <v>4385</v>
      </c>
      <c r="P333" s="482">
        <f>424900*E333</f>
        <v>849800</v>
      </c>
    </row>
    <row r="334" spans="1:16" ht="29.1" customHeight="1">
      <c r="A334" s="121" t="s">
        <v>1969</v>
      </c>
      <c r="B334" s="116" t="s">
        <v>2016</v>
      </c>
      <c r="C334" s="66" t="s">
        <v>4394</v>
      </c>
      <c r="D334" s="66" t="s">
        <v>3778</v>
      </c>
      <c r="E334" s="66">
        <v>3</v>
      </c>
      <c r="F334" s="142"/>
      <c r="G334" s="66"/>
      <c r="H334" s="66"/>
      <c r="I334" s="152">
        <v>0.85</v>
      </c>
      <c r="J334" s="66" t="s">
        <v>387</v>
      </c>
      <c r="K334" s="485">
        <v>3400000</v>
      </c>
      <c r="L334" s="66">
        <v>1</v>
      </c>
      <c r="M334" s="66" t="s">
        <v>4345</v>
      </c>
      <c r="N334" s="118" t="s">
        <v>4333</v>
      </c>
      <c r="O334" s="66" t="s">
        <v>4385</v>
      </c>
      <c r="P334" s="482">
        <f t="shared" ref="P334" si="10">1174227*E334</f>
        <v>3522681</v>
      </c>
    </row>
    <row r="335" spans="1:16" ht="22.5" customHeight="1">
      <c r="A335" s="121" t="s">
        <v>4383</v>
      </c>
      <c r="B335" s="116" t="s">
        <v>2598</v>
      </c>
      <c r="C335" s="66" t="s">
        <v>4395</v>
      </c>
      <c r="D335" s="66" t="s">
        <v>4341</v>
      </c>
      <c r="E335" s="66">
        <v>9</v>
      </c>
      <c r="F335" s="66"/>
      <c r="G335" s="66"/>
      <c r="H335" s="66"/>
      <c r="I335" s="157">
        <v>8.5</v>
      </c>
      <c r="J335" s="66" t="s">
        <v>387</v>
      </c>
      <c r="K335" s="485">
        <v>1870000</v>
      </c>
      <c r="L335" s="66">
        <v>2</v>
      </c>
      <c r="M335" s="66" t="s">
        <v>4345</v>
      </c>
      <c r="N335" s="118" t="s">
        <v>4333</v>
      </c>
      <c r="O335" s="66" t="s">
        <v>4385</v>
      </c>
      <c r="P335" s="482">
        <f>424900*E335</f>
        <v>3824100</v>
      </c>
    </row>
    <row r="336" spans="1:16" ht="21.95" customHeight="1">
      <c r="A336" s="121" t="s">
        <v>4383</v>
      </c>
      <c r="B336" s="116" t="s">
        <v>2598</v>
      </c>
      <c r="C336" s="66" t="s">
        <v>4396</v>
      </c>
      <c r="D336" s="66" t="s">
        <v>3778</v>
      </c>
      <c r="E336" s="66">
        <v>7</v>
      </c>
      <c r="F336" s="142"/>
      <c r="G336" s="66"/>
      <c r="H336" s="66"/>
      <c r="I336" s="152">
        <v>3</v>
      </c>
      <c r="J336" s="66" t="s">
        <v>387</v>
      </c>
      <c r="K336" s="485">
        <v>10480000</v>
      </c>
      <c r="L336" s="66">
        <v>1</v>
      </c>
      <c r="M336" s="66" t="s">
        <v>4345</v>
      </c>
      <c r="N336" s="118" t="s">
        <v>4333</v>
      </c>
      <c r="O336" s="66" t="s">
        <v>4385</v>
      </c>
      <c r="P336" s="482">
        <f>1174227*E336</f>
        <v>8219589</v>
      </c>
    </row>
    <row r="337" spans="1:16" ht="27.95" customHeight="1">
      <c r="A337" s="121" t="s">
        <v>4383</v>
      </c>
      <c r="B337" s="116" t="s">
        <v>2598</v>
      </c>
      <c r="C337" s="66" t="s">
        <v>4397</v>
      </c>
      <c r="D337" s="66" t="s">
        <v>3824</v>
      </c>
      <c r="E337" s="66">
        <v>4</v>
      </c>
      <c r="F337" s="130"/>
      <c r="G337" s="66"/>
      <c r="H337" s="66"/>
      <c r="I337" s="152">
        <v>3</v>
      </c>
      <c r="J337" s="66" t="s">
        <v>387</v>
      </c>
      <c r="K337" s="485">
        <v>12000000</v>
      </c>
      <c r="L337" s="66">
        <v>1</v>
      </c>
      <c r="M337" s="66" t="s">
        <v>4345</v>
      </c>
      <c r="N337" s="118" t="s">
        <v>4333</v>
      </c>
      <c r="O337" s="66" t="s">
        <v>4385</v>
      </c>
      <c r="P337" s="482">
        <f>569000*E337</f>
        <v>2276000</v>
      </c>
    </row>
    <row r="338" spans="1:16" ht="29.1" customHeight="1">
      <c r="A338" s="121" t="s">
        <v>4383</v>
      </c>
      <c r="B338" s="116" t="s">
        <v>2598</v>
      </c>
      <c r="C338" s="66" t="s">
        <v>3199</v>
      </c>
      <c r="D338" s="146" t="s">
        <v>4349</v>
      </c>
      <c r="E338" s="66">
        <v>1</v>
      </c>
      <c r="F338" s="66"/>
      <c r="G338" s="66"/>
      <c r="H338" s="66"/>
      <c r="I338" s="156">
        <v>0.5</v>
      </c>
      <c r="J338" s="66" t="s">
        <v>387</v>
      </c>
      <c r="K338" s="485">
        <v>450000</v>
      </c>
      <c r="L338" s="66">
        <v>3</v>
      </c>
      <c r="M338" s="66" t="s">
        <v>4345</v>
      </c>
      <c r="N338" s="118" t="s">
        <v>4333</v>
      </c>
      <c r="O338" s="66" t="s">
        <v>4385</v>
      </c>
      <c r="P338" s="778">
        <f>925735*E338</f>
        <v>925735</v>
      </c>
    </row>
    <row r="339" spans="1:16" ht="19.5" customHeight="1">
      <c r="A339" s="121" t="s">
        <v>4383</v>
      </c>
      <c r="B339" s="116" t="s">
        <v>2598</v>
      </c>
      <c r="C339" s="66" t="s">
        <v>2598</v>
      </c>
      <c r="D339" s="66" t="s">
        <v>3788</v>
      </c>
      <c r="E339" s="66">
        <v>1</v>
      </c>
      <c r="F339" s="66"/>
      <c r="G339" s="66"/>
      <c r="H339" s="66"/>
      <c r="I339" s="158">
        <v>0.01</v>
      </c>
      <c r="J339" s="66" t="s">
        <v>387</v>
      </c>
      <c r="K339" s="485">
        <v>750000</v>
      </c>
      <c r="L339" s="66">
        <v>3</v>
      </c>
      <c r="M339" s="66" t="s">
        <v>4345</v>
      </c>
      <c r="N339" s="118" t="s">
        <v>4333</v>
      </c>
      <c r="O339" s="66" t="s">
        <v>4385</v>
      </c>
      <c r="P339" s="482"/>
    </row>
    <row r="340" spans="1:16" ht="22.5">
      <c r="A340" s="121" t="s">
        <v>4383</v>
      </c>
      <c r="B340" s="116" t="s">
        <v>2505</v>
      </c>
      <c r="C340" s="66" t="s">
        <v>4398</v>
      </c>
      <c r="D340" s="66" t="s">
        <v>3778</v>
      </c>
      <c r="E340" s="66">
        <v>13</v>
      </c>
      <c r="F340" s="142"/>
      <c r="G340" s="66"/>
      <c r="H340" s="66"/>
      <c r="I340" s="152">
        <v>6</v>
      </c>
      <c r="J340" s="66" t="s">
        <v>387</v>
      </c>
      <c r="K340" s="485">
        <v>14450000</v>
      </c>
      <c r="L340" s="66">
        <v>1</v>
      </c>
      <c r="M340" s="66" t="s">
        <v>4345</v>
      </c>
      <c r="N340" s="118" t="s">
        <v>4333</v>
      </c>
      <c r="O340" s="66" t="s">
        <v>4385</v>
      </c>
      <c r="P340" s="482">
        <f>1174227*E340</f>
        <v>15264951</v>
      </c>
    </row>
    <row r="341" spans="1:16" ht="35.1" customHeight="1">
      <c r="A341" s="121" t="s">
        <v>4383</v>
      </c>
      <c r="B341" s="116" t="s">
        <v>2505</v>
      </c>
      <c r="C341" s="66" t="s">
        <v>4399</v>
      </c>
      <c r="D341" s="66" t="s">
        <v>3824</v>
      </c>
      <c r="E341" s="66">
        <v>37</v>
      </c>
      <c r="F341" s="130"/>
      <c r="G341" s="66"/>
      <c r="H341" s="66"/>
      <c r="I341" s="152">
        <v>10.199999999999999</v>
      </c>
      <c r="J341" s="66" t="s">
        <v>387</v>
      </c>
      <c r="K341" s="485">
        <v>38480000</v>
      </c>
      <c r="L341" s="66">
        <v>1</v>
      </c>
      <c r="M341" s="66" t="s">
        <v>4345</v>
      </c>
      <c r="N341" s="118" t="s">
        <v>4333</v>
      </c>
      <c r="O341" s="66" t="s">
        <v>4385</v>
      </c>
      <c r="P341" s="482">
        <f>569000*E341</f>
        <v>21053000</v>
      </c>
    </row>
    <row r="342" spans="1:16" ht="21.95" customHeight="1">
      <c r="A342" s="121" t="s">
        <v>4383</v>
      </c>
      <c r="B342" s="116" t="s">
        <v>2505</v>
      </c>
      <c r="C342" s="66" t="s">
        <v>1707</v>
      </c>
      <c r="D342" s="66" t="s">
        <v>4341</v>
      </c>
      <c r="E342" s="66">
        <v>1</v>
      </c>
      <c r="F342" s="66"/>
      <c r="G342" s="146"/>
      <c r="H342" s="66"/>
      <c r="I342" s="152">
        <v>0.25</v>
      </c>
      <c r="J342" s="66" t="s">
        <v>387</v>
      </c>
      <c r="K342" s="485">
        <v>55000</v>
      </c>
      <c r="L342" s="66">
        <v>2</v>
      </c>
      <c r="M342" s="66" t="s">
        <v>4345</v>
      </c>
      <c r="N342" s="118" t="s">
        <v>4333</v>
      </c>
      <c r="O342" s="66" t="s">
        <v>4385</v>
      </c>
      <c r="P342" s="482">
        <f>424900*E342</f>
        <v>424900</v>
      </c>
    </row>
    <row r="343" spans="1:16" ht="23.45" customHeight="1">
      <c r="A343" s="143" t="s">
        <v>4346</v>
      </c>
      <c r="B343" s="148" t="s">
        <v>4203</v>
      </c>
      <c r="C343" s="146" t="s">
        <v>4400</v>
      </c>
      <c r="D343" s="66" t="s">
        <v>3824</v>
      </c>
      <c r="E343" s="146">
        <v>10</v>
      </c>
      <c r="F343" s="145">
        <f>((4000000*150)/1000)/10000</f>
        <v>60</v>
      </c>
      <c r="G343" s="146"/>
      <c r="H343" s="119"/>
      <c r="I343" s="147">
        <v>25</v>
      </c>
      <c r="J343" s="146" t="s">
        <v>4371</v>
      </c>
      <c r="K343" s="757">
        <v>20000000</v>
      </c>
      <c r="L343" s="146">
        <v>2</v>
      </c>
      <c r="M343" s="146" t="s">
        <v>4345</v>
      </c>
      <c r="N343" s="118" t="s">
        <v>4333</v>
      </c>
      <c r="O343" s="146" t="s">
        <v>3974</v>
      </c>
      <c r="P343" s="482">
        <f>569000*E343</f>
        <v>5690000</v>
      </c>
    </row>
    <row r="344" spans="1:16" ht="26.1" customHeight="1">
      <c r="A344" s="143" t="s">
        <v>4346</v>
      </c>
      <c r="B344" s="148" t="s">
        <v>4401</v>
      </c>
      <c r="C344" s="146" t="s">
        <v>4402</v>
      </c>
      <c r="D344" s="66" t="s">
        <v>3778</v>
      </c>
      <c r="E344" s="146">
        <v>9</v>
      </c>
      <c r="F344" s="159"/>
      <c r="G344" s="146">
        <v>80</v>
      </c>
      <c r="H344" s="146"/>
      <c r="I344" s="147">
        <v>46</v>
      </c>
      <c r="J344" s="146" t="s">
        <v>4371</v>
      </c>
      <c r="K344" s="757">
        <v>34700000</v>
      </c>
      <c r="L344" s="146">
        <v>1</v>
      </c>
      <c r="M344" s="146" t="s">
        <v>4345</v>
      </c>
      <c r="N344" s="118" t="s">
        <v>4333</v>
      </c>
      <c r="O344" s="146" t="s">
        <v>3974</v>
      </c>
      <c r="P344" s="482">
        <f t="shared" ref="P344" si="11">1174227*E344</f>
        <v>10568043</v>
      </c>
    </row>
    <row r="345" spans="1:16" ht="21" customHeight="1">
      <c r="A345" s="143" t="s">
        <v>4346</v>
      </c>
      <c r="B345" s="148" t="s">
        <v>4401</v>
      </c>
      <c r="C345" s="146" t="s">
        <v>4403</v>
      </c>
      <c r="D345" s="146" t="s">
        <v>4349</v>
      </c>
      <c r="E345" s="146">
        <v>1</v>
      </c>
      <c r="F345" s="119"/>
      <c r="G345" s="146">
        <v>1700</v>
      </c>
      <c r="H345" s="146"/>
      <c r="I345" s="149">
        <v>1</v>
      </c>
      <c r="J345" s="146" t="s">
        <v>4371</v>
      </c>
      <c r="K345" s="757">
        <v>1000000</v>
      </c>
      <c r="L345" s="146">
        <v>1</v>
      </c>
      <c r="M345" s="146" t="s">
        <v>4345</v>
      </c>
      <c r="N345" s="118" t="s">
        <v>4333</v>
      </c>
      <c r="O345" s="146" t="s">
        <v>3974</v>
      </c>
      <c r="P345" s="778">
        <f>925735*E345</f>
        <v>925735</v>
      </c>
    </row>
    <row r="346" spans="1:16" ht="21" customHeight="1">
      <c r="A346" s="143" t="s">
        <v>4346</v>
      </c>
      <c r="B346" s="148" t="s">
        <v>4404</v>
      </c>
      <c r="C346" s="146" t="s">
        <v>4405</v>
      </c>
      <c r="D346" s="66" t="s">
        <v>3778</v>
      </c>
      <c r="E346" s="146">
        <v>4</v>
      </c>
      <c r="F346" s="159"/>
      <c r="G346" s="146"/>
      <c r="H346" s="146"/>
      <c r="I346" s="147">
        <v>7</v>
      </c>
      <c r="J346" s="146" t="s">
        <v>4371</v>
      </c>
      <c r="K346" s="757">
        <v>1550000</v>
      </c>
      <c r="L346" s="146">
        <v>2</v>
      </c>
      <c r="M346" s="146" t="s">
        <v>4345</v>
      </c>
      <c r="N346" s="118" t="s">
        <v>4333</v>
      </c>
      <c r="O346" s="146" t="s">
        <v>3974</v>
      </c>
      <c r="P346" s="482">
        <f t="shared" ref="P346" si="12">1174227*E346</f>
        <v>4696908</v>
      </c>
    </row>
    <row r="347" spans="1:16" ht="24.6" customHeight="1">
      <c r="A347" s="143" t="s">
        <v>4346</v>
      </c>
      <c r="B347" s="148" t="s">
        <v>4406</v>
      </c>
      <c r="C347" s="146" t="s">
        <v>4405</v>
      </c>
      <c r="D347" s="66" t="s">
        <v>3824</v>
      </c>
      <c r="E347" s="146">
        <v>1</v>
      </c>
      <c r="F347" s="140"/>
      <c r="G347" s="146"/>
      <c r="H347" s="146"/>
      <c r="I347" s="147">
        <v>3</v>
      </c>
      <c r="J347" s="146" t="s">
        <v>4371</v>
      </c>
      <c r="K347" s="757">
        <v>3000000</v>
      </c>
      <c r="L347" s="146">
        <v>2</v>
      </c>
      <c r="M347" s="146" t="s">
        <v>4345</v>
      </c>
      <c r="N347" s="118" t="s">
        <v>4333</v>
      </c>
      <c r="O347" s="146" t="s">
        <v>3974</v>
      </c>
      <c r="P347" s="482">
        <f t="shared" ref="P347:P348" si="13">569000*E347</f>
        <v>569000</v>
      </c>
    </row>
    <row r="348" spans="1:16" ht="24.95" customHeight="1">
      <c r="A348" s="143" t="s">
        <v>4346</v>
      </c>
      <c r="B348" s="148" t="s">
        <v>4407</v>
      </c>
      <c r="C348" s="146" t="s">
        <v>4408</v>
      </c>
      <c r="D348" s="66" t="s">
        <v>3824</v>
      </c>
      <c r="E348" s="146">
        <v>8</v>
      </c>
      <c r="F348" s="119"/>
      <c r="G348" s="146"/>
      <c r="H348" s="146"/>
      <c r="I348" s="147">
        <v>7</v>
      </c>
      <c r="J348" s="146" t="s">
        <v>4371</v>
      </c>
      <c r="K348" s="757">
        <v>2800000</v>
      </c>
      <c r="L348" s="146">
        <v>1</v>
      </c>
      <c r="M348" s="146" t="s">
        <v>4345</v>
      </c>
      <c r="N348" s="118" t="s">
        <v>4333</v>
      </c>
      <c r="O348" s="146" t="s">
        <v>3974</v>
      </c>
      <c r="P348" s="482">
        <f t="shared" si="13"/>
        <v>4552000</v>
      </c>
    </row>
    <row r="349" spans="1:16" ht="29.45" customHeight="1">
      <c r="A349" s="160" t="s">
        <v>4346</v>
      </c>
      <c r="B349" s="758" t="s">
        <v>4407</v>
      </c>
      <c r="C349" s="161" t="s">
        <v>4409</v>
      </c>
      <c r="D349" s="75" t="s">
        <v>3834</v>
      </c>
      <c r="E349" s="161">
        <v>82</v>
      </c>
      <c r="F349" s="162">
        <v>86.2</v>
      </c>
      <c r="G349" s="161"/>
      <c r="H349" s="161"/>
      <c r="I349" s="162">
        <v>4</v>
      </c>
      <c r="J349" s="161" t="s">
        <v>4371</v>
      </c>
      <c r="K349" s="759">
        <v>43385000</v>
      </c>
      <c r="L349" s="161">
        <v>1</v>
      </c>
      <c r="M349" s="161" t="s">
        <v>4345</v>
      </c>
      <c r="N349" s="183" t="s">
        <v>4333</v>
      </c>
      <c r="O349" s="161" t="s">
        <v>3974</v>
      </c>
      <c r="P349" s="480">
        <f>348250*E349</f>
        <v>28556500</v>
      </c>
    </row>
    <row r="350" spans="1:16" ht="31.5" customHeight="1">
      <c r="A350" s="143" t="s">
        <v>4346</v>
      </c>
      <c r="B350" s="148" t="s">
        <v>4410</v>
      </c>
      <c r="C350" s="146" t="s">
        <v>4410</v>
      </c>
      <c r="D350" s="66" t="s">
        <v>3788</v>
      </c>
      <c r="E350" s="146">
        <v>1</v>
      </c>
      <c r="F350" s="119"/>
      <c r="G350" s="146">
        <v>90</v>
      </c>
      <c r="H350" s="146"/>
      <c r="I350" s="146">
        <v>1.5</v>
      </c>
      <c r="J350" s="146" t="s">
        <v>4371</v>
      </c>
      <c r="K350" s="757">
        <v>3600000</v>
      </c>
      <c r="L350" s="146">
        <v>2</v>
      </c>
      <c r="M350" s="146" t="s">
        <v>4345</v>
      </c>
      <c r="N350" s="118" t="s">
        <v>4333</v>
      </c>
      <c r="O350" s="146" t="s">
        <v>3974</v>
      </c>
      <c r="P350" s="483"/>
    </row>
    <row r="351" spans="1:16" ht="12.75" customHeight="1">
      <c r="A351" s="221" t="s">
        <v>4411</v>
      </c>
      <c r="B351" s="119" t="s">
        <v>380</v>
      </c>
      <c r="C351" s="171" t="s">
        <v>1662</v>
      </c>
      <c r="D351" s="127" t="s">
        <v>4412</v>
      </c>
      <c r="E351" s="131">
        <v>1</v>
      </c>
      <c r="F351" s="140">
        <v>1.5</v>
      </c>
      <c r="G351" s="116">
        <v>7.5</v>
      </c>
      <c r="H351" s="116"/>
      <c r="I351" s="116"/>
      <c r="J351" s="66" t="s">
        <v>4271</v>
      </c>
      <c r="K351" s="470">
        <v>3000000</v>
      </c>
      <c r="L351" s="66" t="s">
        <v>30</v>
      </c>
      <c r="M351" s="66">
        <v>1</v>
      </c>
      <c r="N351" s="173" t="s">
        <v>4413</v>
      </c>
      <c r="O351" s="66" t="s">
        <v>3974</v>
      </c>
      <c r="P351" s="468">
        <v>209250</v>
      </c>
    </row>
    <row r="352" spans="1:16">
      <c r="A352" s="221" t="s">
        <v>4411</v>
      </c>
      <c r="B352" s="119" t="s">
        <v>376</v>
      </c>
      <c r="C352" s="171" t="s">
        <v>4414</v>
      </c>
      <c r="D352" s="127"/>
      <c r="E352" s="131">
        <v>1</v>
      </c>
      <c r="F352" s="140">
        <v>2</v>
      </c>
      <c r="G352" s="116"/>
      <c r="H352" s="116"/>
      <c r="I352" s="116"/>
      <c r="J352" s="66"/>
      <c r="K352" s="470">
        <v>2507201</v>
      </c>
      <c r="L352" s="66"/>
      <c r="M352" s="66"/>
      <c r="N352" s="173"/>
      <c r="O352" s="66"/>
      <c r="P352" s="468">
        <v>278000</v>
      </c>
    </row>
    <row r="353" spans="1:16">
      <c r="A353" s="121" t="s">
        <v>304</v>
      </c>
      <c r="B353" s="119" t="s">
        <v>4415</v>
      </c>
      <c r="C353" s="171" t="s">
        <v>4416</v>
      </c>
      <c r="D353" s="127" t="s">
        <v>4412</v>
      </c>
      <c r="E353" s="131">
        <v>6</v>
      </c>
      <c r="F353" s="140">
        <v>3.2</v>
      </c>
      <c r="G353" s="116">
        <v>4.0960000000000001</v>
      </c>
      <c r="H353" s="116"/>
      <c r="I353" s="116"/>
      <c r="J353" s="66" t="s">
        <v>4417</v>
      </c>
      <c r="K353" s="470">
        <v>1184000</v>
      </c>
      <c r="L353" s="66"/>
      <c r="M353" s="66"/>
      <c r="N353" s="173"/>
      <c r="O353" s="66"/>
      <c r="P353" s="468">
        <v>444800</v>
      </c>
    </row>
    <row r="354" spans="1:16">
      <c r="A354" s="163" t="s">
        <v>1262</v>
      </c>
      <c r="B354" s="119" t="s">
        <v>4418</v>
      </c>
      <c r="C354" s="171" t="s">
        <v>4419</v>
      </c>
      <c r="D354" s="127" t="s">
        <v>4412</v>
      </c>
      <c r="E354" s="131">
        <v>3</v>
      </c>
      <c r="F354" s="164">
        <v>12</v>
      </c>
      <c r="G354" s="116"/>
      <c r="H354" s="116"/>
      <c r="I354" s="116"/>
      <c r="J354" s="66"/>
      <c r="K354" s="470">
        <v>5800000</v>
      </c>
      <c r="L354" s="66"/>
      <c r="M354" s="66"/>
      <c r="N354" s="173"/>
      <c r="O354" s="66"/>
      <c r="P354" s="468">
        <v>1668000</v>
      </c>
    </row>
    <row r="355" spans="1:16" ht="52.5" customHeight="1">
      <c r="A355" s="163" t="s">
        <v>1262</v>
      </c>
      <c r="B355" s="754" t="s">
        <v>1055</v>
      </c>
      <c r="C355" s="171" t="s">
        <v>4420</v>
      </c>
      <c r="D355" s="127" t="s">
        <v>3754</v>
      </c>
      <c r="E355" s="131">
        <v>1</v>
      </c>
      <c r="F355" s="140">
        <v>0.5</v>
      </c>
      <c r="G355" s="116"/>
      <c r="H355" s="116"/>
      <c r="I355" s="116"/>
      <c r="J355" s="761" t="s">
        <v>4421</v>
      </c>
      <c r="K355" s="470">
        <v>100000</v>
      </c>
      <c r="L355" s="66"/>
      <c r="M355" s="66"/>
      <c r="N355" s="173"/>
      <c r="O355" s="66"/>
      <c r="P355" s="468">
        <v>69500</v>
      </c>
    </row>
    <row r="356" spans="1:16">
      <c r="A356" s="121" t="s">
        <v>4422</v>
      </c>
      <c r="B356" s="119" t="s">
        <v>4123</v>
      </c>
      <c r="C356" s="753" t="s">
        <v>4423</v>
      </c>
      <c r="D356" s="127" t="s">
        <v>4412</v>
      </c>
      <c r="E356" s="131">
        <v>2</v>
      </c>
      <c r="F356" s="140">
        <v>1.2</v>
      </c>
      <c r="G356" s="116">
        <v>0.5</v>
      </c>
      <c r="H356" s="116"/>
      <c r="I356" s="116"/>
      <c r="J356" s="66" t="s">
        <v>4424</v>
      </c>
      <c r="K356" s="470">
        <v>300000</v>
      </c>
      <c r="L356" s="66"/>
      <c r="M356" s="66"/>
      <c r="N356" s="173"/>
      <c r="O356" s="66"/>
      <c r="P356" s="468">
        <v>139000</v>
      </c>
    </row>
    <row r="357" spans="1:16" ht="25.5" customHeight="1">
      <c r="A357" s="221" t="s">
        <v>4422</v>
      </c>
      <c r="B357" s="119" t="s">
        <v>4425</v>
      </c>
      <c r="C357" s="171" t="s">
        <v>4426</v>
      </c>
      <c r="D357" s="127" t="s">
        <v>3843</v>
      </c>
      <c r="E357" s="131">
        <v>8</v>
      </c>
      <c r="F357" s="140">
        <v>9.5</v>
      </c>
      <c r="G357" s="116">
        <v>19</v>
      </c>
      <c r="H357" s="116"/>
      <c r="I357" s="116"/>
      <c r="J357" s="66" t="s">
        <v>4424</v>
      </c>
      <c r="K357" s="470">
        <v>2230000</v>
      </c>
      <c r="L357" s="116" t="s">
        <v>4427</v>
      </c>
      <c r="M357" s="66">
        <v>1</v>
      </c>
      <c r="N357" s="118" t="s">
        <v>4428</v>
      </c>
      <c r="O357" s="66" t="s">
        <v>3974</v>
      </c>
      <c r="P357" s="468">
        <v>1277000</v>
      </c>
    </row>
    <row r="358" spans="1:16">
      <c r="A358" s="221" t="s">
        <v>4422</v>
      </c>
      <c r="B358" s="119" t="s">
        <v>4429</v>
      </c>
      <c r="C358" s="171" t="s">
        <v>4430</v>
      </c>
      <c r="D358" s="127"/>
      <c r="E358" s="131">
        <v>5</v>
      </c>
      <c r="F358" s="140">
        <v>9.5</v>
      </c>
      <c r="G358" s="116">
        <v>18</v>
      </c>
      <c r="H358" s="116"/>
      <c r="I358" s="116"/>
      <c r="J358" s="66" t="s">
        <v>4424</v>
      </c>
      <c r="K358" s="470">
        <v>3000000</v>
      </c>
      <c r="L358" s="116"/>
      <c r="M358" s="66"/>
      <c r="N358" s="118"/>
      <c r="O358" s="66"/>
      <c r="P358" s="468">
        <v>1277000</v>
      </c>
    </row>
    <row r="359" spans="1:16">
      <c r="A359" s="221" t="s">
        <v>4422</v>
      </c>
      <c r="B359" s="119" t="s">
        <v>4431</v>
      </c>
      <c r="C359" s="171" t="s">
        <v>4432</v>
      </c>
      <c r="D359" s="127"/>
      <c r="E359" s="131">
        <v>3</v>
      </c>
      <c r="F359" s="140">
        <v>4.75</v>
      </c>
      <c r="G359" s="116">
        <v>6</v>
      </c>
      <c r="H359" s="116"/>
      <c r="I359" s="116"/>
      <c r="J359" s="66" t="s">
        <v>4424</v>
      </c>
      <c r="K359" s="470">
        <v>2600000</v>
      </c>
      <c r="L359" s="116"/>
      <c r="M359" s="66"/>
      <c r="N359" s="118"/>
      <c r="O359" s="66"/>
      <c r="P359" s="468">
        <v>638500</v>
      </c>
    </row>
    <row r="360" spans="1:16" ht="22.5">
      <c r="A360" s="221" t="s">
        <v>4422</v>
      </c>
      <c r="B360" s="119" t="s">
        <v>58</v>
      </c>
      <c r="C360" s="753" t="s">
        <v>4433</v>
      </c>
      <c r="D360" s="127"/>
      <c r="E360" s="131">
        <v>6</v>
      </c>
      <c r="F360" s="140">
        <v>6</v>
      </c>
      <c r="G360" s="116">
        <v>12</v>
      </c>
      <c r="H360" s="116"/>
      <c r="I360" s="116"/>
      <c r="J360" s="66" t="s">
        <v>4424</v>
      </c>
      <c r="K360" s="470">
        <v>1050000</v>
      </c>
      <c r="L360" s="116"/>
      <c r="M360" s="66"/>
      <c r="N360" s="118"/>
      <c r="O360" s="66"/>
      <c r="P360" s="468">
        <v>766200</v>
      </c>
    </row>
    <row r="361" spans="1:16">
      <c r="A361" s="221" t="s">
        <v>304</v>
      </c>
      <c r="B361" s="119" t="s">
        <v>4434</v>
      </c>
      <c r="C361" s="171" t="s">
        <v>4434</v>
      </c>
      <c r="D361" s="127" t="s">
        <v>3843</v>
      </c>
      <c r="E361" s="131">
        <v>5</v>
      </c>
      <c r="F361" s="140">
        <v>1.25</v>
      </c>
      <c r="G361" s="116">
        <v>2.11</v>
      </c>
      <c r="H361" s="116"/>
      <c r="I361" s="116"/>
      <c r="J361" s="66" t="s">
        <v>4424</v>
      </c>
      <c r="K361" s="470">
        <v>591000</v>
      </c>
      <c r="L361" s="116" t="s">
        <v>30</v>
      </c>
      <c r="M361" s="116">
        <v>1</v>
      </c>
      <c r="N361" s="118" t="s">
        <v>4428</v>
      </c>
      <c r="O361" s="181" t="s">
        <v>3974</v>
      </c>
      <c r="P361" s="468">
        <v>159625</v>
      </c>
    </row>
    <row r="362" spans="1:16">
      <c r="A362" s="221" t="s">
        <v>304</v>
      </c>
      <c r="B362" s="119" t="s">
        <v>4435</v>
      </c>
      <c r="C362" s="171" t="s">
        <v>4416</v>
      </c>
      <c r="D362" s="127"/>
      <c r="E362" s="131">
        <v>2</v>
      </c>
      <c r="F362" s="140">
        <v>2.25</v>
      </c>
      <c r="G362" s="116">
        <v>4.1399999999999997</v>
      </c>
      <c r="H362" s="116"/>
      <c r="I362" s="116"/>
      <c r="J362" s="66"/>
      <c r="K362" s="470">
        <v>1080000</v>
      </c>
      <c r="L362" s="116"/>
      <c r="M362" s="116"/>
      <c r="N362" s="118"/>
      <c r="O362" s="181"/>
      <c r="P362" s="468">
        <v>287325</v>
      </c>
    </row>
    <row r="363" spans="1:16">
      <c r="A363" s="221" t="s">
        <v>4411</v>
      </c>
      <c r="B363" s="119" t="s">
        <v>388</v>
      </c>
      <c r="C363" s="171" t="s">
        <v>1658</v>
      </c>
      <c r="D363" s="127" t="s">
        <v>4436</v>
      </c>
      <c r="E363" s="131">
        <v>2</v>
      </c>
      <c r="F363" s="140">
        <v>1.5</v>
      </c>
      <c r="G363" s="140">
        <v>17.79</v>
      </c>
      <c r="H363" s="116"/>
      <c r="I363" s="116"/>
      <c r="J363" s="66" t="s">
        <v>4437</v>
      </c>
      <c r="K363" s="470">
        <v>375000</v>
      </c>
      <c r="L363" s="66" t="s">
        <v>18</v>
      </c>
      <c r="M363" s="66">
        <v>1</v>
      </c>
      <c r="N363" s="118" t="s">
        <v>4428</v>
      </c>
      <c r="O363" s="66" t="s">
        <v>3974</v>
      </c>
      <c r="P363" s="468">
        <v>191550</v>
      </c>
    </row>
    <row r="364" spans="1:16">
      <c r="A364" s="221" t="s">
        <v>4411</v>
      </c>
      <c r="B364" s="119" t="s">
        <v>380</v>
      </c>
      <c r="C364" s="171" t="s">
        <v>4438</v>
      </c>
      <c r="D364" s="127"/>
      <c r="E364" s="131">
        <v>7</v>
      </c>
      <c r="F364" s="140">
        <v>4.8499999999999996</v>
      </c>
      <c r="G364" s="140">
        <v>17.79</v>
      </c>
      <c r="H364" s="116"/>
      <c r="I364" s="116"/>
      <c r="J364" s="66"/>
      <c r="K364" s="470">
        <v>1087500</v>
      </c>
      <c r="L364" s="66"/>
      <c r="M364" s="66"/>
      <c r="N364" s="118"/>
      <c r="O364" s="66"/>
      <c r="P364" s="468">
        <v>619345</v>
      </c>
    </row>
    <row r="365" spans="1:16">
      <c r="A365" s="221" t="s">
        <v>4411</v>
      </c>
      <c r="B365" s="119" t="s">
        <v>371</v>
      </c>
      <c r="C365" s="171" t="s">
        <v>4439</v>
      </c>
      <c r="D365" s="127"/>
      <c r="E365" s="131">
        <v>2</v>
      </c>
      <c r="F365" s="140">
        <v>0.7</v>
      </c>
      <c r="G365" s="140">
        <v>17.79</v>
      </c>
      <c r="H365" s="116"/>
      <c r="I365" s="116"/>
      <c r="J365" s="66"/>
      <c r="K365" s="470">
        <v>175000</v>
      </c>
      <c r="L365" s="66"/>
      <c r="M365" s="66"/>
      <c r="N365" s="118"/>
      <c r="O365" s="66"/>
      <c r="P365" s="468">
        <v>89390</v>
      </c>
    </row>
    <row r="366" spans="1:16">
      <c r="A366" s="221" t="s">
        <v>4411</v>
      </c>
      <c r="B366" s="119" t="s">
        <v>421</v>
      </c>
      <c r="C366" s="171" t="s">
        <v>421</v>
      </c>
      <c r="D366" s="127"/>
      <c r="E366" s="131">
        <v>2</v>
      </c>
      <c r="F366" s="140">
        <v>0.75</v>
      </c>
      <c r="G366" s="140">
        <v>17.79</v>
      </c>
      <c r="H366" s="116"/>
      <c r="I366" s="116"/>
      <c r="J366" s="66"/>
      <c r="K366" s="470">
        <v>382500</v>
      </c>
      <c r="L366" s="66"/>
      <c r="M366" s="66"/>
      <c r="N366" s="118"/>
      <c r="O366" s="66"/>
      <c r="P366" s="468">
        <v>95775</v>
      </c>
    </row>
    <row r="367" spans="1:16">
      <c r="A367" s="221" t="s">
        <v>4411</v>
      </c>
      <c r="B367" s="119" t="s">
        <v>376</v>
      </c>
      <c r="C367" s="171" t="s">
        <v>1686</v>
      </c>
      <c r="D367" s="127"/>
      <c r="E367" s="131">
        <v>1</v>
      </c>
      <c r="F367" s="140">
        <v>0.25</v>
      </c>
      <c r="G367" s="140">
        <v>17.79</v>
      </c>
      <c r="H367" s="116"/>
      <c r="I367" s="116"/>
      <c r="J367" s="66"/>
      <c r="K367" s="470">
        <v>62500</v>
      </c>
      <c r="L367" s="66"/>
      <c r="M367" s="66"/>
      <c r="N367" s="118"/>
      <c r="O367" s="66"/>
      <c r="P367" s="468">
        <v>31925</v>
      </c>
    </row>
    <row r="368" spans="1:16" ht="22.5">
      <c r="A368" s="221" t="s">
        <v>4411</v>
      </c>
      <c r="B368" s="119" t="s">
        <v>435</v>
      </c>
      <c r="C368" s="171" t="s">
        <v>4440</v>
      </c>
      <c r="D368" s="127"/>
      <c r="E368" s="131">
        <v>8</v>
      </c>
      <c r="F368" s="140">
        <v>5.9</v>
      </c>
      <c r="G368" s="140">
        <v>17.79</v>
      </c>
      <c r="H368" s="116"/>
      <c r="I368" s="116"/>
      <c r="J368" s="66"/>
      <c r="K368" s="470">
        <v>1475000</v>
      </c>
      <c r="L368" s="66"/>
      <c r="M368" s="66"/>
      <c r="N368" s="118"/>
      <c r="O368" s="66"/>
      <c r="P368" s="468">
        <v>753430</v>
      </c>
    </row>
    <row r="369" spans="1:16" ht="33.75">
      <c r="A369" s="222" t="s">
        <v>130</v>
      </c>
      <c r="B369" s="119" t="s">
        <v>130</v>
      </c>
      <c r="C369" s="171" t="s">
        <v>4441</v>
      </c>
      <c r="D369" s="127" t="s">
        <v>3843</v>
      </c>
      <c r="E369" s="122">
        <v>2</v>
      </c>
      <c r="F369" s="140">
        <v>1.5</v>
      </c>
      <c r="G369" s="140">
        <v>2</v>
      </c>
      <c r="H369" s="66" t="s">
        <v>4442</v>
      </c>
      <c r="I369" s="116">
        <v>225</v>
      </c>
      <c r="J369" s="66" t="s">
        <v>4443</v>
      </c>
      <c r="K369" s="470">
        <v>1190000</v>
      </c>
      <c r="L369" s="66" t="s">
        <v>125</v>
      </c>
      <c r="M369" s="66">
        <v>1</v>
      </c>
      <c r="N369" s="118" t="s">
        <v>4428</v>
      </c>
      <c r="O369" s="66" t="s">
        <v>3974</v>
      </c>
      <c r="P369" s="468">
        <v>255400</v>
      </c>
    </row>
    <row r="370" spans="1:16">
      <c r="A370" s="222" t="s">
        <v>130</v>
      </c>
      <c r="B370" s="119" t="s">
        <v>157</v>
      </c>
      <c r="C370" s="171" t="s">
        <v>4444</v>
      </c>
      <c r="D370" s="127"/>
      <c r="E370" s="131">
        <v>5</v>
      </c>
      <c r="F370" s="140">
        <v>7.5</v>
      </c>
      <c r="G370" s="140">
        <v>11.25</v>
      </c>
      <c r="H370" s="119"/>
      <c r="I370" s="146"/>
      <c r="J370" s="66"/>
      <c r="K370" s="470">
        <v>2722500</v>
      </c>
      <c r="L370" s="66"/>
      <c r="M370" s="66"/>
      <c r="N370" s="118"/>
      <c r="O370" s="66"/>
      <c r="P370" s="468">
        <v>957750</v>
      </c>
    </row>
    <row r="371" spans="1:16">
      <c r="A371" s="221" t="s">
        <v>705</v>
      </c>
      <c r="B371" s="116" t="s">
        <v>4445</v>
      </c>
      <c r="C371" s="66" t="s">
        <v>796</v>
      </c>
      <c r="D371" s="127" t="s">
        <v>3843</v>
      </c>
      <c r="E371" s="131">
        <v>2</v>
      </c>
      <c r="F371" s="140">
        <v>11.5</v>
      </c>
      <c r="G371" s="116">
        <v>54</v>
      </c>
      <c r="H371" s="116"/>
      <c r="I371" s="116"/>
      <c r="J371" s="66" t="s">
        <v>4446</v>
      </c>
      <c r="K371" s="470">
        <v>242000</v>
      </c>
      <c r="L371" s="116" t="s">
        <v>18</v>
      </c>
      <c r="M371" s="66">
        <v>1</v>
      </c>
      <c r="N371" s="118" t="s">
        <v>4428</v>
      </c>
      <c r="O371" s="66" t="s">
        <v>3974</v>
      </c>
      <c r="P371" s="468">
        <v>1468550</v>
      </c>
    </row>
    <row r="372" spans="1:16">
      <c r="A372" s="221" t="s">
        <v>705</v>
      </c>
      <c r="B372" s="119" t="s">
        <v>4447</v>
      </c>
      <c r="C372" s="66" t="s">
        <v>4448</v>
      </c>
      <c r="D372" s="127"/>
      <c r="E372" s="131">
        <v>2</v>
      </c>
      <c r="F372" s="140">
        <v>1.5</v>
      </c>
      <c r="G372" s="116">
        <v>2.2000000000000002</v>
      </c>
      <c r="H372" s="116"/>
      <c r="I372" s="116"/>
      <c r="J372" s="66"/>
      <c r="K372" s="470">
        <v>363000</v>
      </c>
      <c r="L372" s="116"/>
      <c r="M372" s="66"/>
      <c r="N372" s="118"/>
      <c r="O372" s="66"/>
      <c r="P372" s="468">
        <v>255400</v>
      </c>
    </row>
    <row r="373" spans="1:16">
      <c r="A373" s="221" t="s">
        <v>705</v>
      </c>
      <c r="B373" s="116" t="s">
        <v>806</v>
      </c>
      <c r="C373" s="66" t="s">
        <v>4449</v>
      </c>
      <c r="D373" s="127"/>
      <c r="E373" s="131">
        <v>13</v>
      </c>
      <c r="F373" s="140">
        <v>13</v>
      </c>
      <c r="G373" s="116">
        <v>19.5</v>
      </c>
      <c r="H373" s="116"/>
      <c r="I373" s="116"/>
      <c r="J373" s="66"/>
      <c r="K373" s="470">
        <v>3146000</v>
      </c>
      <c r="L373" s="116"/>
      <c r="M373" s="66"/>
      <c r="N373" s="118"/>
      <c r="O373" s="66"/>
      <c r="P373" s="468">
        <v>1660100</v>
      </c>
    </row>
    <row r="374" spans="1:16">
      <c r="A374" s="221" t="s">
        <v>705</v>
      </c>
      <c r="B374" s="116" t="s">
        <v>4450</v>
      </c>
      <c r="C374" s="171" t="s">
        <v>4451</v>
      </c>
      <c r="D374" s="127"/>
      <c r="E374" s="131">
        <v>7</v>
      </c>
      <c r="F374" s="140">
        <v>7.5</v>
      </c>
      <c r="G374" s="116">
        <v>9.6</v>
      </c>
      <c r="H374" s="116"/>
      <c r="I374" s="116"/>
      <c r="J374" s="66"/>
      <c r="K374" s="470">
        <v>1573000</v>
      </c>
      <c r="L374" s="116"/>
      <c r="M374" s="66"/>
      <c r="N374" s="118"/>
      <c r="O374" s="66"/>
      <c r="P374" s="468">
        <v>957750</v>
      </c>
    </row>
    <row r="375" spans="1:16">
      <c r="A375" s="221" t="s">
        <v>82</v>
      </c>
      <c r="B375" s="762" t="s">
        <v>82</v>
      </c>
      <c r="C375" s="171" t="s">
        <v>82</v>
      </c>
      <c r="D375" s="127" t="s">
        <v>3843</v>
      </c>
      <c r="E375" s="131">
        <v>9</v>
      </c>
      <c r="F375" s="140">
        <v>10.75</v>
      </c>
      <c r="G375" s="116">
        <v>16.125</v>
      </c>
      <c r="H375" s="116"/>
      <c r="I375" s="116"/>
      <c r="J375" s="66" t="s">
        <v>4045</v>
      </c>
      <c r="K375" s="470">
        <v>3225000</v>
      </c>
      <c r="L375" s="116" t="s">
        <v>18</v>
      </c>
      <c r="M375" s="66">
        <v>2</v>
      </c>
      <c r="N375" s="118" t="s">
        <v>4428</v>
      </c>
      <c r="O375" s="66" t="s">
        <v>3974</v>
      </c>
      <c r="P375" s="468">
        <v>1372775</v>
      </c>
    </row>
    <row r="376" spans="1:16">
      <c r="A376" s="221" t="s">
        <v>82</v>
      </c>
      <c r="B376" s="762" t="s">
        <v>4452</v>
      </c>
      <c r="C376" s="171" t="s">
        <v>4453</v>
      </c>
      <c r="D376" s="127"/>
      <c r="E376" s="131">
        <v>6</v>
      </c>
      <c r="F376" s="140">
        <v>4.7</v>
      </c>
      <c r="G376" s="116">
        <v>6.3</v>
      </c>
      <c r="H376" s="116"/>
      <c r="I376" s="116"/>
      <c r="J376" s="66"/>
      <c r="K376" s="470">
        <v>1560000</v>
      </c>
      <c r="L376" s="116"/>
      <c r="M376" s="66"/>
      <c r="N376" s="118"/>
      <c r="O376" s="66"/>
      <c r="P376" s="468">
        <v>868360</v>
      </c>
    </row>
    <row r="377" spans="1:16">
      <c r="A377" s="221" t="s">
        <v>82</v>
      </c>
      <c r="B377" s="762" t="s">
        <v>3452</v>
      </c>
      <c r="C377" s="171" t="s">
        <v>4454</v>
      </c>
      <c r="D377" s="127"/>
      <c r="E377" s="131">
        <v>1</v>
      </c>
      <c r="F377" s="140">
        <v>0.25</v>
      </c>
      <c r="G377" s="116">
        <v>0.8</v>
      </c>
      <c r="H377" s="116"/>
      <c r="I377" s="116"/>
      <c r="J377" s="66"/>
      <c r="K377" s="470">
        <v>100000</v>
      </c>
      <c r="L377" s="116"/>
      <c r="M377" s="66"/>
      <c r="N377" s="118"/>
      <c r="O377" s="66"/>
      <c r="P377" s="468">
        <v>31925</v>
      </c>
    </row>
    <row r="378" spans="1:16" ht="22.5">
      <c r="A378" s="221" t="s">
        <v>82</v>
      </c>
      <c r="B378" s="762" t="s">
        <v>4455</v>
      </c>
      <c r="C378" s="171" t="s">
        <v>4456</v>
      </c>
      <c r="D378" s="127"/>
      <c r="E378" s="131">
        <v>3</v>
      </c>
      <c r="F378" s="140">
        <v>2.5</v>
      </c>
      <c r="G378" s="116">
        <v>3.45</v>
      </c>
      <c r="H378" s="116"/>
      <c r="I378" s="116"/>
      <c r="J378" s="66"/>
      <c r="K378" s="470">
        <v>750000</v>
      </c>
      <c r="L378" s="116"/>
      <c r="M378" s="66"/>
      <c r="N378" s="118"/>
      <c r="O378" s="66"/>
      <c r="P378" s="468">
        <v>319250</v>
      </c>
    </row>
    <row r="379" spans="1:16" ht="33.75">
      <c r="A379" s="221" t="s">
        <v>867</v>
      </c>
      <c r="B379" s="762" t="s">
        <v>4457</v>
      </c>
      <c r="C379" s="171" t="s">
        <v>4458</v>
      </c>
      <c r="D379" s="127" t="s">
        <v>3843</v>
      </c>
      <c r="E379" s="146">
        <v>80</v>
      </c>
      <c r="F379" s="145">
        <v>102.5</v>
      </c>
      <c r="G379" s="146">
        <v>150.19999999999999</v>
      </c>
      <c r="H379" s="178"/>
      <c r="I379" s="178"/>
      <c r="J379" s="146" t="s">
        <v>4459</v>
      </c>
      <c r="K379" s="470">
        <v>39052000</v>
      </c>
      <c r="L379" s="146" t="s">
        <v>125</v>
      </c>
      <c r="M379" s="178">
        <v>1</v>
      </c>
      <c r="N379" s="173" t="s">
        <v>4428</v>
      </c>
      <c r="O379" s="178" t="s">
        <v>4460</v>
      </c>
      <c r="P379" s="468">
        <v>13089250</v>
      </c>
    </row>
    <row r="380" spans="1:16">
      <c r="A380" s="221" t="s">
        <v>867</v>
      </c>
      <c r="B380" s="762" t="s">
        <v>4461</v>
      </c>
      <c r="C380" s="171" t="s">
        <v>4462</v>
      </c>
      <c r="D380" s="127"/>
      <c r="E380" s="146">
        <v>2</v>
      </c>
      <c r="F380" s="145">
        <v>1</v>
      </c>
      <c r="G380" s="146">
        <v>1.75</v>
      </c>
      <c r="H380" s="178"/>
      <c r="I380" s="178"/>
      <c r="J380" s="146"/>
      <c r="K380" s="470">
        <v>775000</v>
      </c>
      <c r="L380" s="146"/>
      <c r="M380" s="178"/>
      <c r="N380" s="173"/>
      <c r="O380" s="178"/>
      <c r="P380" s="468">
        <v>127700</v>
      </c>
    </row>
    <row r="381" spans="1:16" ht="22.5">
      <c r="A381" s="221" t="s">
        <v>867</v>
      </c>
      <c r="B381" s="762" t="s">
        <v>4463</v>
      </c>
      <c r="C381" s="171" t="s">
        <v>4464</v>
      </c>
      <c r="D381" s="127"/>
      <c r="E381" s="146">
        <v>2</v>
      </c>
      <c r="F381" s="145">
        <v>1.25</v>
      </c>
      <c r="G381" s="146">
        <v>2.75</v>
      </c>
      <c r="H381" s="178"/>
      <c r="I381" s="178"/>
      <c r="J381" s="146"/>
      <c r="K381" s="470">
        <v>825000</v>
      </c>
      <c r="L381" s="146"/>
      <c r="M381" s="178"/>
      <c r="N381" s="173"/>
      <c r="O381" s="178"/>
      <c r="P381" s="468">
        <v>159625</v>
      </c>
    </row>
    <row r="382" spans="1:16">
      <c r="A382" s="221" t="s">
        <v>867</v>
      </c>
      <c r="B382" s="762" t="s">
        <v>4465</v>
      </c>
      <c r="C382" s="171" t="s">
        <v>4466</v>
      </c>
      <c r="D382" s="127"/>
      <c r="E382" s="146">
        <v>1</v>
      </c>
      <c r="F382" s="145">
        <v>0.5</v>
      </c>
      <c r="G382" s="146">
        <v>1</v>
      </c>
      <c r="H382" s="178"/>
      <c r="I382" s="178"/>
      <c r="J382" s="146"/>
      <c r="K382" s="470">
        <v>300000</v>
      </c>
      <c r="L382" s="146"/>
      <c r="M382" s="178"/>
      <c r="N382" s="173"/>
      <c r="O382" s="178"/>
      <c r="P382" s="468">
        <v>63850</v>
      </c>
    </row>
    <row r="383" spans="1:16">
      <c r="A383" s="221" t="s">
        <v>867</v>
      </c>
      <c r="B383" s="762" t="s">
        <v>4467</v>
      </c>
      <c r="C383" s="171" t="s">
        <v>4468</v>
      </c>
      <c r="D383" s="127"/>
      <c r="E383" s="144">
        <v>5</v>
      </c>
      <c r="F383" s="145">
        <v>6</v>
      </c>
      <c r="G383" s="146">
        <v>11.3</v>
      </c>
      <c r="H383" s="178"/>
      <c r="I383" s="178"/>
      <c r="J383" s="146"/>
      <c r="K383" s="470">
        <v>2938000</v>
      </c>
      <c r="L383" s="146"/>
      <c r="M383" s="178"/>
      <c r="N383" s="173"/>
      <c r="O383" s="178"/>
      <c r="P383" s="468">
        <v>766200</v>
      </c>
    </row>
    <row r="384" spans="1:16" ht="33.75">
      <c r="A384" s="223" t="s">
        <v>4469</v>
      </c>
      <c r="B384" s="762" t="s">
        <v>4470</v>
      </c>
      <c r="C384" s="763" t="s">
        <v>4471</v>
      </c>
      <c r="D384" s="146" t="s">
        <v>3843</v>
      </c>
      <c r="E384" s="148">
        <v>37</v>
      </c>
      <c r="F384" s="165">
        <v>39.25</v>
      </c>
      <c r="G384" s="166"/>
      <c r="H384" s="224"/>
      <c r="I384" s="224"/>
      <c r="J384" s="146" t="s">
        <v>4271</v>
      </c>
      <c r="K384" s="470">
        <v>9812500</v>
      </c>
      <c r="L384" s="148" t="s">
        <v>30</v>
      </c>
      <c r="M384" s="146">
        <v>1</v>
      </c>
      <c r="N384" s="173" t="s">
        <v>4428</v>
      </c>
      <c r="O384" s="178" t="s">
        <v>3974</v>
      </c>
      <c r="P384" s="468">
        <v>5012225</v>
      </c>
    </row>
    <row r="385" spans="1:16" ht="33.75">
      <c r="A385" s="223" t="s">
        <v>4469</v>
      </c>
      <c r="B385" s="762" t="s">
        <v>1601</v>
      </c>
      <c r="C385" s="763" t="s">
        <v>4472</v>
      </c>
      <c r="D385" s="146" t="s">
        <v>4473</v>
      </c>
      <c r="E385" s="148">
        <v>37</v>
      </c>
      <c r="F385" s="165">
        <v>30.1</v>
      </c>
      <c r="G385" s="166"/>
      <c r="H385" s="224"/>
      <c r="I385" s="224"/>
      <c r="J385" s="146"/>
      <c r="K385" s="470">
        <v>9637500</v>
      </c>
      <c r="L385" s="148"/>
      <c r="M385" s="146"/>
      <c r="N385" s="173"/>
      <c r="O385" s="178"/>
      <c r="P385" s="468">
        <v>3843770</v>
      </c>
    </row>
    <row r="386" spans="1:16">
      <c r="A386" s="223" t="s">
        <v>4469</v>
      </c>
      <c r="B386" s="764" t="s">
        <v>157</v>
      </c>
      <c r="C386" s="763" t="s">
        <v>157</v>
      </c>
      <c r="D386" s="146" t="s">
        <v>4473</v>
      </c>
      <c r="E386" s="148">
        <v>1</v>
      </c>
      <c r="F386" s="165">
        <v>1</v>
      </c>
      <c r="G386" s="166"/>
      <c r="H386" s="224"/>
      <c r="I386" s="224"/>
      <c r="J386" s="146"/>
      <c r="K386" s="470">
        <v>250000</v>
      </c>
      <c r="L386" s="148"/>
      <c r="M386" s="146"/>
      <c r="N386" s="173"/>
      <c r="O386" s="178"/>
      <c r="P386" s="468">
        <v>127700</v>
      </c>
    </row>
    <row r="387" spans="1:16">
      <c r="A387" s="223" t="s">
        <v>4469</v>
      </c>
      <c r="B387" s="764" t="s">
        <v>4474</v>
      </c>
      <c r="C387" s="171"/>
      <c r="D387" s="146" t="s">
        <v>4473</v>
      </c>
      <c r="E387" s="148">
        <v>60</v>
      </c>
      <c r="F387" s="165">
        <v>67.5</v>
      </c>
      <c r="G387" s="166"/>
      <c r="H387" s="224"/>
      <c r="I387" s="224"/>
      <c r="J387" s="146"/>
      <c r="K387" s="470">
        <v>16875000</v>
      </c>
      <c r="L387" s="148"/>
      <c r="M387" s="146"/>
      <c r="N387" s="173"/>
      <c r="O387" s="178"/>
      <c r="P387" s="468">
        <v>7662000</v>
      </c>
    </row>
    <row r="388" spans="1:16" ht="74.099999999999994" customHeight="1">
      <c r="A388" s="223" t="s">
        <v>1262</v>
      </c>
      <c r="B388" s="764" t="s">
        <v>1262</v>
      </c>
      <c r="C388" s="753" t="s">
        <v>4475</v>
      </c>
      <c r="D388" s="127" t="s">
        <v>3843</v>
      </c>
      <c r="E388" s="131">
        <v>15</v>
      </c>
      <c r="F388" s="164">
        <v>13.45</v>
      </c>
      <c r="G388" s="116"/>
      <c r="H388" s="119"/>
      <c r="I388" s="116"/>
      <c r="J388" s="761" t="s">
        <v>4421</v>
      </c>
      <c r="K388" s="470">
        <v>2690000</v>
      </c>
      <c r="L388" s="66" t="s">
        <v>18</v>
      </c>
      <c r="M388" s="225">
        <v>1</v>
      </c>
      <c r="N388" s="226" t="s">
        <v>4428</v>
      </c>
      <c r="O388" s="227" t="s">
        <v>3974</v>
      </c>
      <c r="P388" s="468">
        <v>1717565</v>
      </c>
    </row>
    <row r="389" spans="1:16" ht="68.45" customHeight="1">
      <c r="A389" s="223" t="s">
        <v>1262</v>
      </c>
      <c r="B389" s="762" t="s">
        <v>1265</v>
      </c>
      <c r="C389" s="753" t="s">
        <v>4476</v>
      </c>
      <c r="D389" s="127" t="s">
        <v>4477</v>
      </c>
      <c r="E389" s="131">
        <v>21</v>
      </c>
      <c r="F389" s="140">
        <v>27</v>
      </c>
      <c r="G389" s="116"/>
      <c r="H389" s="167"/>
      <c r="I389" s="116"/>
      <c r="J389" s="761" t="s">
        <v>4478</v>
      </c>
      <c r="K389" s="470">
        <v>4930000</v>
      </c>
      <c r="L389" s="66"/>
      <c r="M389" s="225"/>
      <c r="N389" s="226"/>
      <c r="O389" s="227"/>
      <c r="P389" s="468">
        <v>3447900</v>
      </c>
    </row>
    <row r="390" spans="1:16" ht="80.099999999999994" customHeight="1">
      <c r="A390" s="223" t="s">
        <v>1262</v>
      </c>
      <c r="B390" s="764" t="s">
        <v>1055</v>
      </c>
      <c r="C390" s="167" t="s">
        <v>4479</v>
      </c>
      <c r="D390" s="127" t="s">
        <v>3843</v>
      </c>
      <c r="E390" s="131">
        <v>87</v>
      </c>
      <c r="F390" s="140">
        <v>141.30000000000001</v>
      </c>
      <c r="G390" s="116"/>
      <c r="H390" s="119"/>
      <c r="I390" s="116"/>
      <c r="J390" s="761" t="s">
        <v>4421</v>
      </c>
      <c r="K390" s="470">
        <v>14790000</v>
      </c>
      <c r="L390" s="66"/>
      <c r="M390" s="225"/>
      <c r="N390" s="226"/>
      <c r="O390" s="227"/>
      <c r="P390" s="468">
        <v>18044010</v>
      </c>
    </row>
    <row r="391" spans="1:16" ht="68.099999999999994" customHeight="1">
      <c r="A391" s="223" t="s">
        <v>1262</v>
      </c>
      <c r="B391" s="764" t="s">
        <v>1265</v>
      </c>
      <c r="C391" s="765" t="s">
        <v>4480</v>
      </c>
      <c r="D391" s="127" t="s">
        <v>4477</v>
      </c>
      <c r="E391" s="131">
        <v>36</v>
      </c>
      <c r="F391" s="140">
        <v>35.5</v>
      </c>
      <c r="G391" s="116"/>
      <c r="H391" s="167" t="s">
        <v>4481</v>
      </c>
      <c r="I391" s="116"/>
      <c r="J391" s="761" t="s">
        <v>4421</v>
      </c>
      <c r="K391" s="470">
        <v>8136000</v>
      </c>
      <c r="L391" s="66"/>
      <c r="M391" s="225"/>
      <c r="N391" s="226"/>
      <c r="O391" s="227"/>
      <c r="P391" s="468">
        <v>4533350</v>
      </c>
    </row>
    <row r="392" spans="1:16" ht="67.5" customHeight="1">
      <c r="A392" s="223" t="s">
        <v>1262</v>
      </c>
      <c r="B392" s="764" t="s">
        <v>1266</v>
      </c>
      <c r="C392" s="765" t="s">
        <v>4482</v>
      </c>
      <c r="D392" s="127" t="s">
        <v>4483</v>
      </c>
      <c r="E392" s="131">
        <v>21</v>
      </c>
      <c r="F392" s="140">
        <v>21.75</v>
      </c>
      <c r="G392" s="116"/>
      <c r="H392" s="167"/>
      <c r="I392" s="131"/>
      <c r="J392" s="761" t="s">
        <v>4478</v>
      </c>
      <c r="K392" s="470">
        <v>4095000</v>
      </c>
      <c r="L392" s="66"/>
      <c r="M392" s="225"/>
      <c r="N392" s="226"/>
      <c r="O392" s="227"/>
      <c r="P392" s="468">
        <v>2777475</v>
      </c>
    </row>
    <row r="393" spans="1:16" ht="22.5">
      <c r="A393" s="223" t="s">
        <v>1262</v>
      </c>
      <c r="B393" s="764" t="s">
        <v>4484</v>
      </c>
      <c r="C393" s="765" t="s">
        <v>4485</v>
      </c>
      <c r="D393" s="127" t="s">
        <v>4477</v>
      </c>
      <c r="E393" s="131">
        <v>18</v>
      </c>
      <c r="F393" s="140">
        <v>17.75</v>
      </c>
      <c r="G393" s="116"/>
      <c r="H393" s="167"/>
      <c r="I393" s="131"/>
      <c r="J393" s="761"/>
      <c r="K393" s="470">
        <v>3073800</v>
      </c>
      <c r="L393" s="66"/>
      <c r="M393" s="225"/>
      <c r="N393" s="226"/>
      <c r="O393" s="227"/>
      <c r="P393" s="468">
        <v>2266675</v>
      </c>
    </row>
    <row r="394" spans="1:16" ht="65.45" customHeight="1">
      <c r="A394" s="223" t="s">
        <v>1262</v>
      </c>
      <c r="B394" s="764" t="s">
        <v>1075</v>
      </c>
      <c r="C394" s="765" t="s">
        <v>4486</v>
      </c>
      <c r="D394" s="127" t="s">
        <v>4477</v>
      </c>
      <c r="E394" s="131">
        <v>24</v>
      </c>
      <c r="F394" s="140">
        <v>23.95</v>
      </c>
      <c r="G394" s="116"/>
      <c r="H394" s="167"/>
      <c r="I394" s="131"/>
      <c r="J394" s="761" t="s">
        <v>4478</v>
      </c>
      <c r="K394" s="470">
        <v>4370000</v>
      </c>
      <c r="L394" s="66"/>
      <c r="M394" s="225"/>
      <c r="N394" s="226"/>
      <c r="O394" s="227"/>
      <c r="P394" s="468">
        <v>3058415</v>
      </c>
    </row>
    <row r="395" spans="1:16" ht="33.75">
      <c r="A395" s="223" t="s">
        <v>1262</v>
      </c>
      <c r="B395" s="182" t="s">
        <v>1268</v>
      </c>
      <c r="C395" s="167" t="s">
        <v>4487</v>
      </c>
      <c r="D395" s="127" t="s">
        <v>3843</v>
      </c>
      <c r="E395" s="131">
        <v>40</v>
      </c>
      <c r="F395" s="140">
        <v>51</v>
      </c>
      <c r="G395" s="119"/>
      <c r="H395" s="119"/>
      <c r="I395" s="116"/>
      <c r="J395" s="230" t="s">
        <v>4488</v>
      </c>
      <c r="K395" s="470">
        <v>10710000</v>
      </c>
      <c r="L395" s="66"/>
      <c r="M395" s="225"/>
      <c r="N395" s="226"/>
      <c r="O395" s="227"/>
      <c r="P395" s="468">
        <v>6512700</v>
      </c>
    </row>
    <row r="396" spans="1:16">
      <c r="A396" s="223" t="s">
        <v>1262</v>
      </c>
      <c r="B396" s="170" t="s">
        <v>1267</v>
      </c>
      <c r="C396" s="167" t="s">
        <v>4489</v>
      </c>
      <c r="D396" s="127" t="s">
        <v>3843</v>
      </c>
      <c r="E396" s="131">
        <v>22</v>
      </c>
      <c r="F396" s="140">
        <v>24.8</v>
      </c>
      <c r="G396" s="119"/>
      <c r="H396" s="119"/>
      <c r="I396" s="116"/>
      <c r="J396" s="230"/>
      <c r="K396" s="470">
        <v>4410000</v>
      </c>
      <c r="L396" s="66"/>
      <c r="M396" s="225"/>
      <c r="N396" s="226"/>
      <c r="O396" s="227"/>
      <c r="P396" s="468">
        <v>3166960</v>
      </c>
    </row>
    <row r="397" spans="1:16">
      <c r="A397" s="163" t="s">
        <v>602</v>
      </c>
      <c r="B397" s="170" t="s">
        <v>4490</v>
      </c>
      <c r="C397" s="167" t="s">
        <v>4490</v>
      </c>
      <c r="D397" s="127" t="s">
        <v>3843</v>
      </c>
      <c r="E397" s="168">
        <v>1</v>
      </c>
      <c r="F397" s="164">
        <v>1.7</v>
      </c>
      <c r="G397" s="169">
        <v>1.36</v>
      </c>
      <c r="H397" s="170"/>
      <c r="I397" s="170"/>
      <c r="J397" s="66" t="s">
        <v>4491</v>
      </c>
      <c r="K397" s="470">
        <v>700000</v>
      </c>
      <c r="L397" s="116" t="s">
        <v>30</v>
      </c>
      <c r="M397" s="171">
        <v>1</v>
      </c>
      <c r="N397" s="118" t="s">
        <v>4428</v>
      </c>
      <c r="O397" s="66" t="s">
        <v>3974</v>
      </c>
      <c r="P397" s="468">
        <v>217090</v>
      </c>
    </row>
    <row r="398" spans="1:16">
      <c r="A398" s="221" t="s">
        <v>4411</v>
      </c>
      <c r="B398" s="119" t="s">
        <v>388</v>
      </c>
      <c r="C398" s="171" t="s">
        <v>4492</v>
      </c>
      <c r="D398" s="127" t="s">
        <v>3818</v>
      </c>
      <c r="E398" s="131">
        <v>4</v>
      </c>
      <c r="F398" s="140">
        <v>4.75</v>
      </c>
      <c r="G398" s="140">
        <v>8.1300000000000008</v>
      </c>
      <c r="H398" s="116"/>
      <c r="I398" s="116"/>
      <c r="J398" s="66" t="s">
        <v>4493</v>
      </c>
      <c r="K398" s="470">
        <v>812500</v>
      </c>
      <c r="L398" s="116" t="s">
        <v>30</v>
      </c>
      <c r="M398" s="66">
        <v>1</v>
      </c>
      <c r="N398" s="173" t="s">
        <v>4494</v>
      </c>
      <c r="O398" s="66" t="s">
        <v>3974</v>
      </c>
      <c r="P398" s="468">
        <v>485925</v>
      </c>
    </row>
    <row r="399" spans="1:16">
      <c r="A399" s="221" t="s">
        <v>4411</v>
      </c>
      <c r="B399" s="119" t="s">
        <v>380</v>
      </c>
      <c r="C399" s="171" t="s">
        <v>1663</v>
      </c>
      <c r="D399" s="127"/>
      <c r="E399" s="131">
        <v>2</v>
      </c>
      <c r="F399" s="140">
        <v>2</v>
      </c>
      <c r="G399" s="140">
        <v>8.1300000000000008</v>
      </c>
      <c r="H399" s="116"/>
      <c r="I399" s="116"/>
      <c r="J399" s="66"/>
      <c r="K399" s="470">
        <v>342000</v>
      </c>
      <c r="L399" s="116"/>
      <c r="M399" s="66"/>
      <c r="N399" s="173"/>
      <c r="O399" s="66"/>
      <c r="P399" s="468">
        <v>204600</v>
      </c>
    </row>
    <row r="400" spans="1:16">
      <c r="A400" s="221" t="s">
        <v>4411</v>
      </c>
      <c r="B400" s="119" t="s">
        <v>371</v>
      </c>
      <c r="C400" s="171" t="s">
        <v>2410</v>
      </c>
      <c r="D400" s="127"/>
      <c r="E400" s="131">
        <v>3</v>
      </c>
      <c r="F400" s="140">
        <v>3.25</v>
      </c>
      <c r="G400" s="140">
        <v>8.1300000000000008</v>
      </c>
      <c r="H400" s="116"/>
      <c r="I400" s="116"/>
      <c r="J400" s="66"/>
      <c r="K400" s="470">
        <v>555750</v>
      </c>
      <c r="L400" s="116"/>
      <c r="M400" s="66"/>
      <c r="N400" s="173"/>
      <c r="O400" s="66"/>
      <c r="P400" s="468">
        <v>332475</v>
      </c>
    </row>
    <row r="401" spans="1:16">
      <c r="A401" s="221" t="s">
        <v>4411</v>
      </c>
      <c r="B401" s="119" t="s">
        <v>421</v>
      </c>
      <c r="C401" s="171" t="s">
        <v>1670</v>
      </c>
      <c r="D401" s="127"/>
      <c r="E401" s="131">
        <v>3</v>
      </c>
      <c r="F401" s="140">
        <v>0.85</v>
      </c>
      <c r="G401" s="140">
        <v>8.1300000000000008</v>
      </c>
      <c r="H401" s="116"/>
      <c r="I401" s="116"/>
      <c r="J401" s="66"/>
      <c r="K401" s="470">
        <v>145350</v>
      </c>
      <c r="L401" s="116"/>
      <c r="M401" s="66"/>
      <c r="N401" s="173"/>
      <c r="O401" s="66"/>
      <c r="P401" s="468">
        <v>86955</v>
      </c>
    </row>
    <row r="402" spans="1:16" ht="22.5">
      <c r="A402" s="221" t="s">
        <v>4411</v>
      </c>
      <c r="B402" s="119" t="s">
        <v>435</v>
      </c>
      <c r="C402" s="171" t="s">
        <v>4495</v>
      </c>
      <c r="D402" s="127"/>
      <c r="E402" s="131">
        <v>12</v>
      </c>
      <c r="F402" s="140">
        <v>7.55</v>
      </c>
      <c r="G402" s="140">
        <v>8.1300000000000008</v>
      </c>
      <c r="H402" s="116"/>
      <c r="I402" s="116"/>
      <c r="J402" s="66"/>
      <c r="K402" s="470">
        <v>1291050</v>
      </c>
      <c r="L402" s="116"/>
      <c r="M402" s="66"/>
      <c r="N402" s="173"/>
      <c r="O402" s="66"/>
      <c r="P402" s="468">
        <v>772365</v>
      </c>
    </row>
    <row r="403" spans="1:16">
      <c r="A403" s="221" t="s">
        <v>304</v>
      </c>
      <c r="B403" s="119" t="s">
        <v>304</v>
      </c>
      <c r="C403" s="171" t="s">
        <v>4496</v>
      </c>
      <c r="D403" s="127" t="s">
        <v>3818</v>
      </c>
      <c r="E403" s="131">
        <v>4</v>
      </c>
      <c r="F403" s="140">
        <v>2.06</v>
      </c>
      <c r="G403" s="116">
        <v>1.123</v>
      </c>
      <c r="H403" s="116"/>
      <c r="I403" s="116"/>
      <c r="J403" s="66" t="s">
        <v>4424</v>
      </c>
      <c r="K403" s="470">
        <v>618000</v>
      </c>
      <c r="L403" s="116" t="s">
        <v>30</v>
      </c>
      <c r="M403" s="116">
        <v>1</v>
      </c>
      <c r="N403" s="118" t="s">
        <v>4428</v>
      </c>
      <c r="O403" s="181" t="s">
        <v>3974</v>
      </c>
      <c r="P403" s="468">
        <v>265980</v>
      </c>
    </row>
    <row r="404" spans="1:16">
      <c r="A404" s="221" t="s">
        <v>304</v>
      </c>
      <c r="B404" s="119" t="s">
        <v>4434</v>
      </c>
      <c r="C404" s="171" t="s">
        <v>4434</v>
      </c>
      <c r="D404" s="127"/>
      <c r="E404" s="131">
        <v>17</v>
      </c>
      <c r="F404" s="140">
        <v>10.41</v>
      </c>
      <c r="G404" s="116">
        <v>6.09</v>
      </c>
      <c r="H404" s="116"/>
      <c r="I404" s="116"/>
      <c r="J404" s="66"/>
      <c r="K404" s="470">
        <v>3036000</v>
      </c>
      <c r="L404" s="116"/>
      <c r="M404" s="116"/>
      <c r="N404" s="118"/>
      <c r="O404" s="181"/>
      <c r="P404" s="468">
        <v>1064943</v>
      </c>
    </row>
    <row r="405" spans="1:16">
      <c r="A405" s="221" t="s">
        <v>304</v>
      </c>
      <c r="B405" s="119" t="s">
        <v>332</v>
      </c>
      <c r="C405" s="171" t="s">
        <v>332</v>
      </c>
      <c r="D405" s="127"/>
      <c r="E405" s="131">
        <v>2</v>
      </c>
      <c r="F405" s="140">
        <v>0.66</v>
      </c>
      <c r="G405" s="116">
        <v>0.98</v>
      </c>
      <c r="H405" s="116"/>
      <c r="I405" s="116"/>
      <c r="J405" s="66"/>
      <c r="K405" s="470">
        <v>198000</v>
      </c>
      <c r="L405" s="116"/>
      <c r="M405" s="116"/>
      <c r="N405" s="118"/>
      <c r="O405" s="181"/>
      <c r="P405" s="468">
        <v>67518</v>
      </c>
    </row>
    <row r="406" spans="1:16">
      <c r="A406" s="221" t="s">
        <v>304</v>
      </c>
      <c r="B406" s="119" t="s">
        <v>4435</v>
      </c>
      <c r="C406" s="171" t="s">
        <v>4497</v>
      </c>
      <c r="D406" s="127"/>
      <c r="E406" s="131">
        <v>11</v>
      </c>
      <c r="F406" s="140">
        <v>9.66</v>
      </c>
      <c r="G406" s="116">
        <v>5.33</v>
      </c>
      <c r="H406" s="116"/>
      <c r="I406" s="116"/>
      <c r="J406" s="66"/>
      <c r="K406" s="470">
        <v>2898000</v>
      </c>
      <c r="L406" s="116"/>
      <c r="M406" s="116"/>
      <c r="N406" s="118"/>
      <c r="O406" s="181"/>
      <c r="P406" s="468">
        <v>988218</v>
      </c>
    </row>
    <row r="407" spans="1:16" ht="22.5">
      <c r="A407" s="221" t="s">
        <v>4422</v>
      </c>
      <c r="B407" s="119" t="s">
        <v>58</v>
      </c>
      <c r="C407" s="171" t="s">
        <v>4433</v>
      </c>
      <c r="D407" s="127" t="s">
        <v>3818</v>
      </c>
      <c r="E407" s="131">
        <v>4</v>
      </c>
      <c r="F407" s="140">
        <v>4</v>
      </c>
      <c r="G407" s="116">
        <v>6</v>
      </c>
      <c r="H407" s="116"/>
      <c r="I407" s="116"/>
      <c r="J407" s="66" t="s">
        <v>4424</v>
      </c>
      <c r="K407" s="470">
        <v>1400000</v>
      </c>
      <c r="L407" s="116" t="s">
        <v>4427</v>
      </c>
      <c r="M407" s="66">
        <v>1</v>
      </c>
      <c r="N407" s="118" t="s">
        <v>4498</v>
      </c>
      <c r="O407" s="66" t="s">
        <v>3974</v>
      </c>
      <c r="P407" s="468">
        <v>409200</v>
      </c>
    </row>
    <row r="408" spans="1:16">
      <c r="A408" s="221" t="s">
        <v>4422</v>
      </c>
      <c r="B408" s="119" t="s">
        <v>4429</v>
      </c>
      <c r="C408" s="171" t="s">
        <v>4431</v>
      </c>
      <c r="D408" s="127"/>
      <c r="E408" s="131">
        <v>1</v>
      </c>
      <c r="F408" s="140">
        <v>1</v>
      </c>
      <c r="G408" s="116">
        <v>2</v>
      </c>
      <c r="H408" s="116"/>
      <c r="I408" s="116"/>
      <c r="J408" s="66"/>
      <c r="K408" s="470">
        <v>600000</v>
      </c>
      <c r="L408" s="116"/>
      <c r="M408" s="66"/>
      <c r="N408" s="118"/>
      <c r="O408" s="66"/>
      <c r="P408" s="468">
        <v>102300</v>
      </c>
    </row>
    <row r="409" spans="1:16" ht="33.75">
      <c r="A409" s="221" t="s">
        <v>130</v>
      </c>
      <c r="B409" s="754" t="s">
        <v>157</v>
      </c>
      <c r="C409" s="171" t="s">
        <v>4444</v>
      </c>
      <c r="D409" s="127" t="s">
        <v>3818</v>
      </c>
      <c r="E409" s="131">
        <v>3</v>
      </c>
      <c r="F409" s="140">
        <v>2</v>
      </c>
      <c r="G409" s="140">
        <v>1.6</v>
      </c>
      <c r="H409" s="116"/>
      <c r="I409" s="66" t="s">
        <v>4499</v>
      </c>
      <c r="J409" s="66" t="s">
        <v>4271</v>
      </c>
      <c r="K409" s="470">
        <v>1196000</v>
      </c>
      <c r="L409" s="66" t="s">
        <v>125</v>
      </c>
      <c r="M409" s="66">
        <v>1</v>
      </c>
      <c r="N409" s="118" t="s">
        <v>4498</v>
      </c>
      <c r="O409" s="66" t="s">
        <v>3974</v>
      </c>
      <c r="P409" s="468">
        <v>204600</v>
      </c>
    </row>
    <row r="410" spans="1:16">
      <c r="A410" s="221" t="s">
        <v>130</v>
      </c>
      <c r="B410" s="754" t="s">
        <v>1137</v>
      </c>
      <c r="C410" s="66" t="s">
        <v>4500</v>
      </c>
      <c r="D410" s="127" t="s">
        <v>3818</v>
      </c>
      <c r="E410" s="131">
        <v>1</v>
      </c>
      <c r="F410" s="140">
        <v>0.5</v>
      </c>
      <c r="G410" s="116">
        <v>0.4</v>
      </c>
      <c r="H410" s="116"/>
      <c r="I410" s="116"/>
      <c r="J410" s="66"/>
      <c r="K410" s="470">
        <v>264000</v>
      </c>
      <c r="L410" s="66"/>
      <c r="M410" s="66"/>
      <c r="N410" s="118"/>
      <c r="O410" s="66"/>
      <c r="P410" s="468">
        <v>51150</v>
      </c>
    </row>
    <row r="411" spans="1:16">
      <c r="A411" s="221" t="s">
        <v>705</v>
      </c>
      <c r="B411" s="119" t="s">
        <v>4501</v>
      </c>
      <c r="C411" s="66" t="s">
        <v>4502</v>
      </c>
      <c r="D411" s="127" t="s">
        <v>3818</v>
      </c>
      <c r="E411" s="131">
        <v>3</v>
      </c>
      <c r="F411" s="140">
        <v>4</v>
      </c>
      <c r="G411" s="116">
        <v>3.2</v>
      </c>
      <c r="H411" s="116"/>
      <c r="I411" s="116"/>
      <c r="J411" s="66" t="s">
        <v>4446</v>
      </c>
      <c r="K411" s="470">
        <v>2640000</v>
      </c>
      <c r="L411" s="116" t="s">
        <v>18</v>
      </c>
      <c r="M411" s="66">
        <v>1</v>
      </c>
      <c r="N411" s="118" t="s">
        <v>4498</v>
      </c>
      <c r="O411" s="66" t="s">
        <v>3974</v>
      </c>
      <c r="P411" s="468">
        <v>409200</v>
      </c>
    </row>
    <row r="412" spans="1:16">
      <c r="A412" s="221" t="s">
        <v>705</v>
      </c>
      <c r="B412" s="119" t="s">
        <v>4503</v>
      </c>
      <c r="C412" s="66" t="s">
        <v>4504</v>
      </c>
      <c r="D412" s="127"/>
      <c r="E412" s="131">
        <v>14</v>
      </c>
      <c r="F412" s="140">
        <v>13.5</v>
      </c>
      <c r="G412" s="116">
        <v>10.8</v>
      </c>
      <c r="H412" s="116"/>
      <c r="I412" s="116"/>
      <c r="J412" s="66"/>
      <c r="K412" s="470">
        <v>8910000</v>
      </c>
      <c r="L412" s="116"/>
      <c r="M412" s="66"/>
      <c r="N412" s="118"/>
      <c r="O412" s="66"/>
      <c r="P412" s="468">
        <v>1381050</v>
      </c>
    </row>
    <row r="413" spans="1:16">
      <c r="A413" s="221" t="s">
        <v>705</v>
      </c>
      <c r="B413" s="116" t="s">
        <v>4447</v>
      </c>
      <c r="C413" s="66" t="s">
        <v>4448</v>
      </c>
      <c r="D413" s="127"/>
      <c r="E413" s="131">
        <v>1</v>
      </c>
      <c r="F413" s="140">
        <v>1</v>
      </c>
      <c r="G413" s="116">
        <v>0.8</v>
      </c>
      <c r="H413" s="116"/>
      <c r="I413" s="116"/>
      <c r="J413" s="66"/>
      <c r="K413" s="470">
        <v>660000</v>
      </c>
      <c r="L413" s="116"/>
      <c r="M413" s="66"/>
      <c r="N413" s="118"/>
      <c r="O413" s="66"/>
      <c r="P413" s="468">
        <v>102300</v>
      </c>
    </row>
    <row r="414" spans="1:16">
      <c r="A414" s="228" t="s">
        <v>82</v>
      </c>
      <c r="B414" s="764" t="s">
        <v>82</v>
      </c>
      <c r="C414" s="167" t="s">
        <v>82</v>
      </c>
      <c r="D414" s="127" t="s">
        <v>3818</v>
      </c>
      <c r="E414" s="131">
        <v>2</v>
      </c>
      <c r="F414" s="140">
        <v>1.25</v>
      </c>
      <c r="G414" s="116">
        <v>1</v>
      </c>
      <c r="H414" s="116"/>
      <c r="I414" s="116"/>
      <c r="J414" s="66" t="s">
        <v>4045</v>
      </c>
      <c r="K414" s="470">
        <v>375000</v>
      </c>
      <c r="L414" s="116" t="s">
        <v>725</v>
      </c>
      <c r="M414" s="66">
        <v>1</v>
      </c>
      <c r="N414" s="118" t="s">
        <v>4498</v>
      </c>
      <c r="O414" s="66" t="s">
        <v>3974</v>
      </c>
      <c r="P414" s="468">
        <v>127875</v>
      </c>
    </row>
    <row r="415" spans="1:16" ht="23.1" customHeight="1">
      <c r="A415" s="228" t="s">
        <v>82</v>
      </c>
      <c r="B415" s="764" t="s">
        <v>4452</v>
      </c>
      <c r="C415" s="167" t="s">
        <v>4453</v>
      </c>
      <c r="D415" s="127"/>
      <c r="E415" s="131">
        <v>7</v>
      </c>
      <c r="F415" s="140">
        <v>3.5</v>
      </c>
      <c r="G415" s="116">
        <v>2.8</v>
      </c>
      <c r="H415" s="116"/>
      <c r="I415" s="116"/>
      <c r="J415" s="66"/>
      <c r="K415" s="470">
        <v>1050000</v>
      </c>
      <c r="L415" s="116"/>
      <c r="M415" s="66"/>
      <c r="N415" s="118"/>
      <c r="O415" s="66"/>
      <c r="P415" s="468">
        <v>358050</v>
      </c>
    </row>
    <row r="416" spans="1:16" ht="23.1" customHeight="1">
      <c r="A416" s="228" t="s">
        <v>82</v>
      </c>
      <c r="B416" s="764" t="s">
        <v>4455</v>
      </c>
      <c r="C416" s="167" t="s">
        <v>4456</v>
      </c>
      <c r="D416" s="127"/>
      <c r="E416" s="131">
        <v>2</v>
      </c>
      <c r="F416" s="140">
        <v>1</v>
      </c>
      <c r="G416" s="116">
        <v>0.8</v>
      </c>
      <c r="H416" s="116"/>
      <c r="I416" s="116"/>
      <c r="J416" s="66"/>
      <c r="K416" s="470">
        <v>300000</v>
      </c>
      <c r="L416" s="116"/>
      <c r="M416" s="66"/>
      <c r="N416" s="118"/>
      <c r="O416" s="66"/>
      <c r="P416" s="468">
        <v>102300</v>
      </c>
    </row>
    <row r="417" spans="1:16" ht="33.75">
      <c r="A417" s="228" t="s">
        <v>867</v>
      </c>
      <c r="B417" s="764" t="s">
        <v>4457</v>
      </c>
      <c r="C417" s="167" t="s">
        <v>4458</v>
      </c>
      <c r="D417" s="127" t="s">
        <v>3818</v>
      </c>
      <c r="E417" s="146">
        <v>125</v>
      </c>
      <c r="F417" s="145">
        <v>184.7</v>
      </c>
      <c r="G417" s="146">
        <v>147.69999999999999</v>
      </c>
      <c r="H417" s="178"/>
      <c r="I417" s="178"/>
      <c r="J417" s="66" t="s">
        <v>4045</v>
      </c>
      <c r="K417" s="470">
        <v>812500</v>
      </c>
      <c r="L417" s="146" t="s">
        <v>31</v>
      </c>
      <c r="M417" s="146">
        <v>1</v>
      </c>
      <c r="N417" s="118" t="s">
        <v>4505</v>
      </c>
      <c r="O417" s="178" t="s">
        <v>3974</v>
      </c>
      <c r="P417" s="468">
        <v>18894810</v>
      </c>
    </row>
    <row r="418" spans="1:16">
      <c r="A418" s="228" t="s">
        <v>867</v>
      </c>
      <c r="B418" s="764" t="s">
        <v>4461</v>
      </c>
      <c r="C418" s="167" t="s">
        <v>4462</v>
      </c>
      <c r="D418" s="127"/>
      <c r="E418" s="146">
        <v>1</v>
      </c>
      <c r="F418" s="145">
        <v>0.8</v>
      </c>
      <c r="G418" s="146" t="s">
        <v>4506</v>
      </c>
      <c r="H418" s="178"/>
      <c r="I418" s="178"/>
      <c r="J418" s="66"/>
      <c r="K418" s="470">
        <v>342000</v>
      </c>
      <c r="L418" s="146"/>
      <c r="M418" s="146"/>
      <c r="N418" s="118"/>
      <c r="O418" s="178"/>
      <c r="P418" s="468">
        <v>81840</v>
      </c>
    </row>
    <row r="419" spans="1:16" ht="22.5">
      <c r="A419" s="228" t="s">
        <v>867</v>
      </c>
      <c r="B419" s="764" t="s">
        <v>4463</v>
      </c>
      <c r="C419" s="167" t="s">
        <v>4464</v>
      </c>
      <c r="D419" s="127"/>
      <c r="E419" s="146">
        <v>4</v>
      </c>
      <c r="F419" s="145">
        <v>2.2999999999999998</v>
      </c>
      <c r="G419" s="146">
        <v>1</v>
      </c>
      <c r="H419" s="178"/>
      <c r="I419" s="178"/>
      <c r="J419" s="66"/>
      <c r="K419" s="470">
        <v>555750</v>
      </c>
      <c r="L419" s="146"/>
      <c r="M419" s="146"/>
      <c r="N419" s="118"/>
      <c r="O419" s="178"/>
      <c r="P419" s="468">
        <v>235290</v>
      </c>
    </row>
    <row r="420" spans="1:16" ht="22.5">
      <c r="A420" s="228" t="s">
        <v>867</v>
      </c>
      <c r="B420" s="764" t="s">
        <v>4463</v>
      </c>
      <c r="C420" s="167" t="s">
        <v>4464</v>
      </c>
      <c r="D420" s="127"/>
      <c r="E420" s="146">
        <v>1</v>
      </c>
      <c r="F420" s="145">
        <v>2</v>
      </c>
      <c r="G420" s="146">
        <v>1.5</v>
      </c>
      <c r="H420" s="178"/>
      <c r="I420" s="178"/>
      <c r="J420" s="66"/>
      <c r="K420" s="470">
        <v>145350</v>
      </c>
      <c r="L420" s="146"/>
      <c r="M420" s="146"/>
      <c r="N420" s="118"/>
      <c r="O420" s="178"/>
      <c r="P420" s="468">
        <v>204600</v>
      </c>
    </row>
    <row r="421" spans="1:16">
      <c r="A421" s="228" t="s">
        <v>867</v>
      </c>
      <c r="B421" s="764" t="s">
        <v>4467</v>
      </c>
      <c r="C421" s="167" t="s">
        <v>4468</v>
      </c>
      <c r="D421" s="127"/>
      <c r="E421" s="146">
        <v>5</v>
      </c>
      <c r="F421" s="145">
        <v>5.2</v>
      </c>
      <c r="G421" s="146">
        <v>5.7</v>
      </c>
      <c r="H421" s="178"/>
      <c r="I421" s="178"/>
      <c r="J421" s="66"/>
      <c r="K421" s="470">
        <v>1291050</v>
      </c>
      <c r="L421" s="146"/>
      <c r="M421" s="146"/>
      <c r="N421" s="118"/>
      <c r="O421" s="178"/>
      <c r="P421" s="468">
        <v>531960</v>
      </c>
    </row>
    <row r="422" spans="1:16">
      <c r="A422" s="221" t="s">
        <v>4469</v>
      </c>
      <c r="B422" s="119" t="s">
        <v>4470</v>
      </c>
      <c r="C422" s="171" t="s">
        <v>4507</v>
      </c>
      <c r="D422" s="127" t="s">
        <v>3818</v>
      </c>
      <c r="E422" s="131">
        <v>5</v>
      </c>
      <c r="F422" s="140">
        <v>2</v>
      </c>
      <c r="G422" s="116"/>
      <c r="H422" s="116"/>
      <c r="I422" s="116"/>
      <c r="J422" s="66"/>
      <c r="K422" s="470">
        <v>618000</v>
      </c>
      <c r="L422" s="116" t="s">
        <v>31</v>
      </c>
      <c r="M422" s="66">
        <v>1</v>
      </c>
      <c r="N422" s="118" t="s">
        <v>4498</v>
      </c>
      <c r="O422" s="66" t="s">
        <v>3974</v>
      </c>
      <c r="P422" s="468">
        <v>204600</v>
      </c>
    </row>
    <row r="423" spans="1:16">
      <c r="A423" s="221" t="s">
        <v>4469</v>
      </c>
      <c r="B423" s="119" t="s">
        <v>1601</v>
      </c>
      <c r="C423" s="171" t="s">
        <v>4508</v>
      </c>
      <c r="D423" s="127" t="s">
        <v>3818</v>
      </c>
      <c r="E423" s="131">
        <v>19</v>
      </c>
      <c r="F423" s="140">
        <v>12.75</v>
      </c>
      <c r="G423" s="116"/>
      <c r="H423" s="116"/>
      <c r="I423" s="116"/>
      <c r="J423" s="66"/>
      <c r="K423" s="470">
        <v>3036000</v>
      </c>
      <c r="L423" s="116"/>
      <c r="M423" s="66"/>
      <c r="N423" s="118"/>
      <c r="O423" s="66"/>
      <c r="P423" s="468">
        <v>1304325</v>
      </c>
    </row>
    <row r="424" spans="1:16">
      <c r="A424" s="221" t="s">
        <v>4469</v>
      </c>
      <c r="B424" s="119" t="s">
        <v>4474</v>
      </c>
      <c r="C424" s="171" t="s">
        <v>4509</v>
      </c>
      <c r="D424" s="127" t="s">
        <v>3818</v>
      </c>
      <c r="E424" s="131">
        <v>11</v>
      </c>
      <c r="F424" s="140">
        <v>7.75</v>
      </c>
      <c r="G424" s="116"/>
      <c r="H424" s="116"/>
      <c r="I424" s="116"/>
      <c r="J424" s="66"/>
      <c r="K424" s="470">
        <v>198000</v>
      </c>
      <c r="L424" s="116"/>
      <c r="M424" s="66"/>
      <c r="N424" s="118"/>
      <c r="O424" s="66"/>
      <c r="P424" s="468">
        <v>792825</v>
      </c>
    </row>
    <row r="425" spans="1:16" ht="12.75" customHeight="1">
      <c r="A425" s="221" t="s">
        <v>1262</v>
      </c>
      <c r="B425" s="119" t="s">
        <v>1262</v>
      </c>
      <c r="C425" s="171" t="s">
        <v>4510</v>
      </c>
      <c r="D425" s="127" t="s">
        <v>3818</v>
      </c>
      <c r="E425" s="131">
        <v>10</v>
      </c>
      <c r="F425" s="140">
        <v>11.5</v>
      </c>
      <c r="G425" s="116"/>
      <c r="H425" s="116"/>
      <c r="I425" s="116"/>
      <c r="J425" s="766" t="s">
        <v>4511</v>
      </c>
      <c r="K425" s="470">
        <v>2898000</v>
      </c>
      <c r="L425" s="66" t="s">
        <v>30</v>
      </c>
      <c r="M425" s="225">
        <v>1</v>
      </c>
      <c r="N425" s="229" t="s">
        <v>4494</v>
      </c>
      <c r="O425" s="227" t="s">
        <v>3974</v>
      </c>
      <c r="P425" s="468">
        <v>1176450</v>
      </c>
    </row>
    <row r="426" spans="1:16">
      <c r="A426" s="221" t="s">
        <v>1262</v>
      </c>
      <c r="B426" s="119" t="s">
        <v>1055</v>
      </c>
      <c r="C426" s="171" t="s">
        <v>4512</v>
      </c>
      <c r="D426" s="127" t="s">
        <v>3818</v>
      </c>
      <c r="E426" s="131">
        <v>1</v>
      </c>
      <c r="F426" s="140">
        <v>0.5</v>
      </c>
      <c r="G426" s="116"/>
      <c r="H426" s="116"/>
      <c r="I426" s="116"/>
      <c r="J426" s="766"/>
      <c r="K426" s="470">
        <v>1400000</v>
      </c>
      <c r="L426" s="66"/>
      <c r="M426" s="225"/>
      <c r="N426" s="229"/>
      <c r="O426" s="227"/>
      <c r="P426" s="468">
        <v>51150</v>
      </c>
    </row>
    <row r="427" spans="1:16">
      <c r="A427" s="221" t="s">
        <v>1262</v>
      </c>
      <c r="B427" s="119" t="s">
        <v>1265</v>
      </c>
      <c r="C427" s="171" t="s">
        <v>4513</v>
      </c>
      <c r="D427" s="127"/>
      <c r="E427" s="131">
        <v>2</v>
      </c>
      <c r="F427" s="140">
        <v>1</v>
      </c>
      <c r="G427" s="116"/>
      <c r="H427" s="171" t="s">
        <v>4514</v>
      </c>
      <c r="I427" s="116"/>
      <c r="J427" s="766"/>
      <c r="K427" s="470">
        <v>600000</v>
      </c>
      <c r="L427" s="66"/>
      <c r="M427" s="225"/>
      <c r="N427" s="229"/>
      <c r="O427" s="227"/>
      <c r="P427" s="468">
        <v>102300</v>
      </c>
    </row>
    <row r="428" spans="1:16">
      <c r="A428" s="221" t="s">
        <v>1262</v>
      </c>
      <c r="B428" s="119" t="s">
        <v>1266</v>
      </c>
      <c r="C428" s="171" t="s">
        <v>4515</v>
      </c>
      <c r="D428" s="127"/>
      <c r="E428" s="131">
        <v>2</v>
      </c>
      <c r="F428" s="140">
        <v>1.5</v>
      </c>
      <c r="G428" s="116"/>
      <c r="H428" s="230"/>
      <c r="I428" s="116"/>
      <c r="J428" s="766"/>
      <c r="K428" s="470">
        <v>1196000</v>
      </c>
      <c r="L428" s="66"/>
      <c r="M428" s="225"/>
      <c r="N428" s="229"/>
      <c r="O428" s="227"/>
      <c r="P428" s="468">
        <v>153450</v>
      </c>
    </row>
    <row r="429" spans="1:16">
      <c r="A429" s="221" t="s">
        <v>1262</v>
      </c>
      <c r="B429" s="119" t="s">
        <v>4484</v>
      </c>
      <c r="C429" s="171" t="s">
        <v>4516</v>
      </c>
      <c r="D429" s="127"/>
      <c r="E429" s="131">
        <v>3</v>
      </c>
      <c r="F429" s="140">
        <v>2</v>
      </c>
      <c r="G429" s="116"/>
      <c r="H429" s="230"/>
      <c r="I429" s="116"/>
      <c r="J429" s="766"/>
      <c r="K429" s="470">
        <v>264000</v>
      </c>
      <c r="L429" s="66"/>
      <c r="M429" s="225"/>
      <c r="N429" s="229"/>
      <c r="O429" s="227"/>
      <c r="P429" s="468">
        <v>204600</v>
      </c>
    </row>
    <row r="430" spans="1:16">
      <c r="A430" s="121" t="s">
        <v>4411</v>
      </c>
      <c r="B430" s="119" t="s">
        <v>435</v>
      </c>
      <c r="C430" s="171" t="s">
        <v>4517</v>
      </c>
      <c r="D430" s="127" t="s">
        <v>3874</v>
      </c>
      <c r="E430" s="172">
        <v>7</v>
      </c>
      <c r="F430" s="140">
        <v>2.21</v>
      </c>
      <c r="G430" s="66"/>
      <c r="H430" s="119"/>
      <c r="I430" s="116"/>
      <c r="J430" s="66" t="s">
        <v>4437</v>
      </c>
      <c r="K430" s="470">
        <v>2640000</v>
      </c>
      <c r="L430" s="116" t="s">
        <v>30</v>
      </c>
      <c r="M430" s="66">
        <v>1</v>
      </c>
      <c r="N430" s="173" t="s">
        <v>4518</v>
      </c>
      <c r="O430" s="66" t="s">
        <v>4519</v>
      </c>
      <c r="P430" s="468">
        <v>345599</v>
      </c>
    </row>
    <row r="431" spans="1:16">
      <c r="A431" s="221" t="s">
        <v>304</v>
      </c>
      <c r="B431" s="119" t="s">
        <v>4435</v>
      </c>
      <c r="C431" s="171" t="s">
        <v>4416</v>
      </c>
      <c r="D431" s="127" t="s">
        <v>3874</v>
      </c>
      <c r="E431" s="172">
        <v>4</v>
      </c>
      <c r="F431" s="140">
        <v>1.25</v>
      </c>
      <c r="G431" s="116">
        <v>1.62</v>
      </c>
      <c r="H431" s="116"/>
      <c r="I431" s="116"/>
      <c r="J431" s="66" t="s">
        <v>4424</v>
      </c>
      <c r="K431" s="470">
        <v>8910000</v>
      </c>
      <c r="L431" s="116" t="s">
        <v>30</v>
      </c>
      <c r="M431" s="116">
        <v>1</v>
      </c>
      <c r="N431" s="173" t="s">
        <v>4518</v>
      </c>
      <c r="O431" s="66" t="s">
        <v>4460</v>
      </c>
      <c r="P431" s="468">
        <v>195475</v>
      </c>
    </row>
    <row r="432" spans="1:16">
      <c r="A432" s="221" t="s">
        <v>304</v>
      </c>
      <c r="B432" s="119" t="s">
        <v>4520</v>
      </c>
      <c r="C432" s="171" t="s">
        <v>4520</v>
      </c>
      <c r="D432" s="127"/>
      <c r="E432" s="172">
        <v>1</v>
      </c>
      <c r="F432" s="140">
        <v>0.7</v>
      </c>
      <c r="G432" s="116">
        <v>2.7</v>
      </c>
      <c r="H432" s="116"/>
      <c r="I432" s="116"/>
      <c r="J432" s="66"/>
      <c r="K432" s="470">
        <v>660000</v>
      </c>
      <c r="L432" s="116"/>
      <c r="M432" s="116"/>
      <c r="N432" s="173"/>
      <c r="O432" s="66"/>
      <c r="P432" s="468">
        <v>109466</v>
      </c>
    </row>
    <row r="433" spans="1:16" ht="22.5">
      <c r="A433" s="221" t="s">
        <v>4521</v>
      </c>
      <c r="B433" s="119" t="s">
        <v>4522</v>
      </c>
      <c r="C433" s="171" t="s">
        <v>4523</v>
      </c>
      <c r="D433" s="127" t="s">
        <v>3874</v>
      </c>
      <c r="E433" s="172">
        <v>4</v>
      </c>
      <c r="F433" s="140">
        <v>3</v>
      </c>
      <c r="G433" s="116">
        <v>7</v>
      </c>
      <c r="H433" s="116"/>
      <c r="I433" s="116"/>
      <c r="J433" s="66" t="s">
        <v>4424</v>
      </c>
      <c r="K433" s="470">
        <v>375000</v>
      </c>
      <c r="L433" s="116" t="s">
        <v>18</v>
      </c>
      <c r="M433" s="66">
        <v>1</v>
      </c>
      <c r="N433" s="118" t="s">
        <v>4524</v>
      </c>
      <c r="O433" s="66" t="s">
        <v>4460</v>
      </c>
      <c r="P433" s="468">
        <v>469140</v>
      </c>
    </row>
    <row r="434" spans="1:16" ht="12.6" customHeight="1">
      <c r="A434" s="221" t="s">
        <v>4521</v>
      </c>
      <c r="B434" s="119" t="s">
        <v>4525</v>
      </c>
      <c r="C434" s="171" t="s">
        <v>4426</v>
      </c>
      <c r="D434" s="127"/>
      <c r="E434" s="172">
        <v>3</v>
      </c>
      <c r="F434" s="140">
        <v>3</v>
      </c>
      <c r="G434" s="116">
        <v>27</v>
      </c>
      <c r="H434" s="116"/>
      <c r="I434" s="116"/>
      <c r="J434" s="66" t="s">
        <v>4424</v>
      </c>
      <c r="K434" s="470">
        <v>375000</v>
      </c>
      <c r="L434" s="116"/>
      <c r="M434" s="66"/>
      <c r="N434" s="118"/>
      <c r="O434" s="66"/>
      <c r="P434" s="468">
        <v>469140</v>
      </c>
    </row>
    <row r="435" spans="1:16" ht="22.5">
      <c r="A435" s="221" t="s">
        <v>4526</v>
      </c>
      <c r="B435" s="754" t="s">
        <v>4527</v>
      </c>
      <c r="C435" s="66" t="s">
        <v>4528</v>
      </c>
      <c r="D435" s="127" t="s">
        <v>3874</v>
      </c>
      <c r="E435" s="172">
        <v>1</v>
      </c>
      <c r="F435" s="140">
        <v>0.25</v>
      </c>
      <c r="G435" s="116">
        <f>8*F435</f>
        <v>2</v>
      </c>
      <c r="H435" s="116"/>
      <c r="I435" s="116"/>
      <c r="J435" s="66" t="s">
        <v>4529</v>
      </c>
      <c r="K435" s="470">
        <v>300000</v>
      </c>
      <c r="L435" s="116" t="s">
        <v>31</v>
      </c>
      <c r="M435" s="66">
        <v>1</v>
      </c>
      <c r="N435" s="118" t="s">
        <v>4524</v>
      </c>
      <c r="O435" s="66" t="s">
        <v>4460</v>
      </c>
      <c r="P435" s="468">
        <v>39095</v>
      </c>
    </row>
    <row r="436" spans="1:16" ht="22.5">
      <c r="A436" s="221" t="s">
        <v>4526</v>
      </c>
      <c r="B436" s="754" t="s">
        <v>4530</v>
      </c>
      <c r="C436" s="66" t="s">
        <v>633</v>
      </c>
      <c r="D436" s="127"/>
      <c r="E436" s="172">
        <v>1</v>
      </c>
      <c r="F436" s="140">
        <v>0.1</v>
      </c>
      <c r="G436" s="116">
        <f>8*F436</f>
        <v>0.8</v>
      </c>
      <c r="H436" s="116"/>
      <c r="I436" s="116"/>
      <c r="J436" s="66" t="s">
        <v>4529</v>
      </c>
      <c r="K436" s="470">
        <v>120000</v>
      </c>
      <c r="L436" s="116"/>
      <c r="M436" s="66"/>
      <c r="N436" s="231"/>
      <c r="O436" s="66"/>
      <c r="P436" s="468">
        <v>15638</v>
      </c>
    </row>
    <row r="437" spans="1:16">
      <c r="A437" s="222" t="s">
        <v>130</v>
      </c>
      <c r="B437" s="182" t="s">
        <v>130</v>
      </c>
      <c r="C437" s="171" t="s">
        <v>4531</v>
      </c>
      <c r="D437" s="127" t="s">
        <v>3874</v>
      </c>
      <c r="E437" s="174">
        <v>1</v>
      </c>
      <c r="F437" s="140">
        <v>1</v>
      </c>
      <c r="G437" s="140">
        <v>4.2</v>
      </c>
      <c r="H437" s="116"/>
      <c r="I437" s="116"/>
      <c r="J437" s="66" t="s">
        <v>4271</v>
      </c>
      <c r="K437" s="470">
        <v>450000</v>
      </c>
      <c r="L437" s="66" t="s">
        <v>125</v>
      </c>
      <c r="M437" s="66">
        <v>1</v>
      </c>
      <c r="N437" s="118" t="s">
        <v>4524</v>
      </c>
      <c r="O437" s="66" t="s">
        <v>4460</v>
      </c>
      <c r="P437" s="468">
        <v>156380</v>
      </c>
    </row>
    <row r="438" spans="1:16">
      <c r="A438" s="222" t="s">
        <v>130</v>
      </c>
      <c r="B438" s="182" t="s">
        <v>157</v>
      </c>
      <c r="C438" s="171" t="s">
        <v>4444</v>
      </c>
      <c r="D438" s="127"/>
      <c r="E438" s="172">
        <v>1</v>
      </c>
      <c r="F438" s="140">
        <v>0.5</v>
      </c>
      <c r="G438" s="116">
        <v>4</v>
      </c>
      <c r="H438" s="116"/>
      <c r="I438" s="116"/>
      <c r="J438" s="66"/>
      <c r="K438" s="470">
        <v>1290000</v>
      </c>
      <c r="L438" s="66"/>
      <c r="M438" s="66"/>
      <c r="N438" s="231"/>
      <c r="O438" s="66"/>
      <c r="P438" s="468">
        <v>78190</v>
      </c>
    </row>
    <row r="439" spans="1:16">
      <c r="A439" s="121" t="s">
        <v>705</v>
      </c>
      <c r="B439" s="119" t="s">
        <v>768</v>
      </c>
      <c r="C439" s="171" t="s">
        <v>768</v>
      </c>
      <c r="D439" s="127" t="s">
        <v>3874</v>
      </c>
      <c r="E439" s="172">
        <v>1</v>
      </c>
      <c r="F439" s="140">
        <v>1</v>
      </c>
      <c r="G439" s="116">
        <v>8</v>
      </c>
      <c r="H439" s="116"/>
      <c r="I439" s="116"/>
      <c r="J439" s="66" t="s">
        <v>4446</v>
      </c>
      <c r="K439" s="470">
        <v>750000</v>
      </c>
      <c r="L439" s="116" t="s">
        <v>18</v>
      </c>
      <c r="M439" s="66">
        <v>1</v>
      </c>
      <c r="N439" s="118" t="s">
        <v>4524</v>
      </c>
      <c r="O439" s="66" t="s">
        <v>3974</v>
      </c>
      <c r="P439" s="468">
        <v>83700</v>
      </c>
    </row>
    <row r="440" spans="1:16">
      <c r="A440" s="163" t="s">
        <v>82</v>
      </c>
      <c r="B440" s="182" t="s">
        <v>82</v>
      </c>
      <c r="C440" s="167" t="s">
        <v>82</v>
      </c>
      <c r="D440" s="127" t="s">
        <v>3874</v>
      </c>
      <c r="E440" s="172">
        <v>1</v>
      </c>
      <c r="F440" s="140">
        <v>1</v>
      </c>
      <c r="G440" s="116">
        <v>6</v>
      </c>
      <c r="H440" s="119"/>
      <c r="I440" s="116"/>
      <c r="J440" s="66" t="s">
        <v>4532</v>
      </c>
      <c r="K440" s="470">
        <v>4347200</v>
      </c>
      <c r="L440" s="116" t="s">
        <v>725</v>
      </c>
      <c r="M440" s="66">
        <v>1</v>
      </c>
      <c r="N440" s="118" t="s">
        <v>4524</v>
      </c>
      <c r="O440" s="66" t="s">
        <v>3974</v>
      </c>
      <c r="P440" s="468">
        <v>83700</v>
      </c>
    </row>
    <row r="441" spans="1:16" ht="22.5">
      <c r="A441" s="163" t="s">
        <v>867</v>
      </c>
      <c r="B441" s="764" t="s">
        <v>4467</v>
      </c>
      <c r="C441" s="167" t="s">
        <v>4468</v>
      </c>
      <c r="D441" s="127" t="s">
        <v>3874</v>
      </c>
      <c r="E441" s="172">
        <v>1</v>
      </c>
      <c r="F441" s="140">
        <v>0.4</v>
      </c>
      <c r="G441" s="116">
        <v>0.8</v>
      </c>
      <c r="H441" s="119"/>
      <c r="I441" s="116"/>
      <c r="J441" s="66" t="s">
        <v>4459</v>
      </c>
      <c r="K441" s="470">
        <v>80000</v>
      </c>
      <c r="L441" s="116" t="s">
        <v>725</v>
      </c>
      <c r="M441" s="116">
        <v>1</v>
      </c>
      <c r="N441" s="118" t="s">
        <v>4524</v>
      </c>
      <c r="O441" s="66" t="s">
        <v>3974</v>
      </c>
      <c r="P441" s="468">
        <v>33480</v>
      </c>
    </row>
    <row r="442" spans="1:16" ht="22.5">
      <c r="A442" s="163" t="s">
        <v>602</v>
      </c>
      <c r="B442" s="764" t="s">
        <v>594</v>
      </c>
      <c r="C442" s="167" t="s">
        <v>594</v>
      </c>
      <c r="D442" s="127" t="s">
        <v>3874</v>
      </c>
      <c r="E442" s="172">
        <v>4</v>
      </c>
      <c r="F442" s="140">
        <v>2</v>
      </c>
      <c r="G442" s="131">
        <v>16</v>
      </c>
      <c r="H442" s="131"/>
      <c r="I442" s="131"/>
      <c r="J442" s="66" t="s">
        <v>4459</v>
      </c>
      <c r="K442" s="470">
        <v>400000</v>
      </c>
      <c r="L442" s="116" t="s">
        <v>725</v>
      </c>
      <c r="M442" s="116">
        <v>1</v>
      </c>
      <c r="N442" s="118" t="s">
        <v>4524</v>
      </c>
      <c r="O442" s="66" t="s">
        <v>3974</v>
      </c>
      <c r="P442" s="468">
        <v>167400</v>
      </c>
    </row>
    <row r="443" spans="1:16">
      <c r="A443" s="221" t="s">
        <v>602</v>
      </c>
      <c r="B443" s="754" t="s">
        <v>589</v>
      </c>
      <c r="C443" s="66" t="s">
        <v>589</v>
      </c>
      <c r="D443" s="66" t="s">
        <v>3778</v>
      </c>
      <c r="E443" s="122">
        <v>15</v>
      </c>
      <c r="F443" s="130">
        <v>34.799999999999997</v>
      </c>
      <c r="G443" s="66">
        <v>29.324999999999999</v>
      </c>
      <c r="H443" s="175"/>
      <c r="I443" s="175"/>
      <c r="J443" s="66" t="s">
        <v>4533</v>
      </c>
      <c r="K443" s="470">
        <v>1550000</v>
      </c>
      <c r="L443" s="116" t="s">
        <v>31</v>
      </c>
      <c r="M443" s="66">
        <v>1</v>
      </c>
      <c r="N443" s="118" t="s">
        <v>4534</v>
      </c>
      <c r="O443" s="66" t="s">
        <v>3974</v>
      </c>
      <c r="P443" s="468">
        <v>3883679.9999999995</v>
      </c>
    </row>
    <row r="444" spans="1:16">
      <c r="A444" s="221" t="s">
        <v>602</v>
      </c>
      <c r="B444" s="754" t="s">
        <v>594</v>
      </c>
      <c r="C444" s="66" t="s">
        <v>594</v>
      </c>
      <c r="D444" s="66"/>
      <c r="E444" s="122">
        <v>27</v>
      </c>
      <c r="F444" s="130">
        <v>99.6</v>
      </c>
      <c r="G444" s="66">
        <v>167</v>
      </c>
      <c r="H444" s="176">
        <v>4300000</v>
      </c>
      <c r="I444" s="175"/>
      <c r="J444" s="66"/>
      <c r="K444" s="470">
        <v>1195000</v>
      </c>
      <c r="L444" s="116"/>
      <c r="M444" s="66"/>
      <c r="N444" s="118"/>
      <c r="O444" s="66"/>
      <c r="P444" s="468">
        <v>11115360</v>
      </c>
    </row>
    <row r="445" spans="1:16">
      <c r="A445" s="221" t="s">
        <v>602</v>
      </c>
      <c r="B445" s="754" t="s">
        <v>4535</v>
      </c>
      <c r="C445" s="66" t="s">
        <v>4535</v>
      </c>
      <c r="D445" s="66"/>
      <c r="E445" s="122">
        <v>1</v>
      </c>
      <c r="F445" s="130">
        <v>1.5</v>
      </c>
      <c r="G445" s="66">
        <v>4</v>
      </c>
      <c r="H445" s="175"/>
      <c r="I445" s="175"/>
      <c r="J445" s="66"/>
      <c r="K445" s="470">
        <v>90000</v>
      </c>
      <c r="L445" s="116"/>
      <c r="M445" s="66"/>
      <c r="N445" s="118"/>
      <c r="O445" s="66"/>
      <c r="P445" s="468">
        <v>167400</v>
      </c>
    </row>
    <row r="446" spans="1:16">
      <c r="A446" s="221" t="s">
        <v>602</v>
      </c>
      <c r="B446" s="754" t="s">
        <v>602</v>
      </c>
      <c r="C446" s="66" t="s">
        <v>602</v>
      </c>
      <c r="D446" s="66"/>
      <c r="E446" s="122">
        <v>1</v>
      </c>
      <c r="F446" s="130">
        <v>2</v>
      </c>
      <c r="G446" s="66">
        <v>3</v>
      </c>
      <c r="H446" s="175"/>
      <c r="I446" s="175"/>
      <c r="J446" s="66"/>
      <c r="K446" s="470">
        <v>400000</v>
      </c>
      <c r="L446" s="116"/>
      <c r="M446" s="66"/>
      <c r="N446" s="118"/>
      <c r="O446" s="66"/>
      <c r="P446" s="468">
        <v>223200</v>
      </c>
    </row>
    <row r="447" spans="1:16" ht="135.94999999999999" customHeight="1">
      <c r="A447" s="121" t="s">
        <v>1262</v>
      </c>
      <c r="B447" s="754" t="s">
        <v>1262</v>
      </c>
      <c r="C447" s="66" t="s">
        <v>4536</v>
      </c>
      <c r="D447" s="66" t="s">
        <v>3778</v>
      </c>
      <c r="E447" s="122">
        <v>6</v>
      </c>
      <c r="F447" s="130">
        <v>4</v>
      </c>
      <c r="G447" s="66"/>
      <c r="H447" s="66" t="s">
        <v>4537</v>
      </c>
      <c r="I447" s="66"/>
      <c r="J447" s="230" t="s">
        <v>4538</v>
      </c>
      <c r="K447" s="470">
        <v>350000</v>
      </c>
      <c r="L447" s="66" t="s">
        <v>31</v>
      </c>
      <c r="M447" s="66">
        <v>1</v>
      </c>
      <c r="N447" s="118" t="s">
        <v>4534</v>
      </c>
      <c r="O447" s="66" t="s">
        <v>3974</v>
      </c>
      <c r="P447" s="468">
        <v>446400</v>
      </c>
    </row>
    <row r="448" spans="1:16" ht="45">
      <c r="A448" s="121" t="s">
        <v>867</v>
      </c>
      <c r="B448" s="119" t="s">
        <v>881</v>
      </c>
      <c r="C448" s="171" t="s">
        <v>4539</v>
      </c>
      <c r="D448" s="66" t="s">
        <v>3778</v>
      </c>
      <c r="E448" s="131">
        <v>5</v>
      </c>
      <c r="F448" s="140">
        <v>6.4</v>
      </c>
      <c r="G448" s="131">
        <v>7.5</v>
      </c>
      <c r="H448" s="131"/>
      <c r="I448" s="131"/>
      <c r="J448" s="230" t="s">
        <v>4540</v>
      </c>
      <c r="K448" s="470">
        <v>240000</v>
      </c>
      <c r="L448" s="66" t="s">
        <v>125</v>
      </c>
      <c r="M448" s="66">
        <v>1</v>
      </c>
      <c r="N448" s="118" t="s">
        <v>4534</v>
      </c>
      <c r="O448" s="66" t="s">
        <v>3974</v>
      </c>
      <c r="P448" s="468">
        <v>714240</v>
      </c>
    </row>
    <row r="449" spans="1:16">
      <c r="A449" s="221" t="s">
        <v>304</v>
      </c>
      <c r="B449" s="119" t="s">
        <v>332</v>
      </c>
      <c r="C449" s="171" t="s">
        <v>4541</v>
      </c>
      <c r="D449" s="127" t="s">
        <v>3778</v>
      </c>
      <c r="E449" s="131">
        <v>3</v>
      </c>
      <c r="F449" s="140">
        <v>7</v>
      </c>
      <c r="G449" s="116">
        <v>9.2799999999999994</v>
      </c>
      <c r="H449" s="116"/>
      <c r="I449" s="116"/>
      <c r="J449" s="66" t="s">
        <v>4491</v>
      </c>
      <c r="K449" s="470">
        <v>2161860</v>
      </c>
      <c r="L449" s="116" t="s">
        <v>31</v>
      </c>
      <c r="M449" s="66">
        <v>1</v>
      </c>
      <c r="N449" s="173" t="s">
        <v>4534</v>
      </c>
      <c r="O449" s="66" t="s">
        <v>3974</v>
      </c>
      <c r="P449" s="468">
        <v>781200</v>
      </c>
    </row>
    <row r="450" spans="1:16">
      <c r="A450" s="221" t="s">
        <v>304</v>
      </c>
      <c r="B450" s="119" t="s">
        <v>4520</v>
      </c>
      <c r="C450" s="171" t="s">
        <v>4542</v>
      </c>
      <c r="D450" s="127"/>
      <c r="E450" s="131">
        <v>5</v>
      </c>
      <c r="F450" s="140">
        <v>15.5</v>
      </c>
      <c r="G450" s="116">
        <v>3.28</v>
      </c>
      <c r="H450" s="116"/>
      <c r="I450" s="116"/>
      <c r="J450" s="66"/>
      <c r="K450" s="470">
        <v>780000</v>
      </c>
      <c r="L450" s="116"/>
      <c r="M450" s="66"/>
      <c r="N450" s="173"/>
      <c r="O450" s="66"/>
      <c r="P450" s="468">
        <v>1729800</v>
      </c>
    </row>
    <row r="451" spans="1:16" ht="22.5">
      <c r="A451" s="121" t="s">
        <v>4411</v>
      </c>
      <c r="B451" s="119" t="s">
        <v>435</v>
      </c>
      <c r="C451" s="171" t="s">
        <v>4543</v>
      </c>
      <c r="D451" s="127" t="s">
        <v>3778</v>
      </c>
      <c r="E451" s="131">
        <v>8</v>
      </c>
      <c r="F451" s="140">
        <v>12.73</v>
      </c>
      <c r="G451" s="116">
        <v>39</v>
      </c>
      <c r="H451" s="119"/>
      <c r="I451" s="116"/>
      <c r="J451" s="66" t="s">
        <v>4544</v>
      </c>
      <c r="K451" s="470">
        <v>13562000</v>
      </c>
      <c r="L451" s="116" t="s">
        <v>18</v>
      </c>
      <c r="M451" s="66">
        <v>1</v>
      </c>
      <c r="N451" s="173" t="s">
        <v>4534</v>
      </c>
      <c r="O451" s="66" t="s">
        <v>3974</v>
      </c>
      <c r="P451" s="468">
        <v>1420668</v>
      </c>
    </row>
    <row r="452" spans="1:16" ht="67.5">
      <c r="A452" s="121" t="s">
        <v>4526</v>
      </c>
      <c r="B452" s="116" t="s">
        <v>4545</v>
      </c>
      <c r="C452" s="753" t="s">
        <v>4546</v>
      </c>
      <c r="D452" s="127" t="s">
        <v>3778</v>
      </c>
      <c r="E452" s="131">
        <v>129</v>
      </c>
      <c r="F452" s="140">
        <v>351.23</v>
      </c>
      <c r="G452" s="134">
        <f>(((F452*25)*250)/1000)*0.25</f>
        <v>548.796875</v>
      </c>
      <c r="H452" s="116"/>
      <c r="I452" s="177"/>
      <c r="J452" s="230" t="s">
        <v>4547</v>
      </c>
      <c r="K452" s="470">
        <v>153663125</v>
      </c>
      <c r="L452" s="116" t="s">
        <v>31</v>
      </c>
      <c r="M452" s="66">
        <v>1</v>
      </c>
      <c r="N452" s="118" t="s">
        <v>4534</v>
      </c>
      <c r="O452" s="66" t="s">
        <v>3974</v>
      </c>
      <c r="P452" s="468">
        <v>39197268</v>
      </c>
    </row>
    <row r="453" spans="1:16">
      <c r="A453" s="143" t="s">
        <v>130</v>
      </c>
      <c r="B453" s="762" t="s">
        <v>157</v>
      </c>
      <c r="C453" s="171" t="s">
        <v>4548</v>
      </c>
      <c r="D453" s="127" t="s">
        <v>3778</v>
      </c>
      <c r="E453" s="131">
        <v>2</v>
      </c>
      <c r="F453" s="140">
        <v>1.5</v>
      </c>
      <c r="G453" s="116">
        <v>7.5</v>
      </c>
      <c r="H453" s="119"/>
      <c r="I453" s="116"/>
      <c r="J453" s="66"/>
      <c r="K453" s="470">
        <v>2100000</v>
      </c>
      <c r="L453" s="66" t="s">
        <v>125</v>
      </c>
      <c r="M453" s="66">
        <v>1</v>
      </c>
      <c r="N453" s="118" t="s">
        <v>4534</v>
      </c>
      <c r="O453" s="66" t="s">
        <v>3974</v>
      </c>
      <c r="P453" s="468">
        <v>209250</v>
      </c>
    </row>
    <row r="454" spans="1:16">
      <c r="A454" s="121" t="s">
        <v>4411</v>
      </c>
      <c r="B454" s="119" t="s">
        <v>421</v>
      </c>
      <c r="C454" s="171" t="s">
        <v>1670</v>
      </c>
      <c r="D454" s="127" t="s">
        <v>4549</v>
      </c>
      <c r="E454" s="131">
        <v>1</v>
      </c>
      <c r="F454" s="140">
        <v>0.03</v>
      </c>
      <c r="G454" s="116" t="s">
        <v>4550</v>
      </c>
      <c r="H454" s="119"/>
      <c r="I454" s="116"/>
      <c r="J454" s="66" t="s">
        <v>4551</v>
      </c>
      <c r="K454" s="470">
        <v>120000</v>
      </c>
      <c r="L454" s="116" t="s">
        <v>18</v>
      </c>
      <c r="M454" s="66">
        <v>1</v>
      </c>
      <c r="N454" s="173" t="s">
        <v>4498</v>
      </c>
      <c r="O454" s="66" t="s">
        <v>3974</v>
      </c>
      <c r="P454" s="468">
        <v>19011</v>
      </c>
    </row>
    <row r="455" spans="1:16">
      <c r="A455" s="221" t="s">
        <v>304</v>
      </c>
      <c r="B455" s="119" t="s">
        <v>4520</v>
      </c>
      <c r="C455" s="171" t="s">
        <v>4520</v>
      </c>
      <c r="D455" s="127" t="s">
        <v>4549</v>
      </c>
      <c r="E455" s="131">
        <v>3</v>
      </c>
      <c r="F455" s="140">
        <v>0.4</v>
      </c>
      <c r="G455" s="116">
        <v>6.65</v>
      </c>
      <c r="H455" s="116"/>
      <c r="I455" s="116"/>
      <c r="J455" s="66" t="s">
        <v>4552</v>
      </c>
      <c r="K455" s="470">
        <v>4248571</v>
      </c>
      <c r="L455" s="116" t="s">
        <v>30</v>
      </c>
      <c r="M455" s="116">
        <v>1</v>
      </c>
      <c r="N455" s="118" t="s">
        <v>4498</v>
      </c>
      <c r="O455" s="181" t="s">
        <v>4460</v>
      </c>
      <c r="P455" s="468">
        <v>253480</v>
      </c>
    </row>
    <row r="456" spans="1:16">
      <c r="A456" s="221" t="s">
        <v>304</v>
      </c>
      <c r="B456" s="119" t="s">
        <v>332</v>
      </c>
      <c r="C456" s="171" t="s">
        <v>332</v>
      </c>
      <c r="D456" s="127"/>
      <c r="E456" s="131">
        <v>1</v>
      </c>
      <c r="F456" s="140">
        <v>0.12</v>
      </c>
      <c r="G456" s="116">
        <v>2</v>
      </c>
      <c r="H456" s="116"/>
      <c r="I456" s="116"/>
      <c r="J456" s="66"/>
      <c r="K456" s="470">
        <v>1234285</v>
      </c>
      <c r="L456" s="116"/>
      <c r="M456" s="116"/>
      <c r="N456" s="118"/>
      <c r="O456" s="181"/>
      <c r="P456" s="468">
        <v>76044</v>
      </c>
    </row>
    <row r="457" spans="1:16" ht="31.5" customHeight="1">
      <c r="A457" s="221" t="s">
        <v>4526</v>
      </c>
      <c r="B457" s="754" t="s">
        <v>4527</v>
      </c>
      <c r="C457" s="66" t="s">
        <v>4527</v>
      </c>
      <c r="D457" s="127" t="s">
        <v>4549</v>
      </c>
      <c r="E457" s="131">
        <v>1</v>
      </c>
      <c r="F457" s="140">
        <v>0.5</v>
      </c>
      <c r="G457" s="116">
        <v>5.25</v>
      </c>
      <c r="H457" s="116"/>
      <c r="I457" s="116"/>
      <c r="J457" s="230" t="s">
        <v>4553</v>
      </c>
      <c r="K457" s="470">
        <v>2967391</v>
      </c>
      <c r="L457" s="116" t="s">
        <v>31</v>
      </c>
      <c r="M457" s="66">
        <v>1</v>
      </c>
      <c r="N457" s="118" t="s">
        <v>4554</v>
      </c>
      <c r="O457" s="181" t="s">
        <v>4460</v>
      </c>
      <c r="P457" s="468">
        <v>316850</v>
      </c>
    </row>
    <row r="458" spans="1:16">
      <c r="A458" s="221" t="s">
        <v>4526</v>
      </c>
      <c r="B458" s="754" t="s">
        <v>4545</v>
      </c>
      <c r="C458" s="66" t="s">
        <v>599</v>
      </c>
      <c r="D458" s="127"/>
      <c r="E458" s="131">
        <v>2</v>
      </c>
      <c r="F458" s="140">
        <v>1.5</v>
      </c>
      <c r="G458" s="116">
        <f>+F458*10.5</f>
        <v>15.75</v>
      </c>
      <c r="H458" s="116"/>
      <c r="I458" s="116"/>
      <c r="J458" s="66" t="s">
        <v>4271</v>
      </c>
      <c r="K458" s="470">
        <v>8902174</v>
      </c>
      <c r="L458" s="116"/>
      <c r="M458" s="66"/>
      <c r="N458" s="118"/>
      <c r="O458" s="181"/>
      <c r="P458" s="468">
        <v>950550</v>
      </c>
    </row>
    <row r="459" spans="1:16">
      <c r="A459" s="121" t="s">
        <v>130</v>
      </c>
      <c r="B459" s="182" t="s">
        <v>157</v>
      </c>
      <c r="C459" s="171" t="s">
        <v>4444</v>
      </c>
      <c r="D459" s="127" t="s">
        <v>3795</v>
      </c>
      <c r="E459" s="131">
        <v>2</v>
      </c>
      <c r="F459" s="140">
        <v>1</v>
      </c>
      <c r="G459" s="116">
        <v>8</v>
      </c>
      <c r="H459" s="119"/>
      <c r="I459" s="116"/>
      <c r="J459" s="66" t="s">
        <v>4555</v>
      </c>
      <c r="K459" s="470">
        <v>4524000</v>
      </c>
      <c r="L459" s="66" t="s">
        <v>125</v>
      </c>
      <c r="M459" s="66">
        <v>1</v>
      </c>
      <c r="N459" s="118" t="s">
        <v>4556</v>
      </c>
      <c r="O459" s="66" t="s">
        <v>3974</v>
      </c>
      <c r="P459" s="468">
        <v>633700</v>
      </c>
    </row>
    <row r="460" spans="1:16">
      <c r="A460" s="121" t="s">
        <v>705</v>
      </c>
      <c r="B460" s="119" t="s">
        <v>768</v>
      </c>
      <c r="C460" s="171" t="s">
        <v>4557</v>
      </c>
      <c r="D460" s="127" t="s">
        <v>4549</v>
      </c>
      <c r="E460" s="131">
        <v>4</v>
      </c>
      <c r="F460" s="140">
        <v>0.26</v>
      </c>
      <c r="G460" s="116">
        <v>6</v>
      </c>
      <c r="H460" s="116"/>
      <c r="I460" s="116"/>
      <c r="J460" s="66" t="s">
        <v>4446</v>
      </c>
      <c r="K460" s="470">
        <v>1650000</v>
      </c>
      <c r="L460" s="116" t="s">
        <v>18</v>
      </c>
      <c r="M460" s="66">
        <v>1</v>
      </c>
      <c r="N460" s="118" t="s">
        <v>4556</v>
      </c>
      <c r="O460" s="66" t="s">
        <v>3974</v>
      </c>
      <c r="P460" s="468">
        <v>164762</v>
      </c>
    </row>
    <row r="461" spans="1:16">
      <c r="A461" s="228" t="s">
        <v>82</v>
      </c>
      <c r="B461" s="182" t="s">
        <v>82</v>
      </c>
      <c r="C461" s="167" t="s">
        <v>82</v>
      </c>
      <c r="D461" s="127" t="s">
        <v>4549</v>
      </c>
      <c r="E461" s="131">
        <v>7</v>
      </c>
      <c r="F461" s="140">
        <v>5.0999999999999996</v>
      </c>
      <c r="G461" s="116">
        <v>122.4</v>
      </c>
      <c r="H461" s="116"/>
      <c r="I461" s="116"/>
      <c r="J461" s="66" t="s">
        <v>4045</v>
      </c>
      <c r="K461" s="470">
        <v>20400000</v>
      </c>
      <c r="L461" s="116" t="s">
        <v>30</v>
      </c>
      <c r="M461" s="66">
        <v>1</v>
      </c>
      <c r="N461" s="118" t="s">
        <v>4498</v>
      </c>
      <c r="O461" s="66" t="s">
        <v>3974</v>
      </c>
      <c r="P461" s="468">
        <v>3231870</v>
      </c>
    </row>
    <row r="462" spans="1:16">
      <c r="A462" s="228" t="s">
        <v>82</v>
      </c>
      <c r="B462" s="754" t="s">
        <v>4452</v>
      </c>
      <c r="C462" s="167" t="s">
        <v>4453</v>
      </c>
      <c r="D462" s="127"/>
      <c r="E462" s="131">
        <v>8</v>
      </c>
      <c r="F462" s="140">
        <v>4.5</v>
      </c>
      <c r="G462" s="116">
        <v>108</v>
      </c>
      <c r="H462" s="116"/>
      <c r="I462" s="116"/>
      <c r="J462" s="66"/>
      <c r="K462" s="470">
        <v>18000000</v>
      </c>
      <c r="L462" s="116"/>
      <c r="M462" s="66"/>
      <c r="N462" s="118"/>
      <c r="O462" s="66"/>
      <c r="P462" s="468">
        <v>2851650</v>
      </c>
    </row>
    <row r="463" spans="1:16">
      <c r="A463" s="228" t="s">
        <v>82</v>
      </c>
      <c r="B463" s="754" t="s">
        <v>3452</v>
      </c>
      <c r="C463" s="167" t="s">
        <v>4454</v>
      </c>
      <c r="D463" s="127"/>
      <c r="E463" s="131">
        <v>5</v>
      </c>
      <c r="F463" s="140">
        <v>2.25</v>
      </c>
      <c r="G463" s="116">
        <v>60</v>
      </c>
      <c r="H463" s="116"/>
      <c r="I463" s="116"/>
      <c r="J463" s="66"/>
      <c r="K463" s="470">
        <v>9000000</v>
      </c>
      <c r="L463" s="116"/>
      <c r="M463" s="66"/>
      <c r="N463" s="118"/>
      <c r="O463" s="66"/>
      <c r="P463" s="468">
        <v>1425825</v>
      </c>
    </row>
    <row r="464" spans="1:16" ht="22.5">
      <c r="A464" s="228" t="s">
        <v>82</v>
      </c>
      <c r="B464" s="754" t="s">
        <v>4455</v>
      </c>
      <c r="C464" s="167" t="s">
        <v>4456</v>
      </c>
      <c r="D464" s="127"/>
      <c r="E464" s="131">
        <v>2</v>
      </c>
      <c r="F464" s="140">
        <v>1</v>
      </c>
      <c r="G464" s="116">
        <v>24</v>
      </c>
      <c r="H464" s="116"/>
      <c r="I464" s="116"/>
      <c r="J464" s="66"/>
      <c r="K464" s="470">
        <v>2500000</v>
      </c>
      <c r="L464" s="116"/>
      <c r="M464" s="66"/>
      <c r="N464" s="118"/>
      <c r="O464" s="66"/>
      <c r="P464" s="468">
        <v>633700</v>
      </c>
    </row>
    <row r="465" spans="1:16" ht="33.75">
      <c r="A465" s="121" t="s">
        <v>867</v>
      </c>
      <c r="B465" s="754" t="s">
        <v>4457</v>
      </c>
      <c r="C465" s="167" t="s">
        <v>4458</v>
      </c>
      <c r="D465" s="66" t="s">
        <v>3795</v>
      </c>
      <c r="E465" s="131">
        <v>3</v>
      </c>
      <c r="F465" s="140">
        <v>0.3</v>
      </c>
      <c r="G465" s="131">
        <v>7.2</v>
      </c>
      <c r="H465" s="131"/>
      <c r="I465" s="131"/>
      <c r="J465" s="146" t="s">
        <v>4459</v>
      </c>
      <c r="K465" s="470">
        <v>2410000</v>
      </c>
      <c r="L465" s="146" t="s">
        <v>30</v>
      </c>
      <c r="M465" s="146">
        <v>1</v>
      </c>
      <c r="N465" s="173" t="s">
        <v>4498</v>
      </c>
      <c r="O465" s="178" t="s">
        <v>3974</v>
      </c>
      <c r="P465" s="468">
        <v>190110</v>
      </c>
    </row>
    <row r="466" spans="1:16" ht="33.75">
      <c r="A466" s="121" t="s">
        <v>4411</v>
      </c>
      <c r="B466" s="754" t="s">
        <v>421</v>
      </c>
      <c r="C466" s="171" t="s">
        <v>4558</v>
      </c>
      <c r="D466" s="127" t="s">
        <v>3867</v>
      </c>
      <c r="E466" s="131">
        <v>6</v>
      </c>
      <c r="F466" s="140">
        <v>7.1</v>
      </c>
      <c r="G466" s="116">
        <v>32.46</v>
      </c>
      <c r="H466" s="119"/>
      <c r="I466" s="116"/>
      <c r="J466" s="66" t="s">
        <v>4559</v>
      </c>
      <c r="K466" s="470">
        <v>35500000</v>
      </c>
      <c r="L466" s="116" t="s">
        <v>30</v>
      </c>
      <c r="M466" s="66">
        <v>1</v>
      </c>
      <c r="N466" s="173" t="s">
        <v>4524</v>
      </c>
      <c r="O466" s="66" t="s">
        <v>3974</v>
      </c>
      <c r="P466" s="468">
        <v>990450</v>
      </c>
    </row>
    <row r="467" spans="1:16">
      <c r="A467" s="121" t="s">
        <v>4526</v>
      </c>
      <c r="B467" s="754" t="s">
        <v>4527</v>
      </c>
      <c r="C467" s="66" t="s">
        <v>4528</v>
      </c>
      <c r="D467" s="127" t="s">
        <v>3867</v>
      </c>
      <c r="E467" s="131">
        <v>1</v>
      </c>
      <c r="F467" s="140">
        <v>3</v>
      </c>
      <c r="G467" s="116">
        <f>+F467*30</f>
        <v>90</v>
      </c>
      <c r="H467" s="116">
        <v>0</v>
      </c>
      <c r="I467" s="116"/>
      <c r="J467" s="66" t="s">
        <v>4271</v>
      </c>
      <c r="K467" s="470">
        <v>18000000</v>
      </c>
      <c r="L467" s="116" t="s">
        <v>31</v>
      </c>
      <c r="M467" s="66">
        <v>1</v>
      </c>
      <c r="N467" s="118" t="s">
        <v>4524</v>
      </c>
      <c r="O467" s="66" t="s">
        <v>3974</v>
      </c>
      <c r="P467" s="468">
        <v>418500</v>
      </c>
    </row>
    <row r="468" spans="1:16">
      <c r="A468" s="143" t="s">
        <v>130</v>
      </c>
      <c r="B468" s="754" t="s">
        <v>130</v>
      </c>
      <c r="C468" s="171" t="s">
        <v>4560</v>
      </c>
      <c r="D468" s="127" t="s">
        <v>3867</v>
      </c>
      <c r="E468" s="122">
        <v>1</v>
      </c>
      <c r="F468" s="140">
        <v>0.5</v>
      </c>
      <c r="G468" s="140">
        <v>15</v>
      </c>
      <c r="H468" s="119"/>
      <c r="I468" s="116"/>
      <c r="J468" s="66" t="s">
        <v>4555</v>
      </c>
      <c r="K468" s="470">
        <v>3000000</v>
      </c>
      <c r="L468" s="66" t="s">
        <v>125</v>
      </c>
      <c r="M468" s="66">
        <v>1</v>
      </c>
      <c r="N468" s="118" t="s">
        <v>4524</v>
      </c>
      <c r="O468" s="66" t="s">
        <v>3974</v>
      </c>
      <c r="P468" s="468">
        <v>69750</v>
      </c>
    </row>
    <row r="469" spans="1:16">
      <c r="A469" s="228" t="s">
        <v>82</v>
      </c>
      <c r="B469" s="182" t="s">
        <v>82</v>
      </c>
      <c r="C469" s="230" t="s">
        <v>82</v>
      </c>
      <c r="D469" s="127" t="s">
        <v>3867</v>
      </c>
      <c r="E469" s="131">
        <v>2</v>
      </c>
      <c r="F469" s="140">
        <v>6.5</v>
      </c>
      <c r="G469" s="116">
        <v>195</v>
      </c>
      <c r="H469" s="116">
        <v>0</v>
      </c>
      <c r="I469" s="116">
        <v>0</v>
      </c>
      <c r="J469" s="66" t="s">
        <v>4045</v>
      </c>
      <c r="K469" s="470">
        <v>32500000</v>
      </c>
      <c r="L469" s="66" t="s">
        <v>125</v>
      </c>
      <c r="M469" s="66">
        <v>2</v>
      </c>
      <c r="N469" s="118" t="s">
        <v>4524</v>
      </c>
      <c r="O469" s="66" t="s">
        <v>3974</v>
      </c>
      <c r="P469" s="468">
        <v>906750</v>
      </c>
    </row>
    <row r="470" spans="1:16">
      <c r="A470" s="228" t="s">
        <v>82</v>
      </c>
      <c r="B470" s="182" t="s">
        <v>4452</v>
      </c>
      <c r="C470" s="167" t="s">
        <v>4453</v>
      </c>
      <c r="D470" s="127"/>
      <c r="E470" s="131">
        <v>3</v>
      </c>
      <c r="F470" s="140">
        <v>1.75</v>
      </c>
      <c r="G470" s="116">
        <v>52.5</v>
      </c>
      <c r="H470" s="116">
        <v>0</v>
      </c>
      <c r="I470" s="116">
        <v>0</v>
      </c>
      <c r="J470" s="66" t="s">
        <v>4045</v>
      </c>
      <c r="K470" s="470">
        <v>8750000</v>
      </c>
      <c r="L470" s="66"/>
      <c r="M470" s="66"/>
      <c r="N470" s="118"/>
      <c r="O470" s="66"/>
      <c r="P470" s="468">
        <v>244125</v>
      </c>
    </row>
    <row r="471" spans="1:16" ht="33.75">
      <c r="A471" s="143" t="s">
        <v>867</v>
      </c>
      <c r="B471" s="182" t="s">
        <v>4457</v>
      </c>
      <c r="C471" s="167" t="s">
        <v>4458</v>
      </c>
      <c r="D471" s="127" t="s">
        <v>3867</v>
      </c>
      <c r="E471" s="131">
        <v>2</v>
      </c>
      <c r="F471" s="140">
        <v>1</v>
      </c>
      <c r="G471" s="131">
        <v>10</v>
      </c>
      <c r="H471" s="116"/>
      <c r="I471" s="116"/>
      <c r="J471" s="66" t="s">
        <v>4459</v>
      </c>
      <c r="K471" s="470">
        <v>5000000</v>
      </c>
      <c r="L471" s="116" t="s">
        <v>125</v>
      </c>
      <c r="M471" s="116">
        <v>1</v>
      </c>
      <c r="N471" s="118" t="s">
        <v>4524</v>
      </c>
      <c r="O471" s="66" t="s">
        <v>4460</v>
      </c>
      <c r="P471" s="468">
        <v>83700</v>
      </c>
    </row>
    <row r="472" spans="1:16">
      <c r="A472" s="121" t="s">
        <v>4469</v>
      </c>
      <c r="B472" s="116" t="s">
        <v>4561</v>
      </c>
      <c r="C472" s="66" t="s">
        <v>1717</v>
      </c>
      <c r="D472" s="127" t="s">
        <v>3867</v>
      </c>
      <c r="E472" s="131">
        <v>1</v>
      </c>
      <c r="F472" s="140">
        <v>0.25</v>
      </c>
      <c r="G472" s="116">
        <f>SUM(G455:G471)</f>
        <v>760.21</v>
      </c>
      <c r="H472" s="119"/>
      <c r="I472" s="116"/>
      <c r="J472" s="66"/>
      <c r="K472" s="470">
        <v>2000000</v>
      </c>
      <c r="L472" s="116" t="s">
        <v>125</v>
      </c>
      <c r="M472" s="116">
        <v>1</v>
      </c>
      <c r="N472" s="118" t="s">
        <v>4524</v>
      </c>
      <c r="O472" s="66" t="s">
        <v>4519</v>
      </c>
      <c r="P472" s="468">
        <v>20945</v>
      </c>
    </row>
    <row r="473" spans="1:16">
      <c r="A473" s="221" t="s">
        <v>4411</v>
      </c>
      <c r="B473" s="119" t="s">
        <v>421</v>
      </c>
      <c r="C473" s="171" t="s">
        <v>1669</v>
      </c>
      <c r="D473" s="127" t="s">
        <v>4562</v>
      </c>
      <c r="E473" s="131">
        <v>1</v>
      </c>
      <c r="F473" s="140">
        <v>0.15</v>
      </c>
      <c r="G473" s="134"/>
      <c r="H473" s="116"/>
      <c r="I473" s="116"/>
      <c r="J473" s="66" t="s">
        <v>4563</v>
      </c>
      <c r="K473" s="470">
        <v>440000</v>
      </c>
      <c r="L473" s="116" t="s">
        <v>18</v>
      </c>
      <c r="M473" s="66">
        <v>1</v>
      </c>
      <c r="N473" s="173" t="s">
        <v>4524</v>
      </c>
      <c r="O473" s="66" t="s">
        <v>4519</v>
      </c>
      <c r="P473" s="468">
        <v>12555</v>
      </c>
    </row>
    <row r="474" spans="1:16">
      <c r="A474" s="221" t="s">
        <v>4411</v>
      </c>
      <c r="B474" s="119" t="s">
        <v>421</v>
      </c>
      <c r="C474" s="171" t="s">
        <v>1669</v>
      </c>
      <c r="D474" s="127"/>
      <c r="E474" s="131">
        <v>1</v>
      </c>
      <c r="F474" s="140">
        <v>0.15</v>
      </c>
      <c r="G474" s="134"/>
      <c r="H474" s="116"/>
      <c r="I474" s="116"/>
      <c r="J474" s="66"/>
      <c r="K474" s="470">
        <v>30000</v>
      </c>
      <c r="L474" s="116"/>
      <c r="M474" s="66"/>
      <c r="N474" s="173"/>
      <c r="O474" s="66"/>
      <c r="P474" s="468">
        <v>12555</v>
      </c>
    </row>
    <row r="475" spans="1:16">
      <c r="A475" s="221" t="s">
        <v>4411</v>
      </c>
      <c r="B475" s="119" t="s">
        <v>380</v>
      </c>
      <c r="C475" s="171" t="s">
        <v>1659</v>
      </c>
      <c r="D475" s="127"/>
      <c r="E475" s="131">
        <v>2</v>
      </c>
      <c r="F475" s="140">
        <v>1.04</v>
      </c>
      <c r="G475" s="134"/>
      <c r="H475" s="116"/>
      <c r="I475" s="116"/>
      <c r="J475" s="66"/>
      <c r="K475" s="470">
        <v>280000</v>
      </c>
      <c r="L475" s="116"/>
      <c r="M475" s="66"/>
      <c r="N475" s="173"/>
      <c r="O475" s="66"/>
      <c r="P475" s="468">
        <v>117180</v>
      </c>
    </row>
    <row r="476" spans="1:16">
      <c r="A476" s="221" t="s">
        <v>705</v>
      </c>
      <c r="B476" s="119" t="s">
        <v>768</v>
      </c>
      <c r="C476" s="171" t="s">
        <v>4564</v>
      </c>
      <c r="D476" s="127" t="s">
        <v>4562</v>
      </c>
      <c r="E476" s="131">
        <v>1</v>
      </c>
      <c r="F476" s="140">
        <v>0.5</v>
      </c>
      <c r="G476" s="116">
        <v>1</v>
      </c>
      <c r="H476" s="116"/>
      <c r="I476" s="116"/>
      <c r="J476" s="66" t="s">
        <v>4446</v>
      </c>
      <c r="K476" s="470">
        <v>250000</v>
      </c>
      <c r="L476" s="116" t="s">
        <v>18</v>
      </c>
      <c r="M476" s="66">
        <v>1</v>
      </c>
      <c r="N476" s="173" t="s">
        <v>4534</v>
      </c>
      <c r="O476" s="66" t="s">
        <v>3974</v>
      </c>
      <c r="P476" s="468">
        <v>41850</v>
      </c>
    </row>
    <row r="477" spans="1:16">
      <c r="A477" s="221" t="s">
        <v>705</v>
      </c>
      <c r="B477" s="119" t="s">
        <v>806</v>
      </c>
      <c r="C477" s="171" t="s">
        <v>594</v>
      </c>
      <c r="D477" s="127"/>
      <c r="E477" s="131">
        <v>1</v>
      </c>
      <c r="F477" s="140">
        <v>0.5</v>
      </c>
      <c r="G477" s="116"/>
      <c r="H477" s="116"/>
      <c r="I477" s="116"/>
      <c r="J477" s="66"/>
      <c r="K477" s="470">
        <v>250000</v>
      </c>
      <c r="L477" s="116"/>
      <c r="M477" s="66"/>
      <c r="N477" s="173"/>
      <c r="O477" s="66" t="s">
        <v>3974</v>
      </c>
      <c r="P477" s="468">
        <v>41850</v>
      </c>
    </row>
    <row r="478" spans="1:16">
      <c r="A478" s="163" t="s">
        <v>82</v>
      </c>
      <c r="B478" s="764" t="s">
        <v>4452</v>
      </c>
      <c r="C478" s="167" t="s">
        <v>4453</v>
      </c>
      <c r="D478" s="127" t="s">
        <v>4562</v>
      </c>
      <c r="E478" s="131">
        <v>1</v>
      </c>
      <c r="F478" s="140">
        <v>0.1</v>
      </c>
      <c r="G478" s="116">
        <v>0.4</v>
      </c>
      <c r="H478" s="119">
        <v>0</v>
      </c>
      <c r="I478" s="116">
        <v>0</v>
      </c>
      <c r="J478" s="66" t="s">
        <v>4045</v>
      </c>
      <c r="K478" s="470">
        <v>20000</v>
      </c>
      <c r="L478" s="116" t="s">
        <v>725</v>
      </c>
      <c r="M478" s="66">
        <v>1</v>
      </c>
      <c r="N478" s="173" t="s">
        <v>4534</v>
      </c>
      <c r="O478" s="66" t="s">
        <v>3974</v>
      </c>
      <c r="P478" s="468">
        <v>27900</v>
      </c>
    </row>
    <row r="479" spans="1:16" ht="33.75">
      <c r="A479" s="163" t="s">
        <v>867</v>
      </c>
      <c r="B479" s="764" t="s">
        <v>4457</v>
      </c>
      <c r="C479" s="167" t="s">
        <v>4458</v>
      </c>
      <c r="D479" s="127" t="s">
        <v>4562</v>
      </c>
      <c r="E479" s="131">
        <v>1</v>
      </c>
      <c r="F479" s="140">
        <v>0.5</v>
      </c>
      <c r="G479" s="116">
        <v>0.5</v>
      </c>
      <c r="H479" s="119">
        <v>0</v>
      </c>
      <c r="I479" s="116">
        <v>0</v>
      </c>
      <c r="J479" s="66" t="s">
        <v>4459</v>
      </c>
      <c r="K479" s="470">
        <v>500000</v>
      </c>
      <c r="L479" s="116" t="s">
        <v>18</v>
      </c>
      <c r="M479" s="116">
        <v>1</v>
      </c>
      <c r="N479" s="173" t="s">
        <v>4565</v>
      </c>
      <c r="O479" s="66" t="s">
        <v>4519</v>
      </c>
      <c r="P479" s="468">
        <v>41850</v>
      </c>
    </row>
    <row r="480" spans="1:16" ht="22.5">
      <c r="A480" s="163" t="s">
        <v>867</v>
      </c>
      <c r="B480" s="764" t="s">
        <v>4463</v>
      </c>
      <c r="C480" s="167" t="s">
        <v>4464</v>
      </c>
      <c r="D480" s="127" t="s">
        <v>4562</v>
      </c>
      <c r="E480" s="131">
        <v>1</v>
      </c>
      <c r="F480" s="140">
        <v>0.75</v>
      </c>
      <c r="G480" s="116">
        <v>0.15</v>
      </c>
      <c r="H480" s="119">
        <v>0</v>
      </c>
      <c r="I480" s="116">
        <v>0</v>
      </c>
      <c r="J480" s="66" t="s">
        <v>4045</v>
      </c>
      <c r="K480" s="470">
        <v>150000</v>
      </c>
      <c r="L480" s="116"/>
      <c r="M480" s="116"/>
      <c r="N480" s="173"/>
      <c r="O480" s="66"/>
      <c r="P480" s="468">
        <v>62775</v>
      </c>
    </row>
    <row r="481" spans="1:16">
      <c r="A481" s="121" t="s">
        <v>4411</v>
      </c>
      <c r="B481" s="119" t="s">
        <v>421</v>
      </c>
      <c r="C481" s="171" t="s">
        <v>1669</v>
      </c>
      <c r="D481" s="127" t="s">
        <v>3891</v>
      </c>
      <c r="E481" s="131">
        <v>1</v>
      </c>
      <c r="F481" s="140">
        <v>0.25</v>
      </c>
      <c r="G481" s="116">
        <v>0.25</v>
      </c>
      <c r="H481" s="119"/>
      <c r="I481" s="116"/>
      <c r="J481" s="66" t="s">
        <v>4566</v>
      </c>
      <c r="K481" s="470">
        <v>30000</v>
      </c>
      <c r="L481" s="116" t="s">
        <v>30</v>
      </c>
      <c r="M481" s="66">
        <v>1</v>
      </c>
      <c r="N481" s="173" t="s">
        <v>4556</v>
      </c>
      <c r="O481" s="66" t="s">
        <v>3974</v>
      </c>
      <c r="P481" s="468">
        <v>66850</v>
      </c>
    </row>
    <row r="482" spans="1:16">
      <c r="A482" s="221" t="s">
        <v>4526</v>
      </c>
      <c r="B482" s="116" t="s">
        <v>4567</v>
      </c>
      <c r="C482" s="66" t="s">
        <v>4568</v>
      </c>
      <c r="D482" s="127" t="s">
        <v>3891</v>
      </c>
      <c r="E482" s="131">
        <v>3</v>
      </c>
      <c r="F482" s="140">
        <v>15</v>
      </c>
      <c r="G482" s="116">
        <f>(F482*25000)/1000</f>
        <v>375</v>
      </c>
      <c r="H482" s="116">
        <v>0</v>
      </c>
      <c r="I482" s="116"/>
      <c r="J482" s="66" t="s">
        <v>4271</v>
      </c>
      <c r="K482" s="470">
        <v>280000</v>
      </c>
      <c r="L482" s="116" t="s">
        <v>31</v>
      </c>
      <c r="M482" s="66">
        <v>1</v>
      </c>
      <c r="N482" s="118" t="s">
        <v>4569</v>
      </c>
      <c r="O482" s="66" t="s">
        <v>3974</v>
      </c>
      <c r="P482" s="468">
        <v>4011000</v>
      </c>
    </row>
    <row r="483" spans="1:16">
      <c r="A483" s="221" t="s">
        <v>4526</v>
      </c>
      <c r="B483" s="754" t="s">
        <v>4527</v>
      </c>
      <c r="C483" s="66" t="s">
        <v>642</v>
      </c>
      <c r="D483" s="127"/>
      <c r="E483" s="131">
        <v>16</v>
      </c>
      <c r="F483" s="140">
        <v>47</v>
      </c>
      <c r="G483" s="116">
        <f>(F483*25000)/1000</f>
        <v>1175</v>
      </c>
      <c r="H483" s="116">
        <v>0</v>
      </c>
      <c r="I483" s="116"/>
      <c r="J483" s="66" t="s">
        <v>4271</v>
      </c>
      <c r="K483" s="470">
        <v>250000</v>
      </c>
      <c r="L483" s="116"/>
      <c r="M483" s="66"/>
      <c r="N483" s="231"/>
      <c r="O483" s="66"/>
      <c r="P483" s="468">
        <v>12567800</v>
      </c>
    </row>
    <row r="484" spans="1:16" ht="33.75">
      <c r="A484" s="143" t="s">
        <v>130</v>
      </c>
      <c r="B484" s="762" t="s">
        <v>130</v>
      </c>
      <c r="C484" s="171" t="s">
        <v>4441</v>
      </c>
      <c r="D484" s="127" t="s">
        <v>3891</v>
      </c>
      <c r="E484" s="127">
        <v>6</v>
      </c>
      <c r="F484" s="140">
        <v>21.1</v>
      </c>
      <c r="G484" s="140">
        <v>633</v>
      </c>
      <c r="H484" s="116" t="s">
        <v>4570</v>
      </c>
      <c r="I484" s="116"/>
      <c r="J484" s="66" t="s">
        <v>4555</v>
      </c>
      <c r="K484" s="470">
        <v>250000</v>
      </c>
      <c r="L484" s="66" t="s">
        <v>125</v>
      </c>
      <c r="M484" s="66">
        <v>1</v>
      </c>
      <c r="N484" s="118" t="s">
        <v>4569</v>
      </c>
      <c r="O484" s="66" t="s">
        <v>3974</v>
      </c>
      <c r="P484" s="468">
        <v>5642140</v>
      </c>
    </row>
    <row r="485" spans="1:16">
      <c r="A485" s="121" t="s">
        <v>705</v>
      </c>
      <c r="B485" s="116" t="s">
        <v>4447</v>
      </c>
      <c r="C485" s="171" t="s">
        <v>4448</v>
      </c>
      <c r="D485" s="127" t="s">
        <v>3891</v>
      </c>
      <c r="E485" s="131">
        <v>1</v>
      </c>
      <c r="F485" s="140">
        <v>0.5</v>
      </c>
      <c r="G485" s="116">
        <v>6</v>
      </c>
      <c r="H485" s="116"/>
      <c r="I485" s="116"/>
      <c r="J485" s="66" t="s">
        <v>4446</v>
      </c>
      <c r="K485" s="470">
        <v>20000</v>
      </c>
      <c r="L485" s="116" t="s">
        <v>18</v>
      </c>
      <c r="M485" s="66">
        <v>1</v>
      </c>
      <c r="N485" s="118" t="s">
        <v>4571</v>
      </c>
      <c r="O485" s="66" t="s">
        <v>3974</v>
      </c>
      <c r="P485" s="468">
        <v>133700</v>
      </c>
    </row>
    <row r="486" spans="1:16" ht="12.75" customHeight="1">
      <c r="A486" s="163" t="s">
        <v>82</v>
      </c>
      <c r="B486" s="170" t="s">
        <v>82</v>
      </c>
      <c r="C486" s="167" t="s">
        <v>82</v>
      </c>
      <c r="D486" s="127" t="s">
        <v>3891</v>
      </c>
      <c r="E486" s="131">
        <v>39</v>
      </c>
      <c r="F486" s="140">
        <v>110.5</v>
      </c>
      <c r="G486" s="116">
        <v>27175</v>
      </c>
      <c r="H486" s="119">
        <v>0</v>
      </c>
      <c r="I486" s="116">
        <v>0</v>
      </c>
      <c r="J486" s="66" t="s">
        <v>4045</v>
      </c>
      <c r="K486" s="470">
        <v>500000</v>
      </c>
      <c r="L486" s="116" t="s">
        <v>31</v>
      </c>
      <c r="M486" s="66" t="s">
        <v>4572</v>
      </c>
      <c r="N486" s="118" t="s">
        <v>4573</v>
      </c>
      <c r="O486" s="66" t="s">
        <v>3974</v>
      </c>
      <c r="P486" s="468">
        <v>29414000</v>
      </c>
    </row>
    <row r="487" spans="1:16" ht="24.6" customHeight="1">
      <c r="A487" s="163" t="s">
        <v>82</v>
      </c>
      <c r="B487" s="764" t="s">
        <v>4452</v>
      </c>
      <c r="C487" s="167" t="s">
        <v>4453</v>
      </c>
      <c r="D487" s="127"/>
      <c r="E487" s="131">
        <v>11</v>
      </c>
      <c r="F487" s="140">
        <v>19.5</v>
      </c>
      <c r="G487" s="116">
        <v>487.5</v>
      </c>
      <c r="H487" s="119">
        <v>0</v>
      </c>
      <c r="I487" s="116">
        <v>0</v>
      </c>
      <c r="J487" s="66"/>
      <c r="K487" s="470">
        <v>150000</v>
      </c>
      <c r="L487" s="116"/>
      <c r="M487" s="66"/>
      <c r="N487" s="118"/>
      <c r="O487" s="66"/>
      <c r="P487" s="468">
        <v>5214300</v>
      </c>
    </row>
    <row r="488" spans="1:16" ht="24" customHeight="1">
      <c r="A488" s="163" t="s">
        <v>82</v>
      </c>
      <c r="B488" s="764" t="s">
        <v>4455</v>
      </c>
      <c r="C488" s="167" t="s">
        <v>4456</v>
      </c>
      <c r="D488" s="127"/>
      <c r="E488" s="131">
        <v>1</v>
      </c>
      <c r="F488" s="140">
        <v>2</v>
      </c>
      <c r="G488" s="116">
        <v>50</v>
      </c>
      <c r="H488" s="119">
        <v>0</v>
      </c>
      <c r="I488" s="116">
        <v>0</v>
      </c>
      <c r="J488" s="66"/>
      <c r="K488" s="470">
        <v>1000000</v>
      </c>
      <c r="L488" s="116"/>
      <c r="M488" s="66"/>
      <c r="N488" s="118"/>
      <c r="O488" s="66"/>
      <c r="P488" s="468">
        <v>534800</v>
      </c>
    </row>
    <row r="489" spans="1:16">
      <c r="A489" s="221" t="s">
        <v>304</v>
      </c>
      <c r="B489" s="119" t="s">
        <v>332</v>
      </c>
      <c r="C489" s="171" t="s">
        <v>332</v>
      </c>
      <c r="D489" s="127" t="s">
        <v>3982</v>
      </c>
      <c r="E489" s="131">
        <v>1</v>
      </c>
      <c r="F489" s="140">
        <v>0.12</v>
      </c>
      <c r="G489" s="116">
        <v>7.2</v>
      </c>
      <c r="H489" s="119"/>
      <c r="I489" s="116"/>
      <c r="J489" s="66"/>
      <c r="K489" s="470">
        <v>1920000</v>
      </c>
      <c r="L489" s="116" t="s">
        <v>31</v>
      </c>
      <c r="M489" s="179">
        <v>1</v>
      </c>
      <c r="N489" s="118" t="s">
        <v>4494</v>
      </c>
      <c r="O489" s="181" t="s">
        <v>3974</v>
      </c>
      <c r="P489" s="468">
        <v>67900</v>
      </c>
    </row>
    <row r="490" spans="1:16">
      <c r="A490" s="221" t="s">
        <v>304</v>
      </c>
      <c r="B490" s="119" t="s">
        <v>4520</v>
      </c>
      <c r="C490" s="171" t="s">
        <v>4574</v>
      </c>
      <c r="D490" s="127"/>
      <c r="E490" s="131">
        <v>2</v>
      </c>
      <c r="F490" s="140">
        <v>0.11</v>
      </c>
      <c r="G490" s="116">
        <v>2.9</v>
      </c>
      <c r="H490" s="119"/>
      <c r="I490" s="116"/>
      <c r="J490" s="66"/>
      <c r="K490" s="470">
        <v>890000</v>
      </c>
      <c r="L490" s="116"/>
      <c r="M490" s="179"/>
      <c r="N490" s="118"/>
      <c r="O490" s="181"/>
      <c r="P490" s="468">
        <v>67900</v>
      </c>
    </row>
    <row r="491" spans="1:16" ht="12.75" customHeight="1">
      <c r="A491" s="228" t="s">
        <v>82</v>
      </c>
      <c r="B491" s="119" t="s">
        <v>4452</v>
      </c>
      <c r="C491" s="167" t="s">
        <v>4453</v>
      </c>
      <c r="D491" s="127" t="s">
        <v>3982</v>
      </c>
      <c r="E491" s="131">
        <v>2</v>
      </c>
      <c r="F491" s="140">
        <v>0.5</v>
      </c>
      <c r="G491" s="116">
        <v>8</v>
      </c>
      <c r="H491" s="119">
        <v>0</v>
      </c>
      <c r="I491" s="116">
        <v>0</v>
      </c>
      <c r="J491" s="66" t="s">
        <v>4045</v>
      </c>
      <c r="K491" s="470">
        <v>1000000</v>
      </c>
      <c r="L491" s="116" t="s">
        <v>30</v>
      </c>
      <c r="M491" s="66" t="s">
        <v>4572</v>
      </c>
      <c r="N491" s="118" t="s">
        <v>4573</v>
      </c>
      <c r="O491" s="66" t="s">
        <v>3974</v>
      </c>
      <c r="P491" s="468">
        <v>76300</v>
      </c>
    </row>
    <row r="492" spans="1:16">
      <c r="A492" s="228" t="s">
        <v>82</v>
      </c>
      <c r="B492" s="119" t="s">
        <v>3452</v>
      </c>
      <c r="C492" s="167" t="s">
        <v>4454</v>
      </c>
      <c r="D492" s="127"/>
      <c r="E492" s="131">
        <v>5</v>
      </c>
      <c r="F492" s="140">
        <v>3.75</v>
      </c>
      <c r="G492" s="116">
        <v>13.125</v>
      </c>
      <c r="H492" s="119">
        <v>0</v>
      </c>
      <c r="I492" s="116">
        <v>0</v>
      </c>
      <c r="J492" s="66"/>
      <c r="K492" s="470">
        <v>7500000</v>
      </c>
      <c r="L492" s="116"/>
      <c r="M492" s="66"/>
      <c r="N492" s="118"/>
      <c r="O492" s="66"/>
      <c r="P492" s="468">
        <v>568500</v>
      </c>
    </row>
    <row r="493" spans="1:16" ht="23.1" customHeight="1">
      <c r="A493" s="228" t="s">
        <v>82</v>
      </c>
      <c r="B493" s="119" t="s">
        <v>4455</v>
      </c>
      <c r="C493" s="167" t="s">
        <v>4456</v>
      </c>
      <c r="D493" s="127"/>
      <c r="E493" s="131">
        <v>1</v>
      </c>
      <c r="F493" s="140">
        <v>0.1</v>
      </c>
      <c r="G493" s="116">
        <v>0.3</v>
      </c>
      <c r="H493" s="119">
        <v>0</v>
      </c>
      <c r="I493" s="116">
        <v>0</v>
      </c>
      <c r="J493" s="66"/>
      <c r="K493" s="470">
        <v>200000</v>
      </c>
      <c r="L493" s="116"/>
      <c r="M493" s="66"/>
      <c r="N493" s="118"/>
      <c r="O493" s="66"/>
      <c r="P493" s="468">
        <v>67900</v>
      </c>
    </row>
    <row r="494" spans="1:16" ht="33.75">
      <c r="A494" s="121" t="s">
        <v>867</v>
      </c>
      <c r="B494" s="119" t="s">
        <v>4457</v>
      </c>
      <c r="C494" s="171" t="s">
        <v>4458</v>
      </c>
      <c r="D494" s="66" t="s">
        <v>3982</v>
      </c>
      <c r="E494" s="131">
        <v>4</v>
      </c>
      <c r="F494" s="140">
        <v>0.5</v>
      </c>
      <c r="G494" s="116">
        <v>2.2000000000000002</v>
      </c>
      <c r="H494" s="119">
        <v>0</v>
      </c>
      <c r="I494" s="116">
        <v>0</v>
      </c>
      <c r="J494" s="66" t="s">
        <v>4533</v>
      </c>
      <c r="K494" s="470">
        <v>990000</v>
      </c>
      <c r="L494" s="116" t="s">
        <v>30</v>
      </c>
      <c r="M494" s="116">
        <v>1</v>
      </c>
      <c r="N494" s="118" t="s">
        <v>4575</v>
      </c>
      <c r="O494" s="66" t="s">
        <v>3974</v>
      </c>
      <c r="P494" s="468">
        <v>76300</v>
      </c>
    </row>
    <row r="495" spans="1:16">
      <c r="A495" s="221" t="s">
        <v>867</v>
      </c>
      <c r="B495" s="754" t="s">
        <v>4467</v>
      </c>
      <c r="C495" s="66" t="s">
        <v>4468</v>
      </c>
      <c r="D495" s="66" t="s">
        <v>3897</v>
      </c>
      <c r="E495" s="131">
        <v>3</v>
      </c>
      <c r="F495" s="140">
        <v>0.08</v>
      </c>
      <c r="G495" s="116">
        <v>5.8</v>
      </c>
      <c r="H495" s="131"/>
      <c r="I495" s="131"/>
      <c r="J495" s="66" t="s">
        <v>4045</v>
      </c>
      <c r="K495" s="470">
        <v>4740000</v>
      </c>
      <c r="L495" s="131"/>
      <c r="M495" s="131"/>
      <c r="N495" s="232" t="s">
        <v>4498</v>
      </c>
      <c r="O495" s="122" t="s">
        <v>3974</v>
      </c>
      <c r="P495" s="468">
        <v>276800</v>
      </c>
    </row>
    <row r="496" spans="1:16" ht="12.75" customHeight="1">
      <c r="A496" s="221" t="s">
        <v>867</v>
      </c>
      <c r="B496" s="754" t="s">
        <v>4465</v>
      </c>
      <c r="C496" s="66" t="s">
        <v>4466</v>
      </c>
      <c r="D496" s="66"/>
      <c r="E496" s="131">
        <v>1</v>
      </c>
      <c r="F496" s="140">
        <v>1.4999999999999999E-2</v>
      </c>
      <c r="G496" s="116">
        <v>1.5</v>
      </c>
      <c r="H496" s="131"/>
      <c r="I496" s="131"/>
      <c r="J496" s="66" t="s">
        <v>4459</v>
      </c>
      <c r="K496" s="470">
        <v>1050000</v>
      </c>
      <c r="L496" s="131"/>
      <c r="M496" s="131"/>
      <c r="N496" s="232"/>
      <c r="O496" s="122"/>
      <c r="P496" s="468">
        <v>70700</v>
      </c>
    </row>
    <row r="497" spans="1:16" ht="33.75">
      <c r="A497" s="221" t="s">
        <v>867</v>
      </c>
      <c r="B497" s="754" t="s">
        <v>4457</v>
      </c>
      <c r="C497" s="66" t="s">
        <v>4458</v>
      </c>
      <c r="D497" s="66"/>
      <c r="E497" s="131">
        <v>4</v>
      </c>
      <c r="F497" s="140">
        <v>0.55000000000000004</v>
      </c>
      <c r="G497" s="116">
        <v>12.6</v>
      </c>
      <c r="H497" s="131"/>
      <c r="I497" s="131"/>
      <c r="J497" s="66"/>
      <c r="K497" s="470">
        <v>8820000</v>
      </c>
      <c r="L497" s="131"/>
      <c r="M497" s="131"/>
      <c r="N497" s="232"/>
      <c r="O497" s="122"/>
      <c r="P497" s="468">
        <v>319250</v>
      </c>
    </row>
    <row r="498" spans="1:16">
      <c r="A498" s="221" t="s">
        <v>304</v>
      </c>
      <c r="B498" s="119" t="s">
        <v>4520</v>
      </c>
      <c r="C498" s="171" t="s">
        <v>4574</v>
      </c>
      <c r="D498" s="127" t="s">
        <v>3897</v>
      </c>
      <c r="E498" s="131">
        <v>2</v>
      </c>
      <c r="F498" s="140">
        <v>0.17</v>
      </c>
      <c r="G498" s="116">
        <v>11.65</v>
      </c>
      <c r="H498" s="119"/>
      <c r="I498" s="116"/>
      <c r="J498" s="66"/>
      <c r="K498" s="470">
        <v>2700000</v>
      </c>
      <c r="L498" s="179"/>
      <c r="M498" s="179"/>
      <c r="N498" s="180"/>
      <c r="O498" s="181"/>
      <c r="P498" s="468">
        <v>113450</v>
      </c>
    </row>
    <row r="499" spans="1:16">
      <c r="A499" s="221" t="s">
        <v>304</v>
      </c>
      <c r="B499" s="119" t="s">
        <v>304</v>
      </c>
      <c r="C499" s="171" t="s">
        <v>304</v>
      </c>
      <c r="D499" s="127"/>
      <c r="E499" s="131">
        <v>1</v>
      </c>
      <c r="F499" s="140">
        <v>0.01</v>
      </c>
      <c r="G499" s="116">
        <v>0.8</v>
      </c>
      <c r="H499" s="119"/>
      <c r="I499" s="116"/>
      <c r="J499" s="66"/>
      <c r="K499" s="470">
        <v>1000000</v>
      </c>
      <c r="L499" s="179"/>
      <c r="M499" s="179"/>
      <c r="N499" s="180"/>
      <c r="O499" s="181"/>
      <c r="P499" s="468">
        <v>67850</v>
      </c>
    </row>
    <row r="500" spans="1:16">
      <c r="A500" s="121" t="s">
        <v>58</v>
      </c>
      <c r="B500" s="119" t="s">
        <v>4431</v>
      </c>
      <c r="C500" s="171" t="s">
        <v>4432</v>
      </c>
      <c r="D500" s="127" t="s">
        <v>3897</v>
      </c>
      <c r="E500" s="131">
        <v>1</v>
      </c>
      <c r="F500" s="140">
        <v>0.5</v>
      </c>
      <c r="G500" s="116">
        <v>0.5</v>
      </c>
      <c r="H500" s="119"/>
      <c r="I500" s="116"/>
      <c r="J500" s="66" t="s">
        <v>4424</v>
      </c>
      <c r="K500" s="470">
        <v>300000</v>
      </c>
      <c r="L500" s="116" t="s">
        <v>18</v>
      </c>
      <c r="M500" s="66">
        <v>2</v>
      </c>
      <c r="N500" s="118" t="s">
        <v>4575</v>
      </c>
      <c r="O500" s="171"/>
      <c r="P500" s="468">
        <v>319250</v>
      </c>
    </row>
    <row r="501" spans="1:16">
      <c r="A501" s="228" t="s">
        <v>82</v>
      </c>
      <c r="B501" s="119" t="s">
        <v>4452</v>
      </c>
      <c r="C501" s="167" t="s">
        <v>4453</v>
      </c>
      <c r="D501" s="127" t="s">
        <v>3897</v>
      </c>
      <c r="E501" s="131">
        <v>6</v>
      </c>
      <c r="F501" s="140">
        <v>2</v>
      </c>
      <c r="G501" s="116">
        <v>35</v>
      </c>
      <c r="H501" s="119"/>
      <c r="I501" s="116"/>
      <c r="J501" s="66" t="s">
        <v>4045</v>
      </c>
      <c r="K501" s="470">
        <v>8000000</v>
      </c>
      <c r="L501" s="116" t="s">
        <v>30</v>
      </c>
      <c r="M501" s="66">
        <v>1</v>
      </c>
      <c r="N501" s="173" t="s">
        <v>4575</v>
      </c>
      <c r="O501" s="66" t="s">
        <v>4460</v>
      </c>
      <c r="P501" s="468">
        <v>1790000</v>
      </c>
    </row>
    <row r="502" spans="1:16">
      <c r="A502" s="228" t="s">
        <v>82</v>
      </c>
      <c r="B502" s="119" t="s">
        <v>3452</v>
      </c>
      <c r="C502" s="167" t="s">
        <v>4454</v>
      </c>
      <c r="D502" s="127"/>
      <c r="E502" s="131">
        <v>2</v>
      </c>
      <c r="F502" s="140">
        <v>1</v>
      </c>
      <c r="G502" s="116">
        <v>35</v>
      </c>
      <c r="H502" s="119"/>
      <c r="I502" s="116"/>
      <c r="J502" s="66"/>
      <c r="K502" s="470">
        <v>4000000</v>
      </c>
      <c r="L502" s="116"/>
      <c r="M502" s="66"/>
      <c r="N502" s="173"/>
      <c r="O502" s="66"/>
      <c r="P502" s="468">
        <v>895000</v>
      </c>
    </row>
    <row r="503" spans="1:16" ht="22.5">
      <c r="A503" s="228" t="s">
        <v>82</v>
      </c>
      <c r="B503" s="119" t="s">
        <v>4455</v>
      </c>
      <c r="C503" s="167" t="s">
        <v>4456</v>
      </c>
      <c r="D503" s="127"/>
      <c r="E503" s="131">
        <v>4</v>
      </c>
      <c r="F503" s="140">
        <v>1</v>
      </c>
      <c r="G503" s="116">
        <v>17.5</v>
      </c>
      <c r="H503" s="119"/>
      <c r="I503" s="116"/>
      <c r="J503" s="66"/>
      <c r="K503" s="470">
        <v>2500000</v>
      </c>
      <c r="L503" s="116"/>
      <c r="M503" s="66"/>
      <c r="N503" s="173"/>
      <c r="O503" s="66"/>
      <c r="P503" s="468">
        <v>895000</v>
      </c>
    </row>
    <row r="504" spans="1:16">
      <c r="A504" s="228" t="s">
        <v>602</v>
      </c>
      <c r="B504" s="119" t="s">
        <v>589</v>
      </c>
      <c r="C504" s="167" t="s">
        <v>589</v>
      </c>
      <c r="D504" s="127" t="s">
        <v>3897</v>
      </c>
      <c r="E504" s="168">
        <v>1</v>
      </c>
      <c r="F504" s="164">
        <v>0.35</v>
      </c>
      <c r="G504" s="169">
        <v>10.5</v>
      </c>
      <c r="H504" s="170"/>
      <c r="I504" s="170"/>
      <c r="J504" s="66" t="s">
        <v>4533</v>
      </c>
      <c r="K504" s="470">
        <v>6300000</v>
      </c>
      <c r="L504" s="116" t="s">
        <v>30</v>
      </c>
      <c r="M504" s="66">
        <v>1</v>
      </c>
      <c r="N504" s="173" t="s">
        <v>4575</v>
      </c>
      <c r="O504" s="66" t="s">
        <v>4460</v>
      </c>
      <c r="P504" s="468">
        <v>164750</v>
      </c>
    </row>
    <row r="505" spans="1:16">
      <c r="A505" s="228" t="s">
        <v>602</v>
      </c>
      <c r="B505" s="119" t="s">
        <v>4535</v>
      </c>
      <c r="C505" s="167" t="s">
        <v>4535</v>
      </c>
      <c r="D505" s="127" t="s">
        <v>3897</v>
      </c>
      <c r="E505" s="168">
        <v>1</v>
      </c>
      <c r="F505" s="164">
        <v>0.5</v>
      </c>
      <c r="G505" s="169">
        <v>15</v>
      </c>
      <c r="H505" s="170"/>
      <c r="I505" s="170"/>
      <c r="J505" s="66"/>
      <c r="K505" s="470">
        <v>9000000</v>
      </c>
      <c r="L505" s="116"/>
      <c r="M505" s="66"/>
      <c r="N505" s="173"/>
      <c r="O505" s="66"/>
      <c r="P505" s="468">
        <v>319250</v>
      </c>
    </row>
    <row r="506" spans="1:16">
      <c r="A506" s="228" t="s">
        <v>602</v>
      </c>
      <c r="B506" s="119" t="s">
        <v>602</v>
      </c>
      <c r="C506" s="167" t="s">
        <v>594</v>
      </c>
      <c r="D506" s="127" t="s">
        <v>3897</v>
      </c>
      <c r="E506" s="168">
        <v>1</v>
      </c>
      <c r="F506" s="164">
        <v>0.2</v>
      </c>
      <c r="G506" s="169">
        <v>6</v>
      </c>
      <c r="H506" s="170"/>
      <c r="I506" s="170"/>
      <c r="J506" s="66"/>
      <c r="K506" s="470">
        <v>3600000</v>
      </c>
      <c r="L506" s="116"/>
      <c r="M506" s="66"/>
      <c r="N506" s="173"/>
      <c r="O506" s="66"/>
      <c r="P506" s="468">
        <v>122000</v>
      </c>
    </row>
    <row r="507" spans="1:16" ht="22.5">
      <c r="A507" s="121" t="s">
        <v>4411</v>
      </c>
      <c r="B507" s="119" t="s">
        <v>435</v>
      </c>
      <c r="C507" s="171" t="s">
        <v>1672</v>
      </c>
      <c r="D507" s="127" t="s">
        <v>4005</v>
      </c>
      <c r="E507" s="131">
        <v>1</v>
      </c>
      <c r="F507" s="140">
        <v>0.3</v>
      </c>
      <c r="G507" s="116"/>
      <c r="H507" s="119"/>
      <c r="I507" s="116"/>
      <c r="J507" s="66" t="s">
        <v>4576</v>
      </c>
      <c r="K507" s="470">
        <v>120000</v>
      </c>
      <c r="L507" s="116" t="s">
        <v>725</v>
      </c>
      <c r="M507" s="66">
        <v>1</v>
      </c>
      <c r="N507" s="173" t="s">
        <v>4498</v>
      </c>
      <c r="O507" s="66" t="s">
        <v>3974</v>
      </c>
      <c r="P507" s="468">
        <v>124800</v>
      </c>
    </row>
    <row r="508" spans="1:16">
      <c r="A508" s="121" t="s">
        <v>130</v>
      </c>
      <c r="B508" s="762" t="s">
        <v>157</v>
      </c>
      <c r="C508" s="171" t="s">
        <v>4444</v>
      </c>
      <c r="D508" s="127" t="s">
        <v>4005</v>
      </c>
      <c r="E508" s="131">
        <v>2</v>
      </c>
      <c r="F508" s="140">
        <v>0.13</v>
      </c>
      <c r="G508" s="116"/>
      <c r="H508" s="119"/>
      <c r="I508" s="116"/>
      <c r="J508" s="66" t="s">
        <v>4555</v>
      </c>
      <c r="K508" s="470">
        <v>500000</v>
      </c>
      <c r="L508" s="66" t="s">
        <v>125</v>
      </c>
      <c r="M508" s="66">
        <v>1</v>
      </c>
      <c r="N508" s="173" t="s">
        <v>4498</v>
      </c>
      <c r="O508" s="66" t="s">
        <v>3974</v>
      </c>
      <c r="P508" s="468">
        <v>54080</v>
      </c>
    </row>
    <row r="509" spans="1:16">
      <c r="A509" s="121" t="s">
        <v>705</v>
      </c>
      <c r="B509" s="119" t="s">
        <v>768</v>
      </c>
      <c r="C509" s="171" t="s">
        <v>4577</v>
      </c>
      <c r="D509" s="127" t="s">
        <v>4578</v>
      </c>
      <c r="E509" s="131">
        <v>2</v>
      </c>
      <c r="F509" s="140">
        <v>1.4</v>
      </c>
      <c r="G509" s="116"/>
      <c r="H509" s="116"/>
      <c r="I509" s="116"/>
      <c r="J509" s="66" t="s">
        <v>4446</v>
      </c>
      <c r="K509" s="470">
        <v>700000</v>
      </c>
      <c r="L509" s="116" t="s">
        <v>18</v>
      </c>
      <c r="M509" s="66">
        <v>1</v>
      </c>
      <c r="N509" s="173" t="s">
        <v>4498</v>
      </c>
      <c r="O509" s="66" t="s">
        <v>3974</v>
      </c>
      <c r="P509" s="468">
        <v>582400</v>
      </c>
    </row>
    <row r="510" spans="1:16">
      <c r="A510" s="221" t="s">
        <v>82</v>
      </c>
      <c r="B510" s="119" t="s">
        <v>3452</v>
      </c>
      <c r="C510" s="167" t="s">
        <v>4454</v>
      </c>
      <c r="D510" s="127" t="s">
        <v>4578</v>
      </c>
      <c r="E510" s="131">
        <v>5</v>
      </c>
      <c r="F510" s="140">
        <v>1</v>
      </c>
      <c r="G510" s="116">
        <v>20</v>
      </c>
      <c r="H510" s="119">
        <v>0</v>
      </c>
      <c r="I510" s="116">
        <v>0</v>
      </c>
      <c r="J510" s="66" t="s">
        <v>4045</v>
      </c>
      <c r="K510" s="470">
        <v>1500000</v>
      </c>
      <c r="L510" s="116" t="s">
        <v>18</v>
      </c>
      <c r="M510" s="66">
        <v>1</v>
      </c>
      <c r="N510" s="118" t="s">
        <v>4498</v>
      </c>
      <c r="O510" s="66" t="s">
        <v>3974</v>
      </c>
      <c r="P510" s="468">
        <v>416000</v>
      </c>
    </row>
    <row r="511" spans="1:16" ht="22.5">
      <c r="A511" s="221" t="s">
        <v>82</v>
      </c>
      <c r="B511" s="119" t="s">
        <v>4455</v>
      </c>
      <c r="C511" s="167" t="s">
        <v>4456</v>
      </c>
      <c r="D511" s="127"/>
      <c r="E511" s="131">
        <v>2</v>
      </c>
      <c r="F511" s="140">
        <v>0.2</v>
      </c>
      <c r="G511" s="116">
        <v>3</v>
      </c>
      <c r="H511" s="119">
        <v>0</v>
      </c>
      <c r="I511" s="116">
        <v>0</v>
      </c>
      <c r="J511" s="66"/>
      <c r="K511" s="470">
        <v>300000</v>
      </c>
      <c r="L511" s="116"/>
      <c r="M511" s="66"/>
      <c r="N511" s="118"/>
      <c r="O511" s="66"/>
      <c r="P511" s="468">
        <v>83200</v>
      </c>
    </row>
    <row r="512" spans="1:16">
      <c r="A512" s="221" t="s">
        <v>82</v>
      </c>
      <c r="B512" s="119" t="s">
        <v>4452</v>
      </c>
      <c r="C512" s="167" t="s">
        <v>4453</v>
      </c>
      <c r="D512" s="127"/>
      <c r="E512" s="131">
        <v>7</v>
      </c>
      <c r="F512" s="140">
        <v>2.21</v>
      </c>
      <c r="G512" s="116">
        <v>45</v>
      </c>
      <c r="H512" s="119">
        <v>0</v>
      </c>
      <c r="I512" s="116">
        <v>0</v>
      </c>
      <c r="J512" s="66"/>
      <c r="K512" s="470">
        <v>3315000</v>
      </c>
      <c r="L512" s="116"/>
      <c r="M512" s="66"/>
      <c r="N512" s="118"/>
      <c r="O512" s="66"/>
      <c r="P512" s="468">
        <v>919360</v>
      </c>
    </row>
    <row r="513" spans="1:16" ht="22.5">
      <c r="A513" s="121" t="s">
        <v>867</v>
      </c>
      <c r="B513" s="119" t="s">
        <v>4463</v>
      </c>
      <c r="C513" s="167" t="s">
        <v>4579</v>
      </c>
      <c r="D513" s="127" t="s">
        <v>4005</v>
      </c>
      <c r="E513" s="131">
        <v>1</v>
      </c>
      <c r="F513" s="140">
        <v>0.06</v>
      </c>
      <c r="G513" s="116">
        <v>3</v>
      </c>
      <c r="H513" s="119">
        <v>0</v>
      </c>
      <c r="I513" s="116">
        <v>0</v>
      </c>
      <c r="J513" s="66" t="s">
        <v>4580</v>
      </c>
      <c r="K513" s="470">
        <v>230769</v>
      </c>
      <c r="L513" s="116"/>
      <c r="M513" s="119"/>
      <c r="N513" s="118"/>
      <c r="O513" s="66" t="s">
        <v>3974</v>
      </c>
      <c r="P513" s="468">
        <v>24960</v>
      </c>
    </row>
    <row r="514" spans="1:16">
      <c r="A514" s="121" t="s">
        <v>130</v>
      </c>
      <c r="B514" s="754" t="s">
        <v>157</v>
      </c>
      <c r="C514" s="171" t="s">
        <v>4444</v>
      </c>
      <c r="D514" s="127" t="s">
        <v>4292</v>
      </c>
      <c r="E514" s="131">
        <v>1</v>
      </c>
      <c r="F514" s="140">
        <v>0.5</v>
      </c>
      <c r="G514" s="116">
        <v>7.5</v>
      </c>
      <c r="H514" s="119"/>
      <c r="I514" s="116"/>
      <c r="J514" s="66" t="s">
        <v>4555</v>
      </c>
      <c r="K514" s="470">
        <v>600000</v>
      </c>
      <c r="L514" s="66" t="s">
        <v>125</v>
      </c>
      <c r="M514" s="66" t="s">
        <v>4572</v>
      </c>
      <c r="N514" s="118" t="s">
        <v>4498</v>
      </c>
      <c r="O514" s="66" t="s">
        <v>3974</v>
      </c>
      <c r="P514" s="468">
        <v>236850</v>
      </c>
    </row>
    <row r="515" spans="1:16">
      <c r="A515" s="121" t="s">
        <v>705</v>
      </c>
      <c r="B515" s="119" t="s">
        <v>4501</v>
      </c>
      <c r="C515" s="171" t="s">
        <v>4581</v>
      </c>
      <c r="D515" s="127" t="s">
        <v>4292</v>
      </c>
      <c r="E515" s="131">
        <v>2</v>
      </c>
      <c r="F515" s="140">
        <v>0.08</v>
      </c>
      <c r="G515" s="116">
        <v>0.12</v>
      </c>
      <c r="H515" s="116"/>
      <c r="I515" s="116"/>
      <c r="J515" s="66" t="s">
        <v>4446</v>
      </c>
      <c r="K515" s="470">
        <v>310000</v>
      </c>
      <c r="L515" s="116" t="s">
        <v>18</v>
      </c>
      <c r="M515" s="66"/>
      <c r="N515" s="118"/>
      <c r="O515" s="66"/>
      <c r="P515" s="468">
        <v>37896</v>
      </c>
    </row>
    <row r="516" spans="1:16">
      <c r="A516" s="228" t="s">
        <v>82</v>
      </c>
      <c r="B516" s="119" t="s">
        <v>4452</v>
      </c>
      <c r="C516" s="167" t="s">
        <v>4453</v>
      </c>
      <c r="D516" s="127" t="s">
        <v>4292</v>
      </c>
      <c r="E516" s="131">
        <v>1</v>
      </c>
      <c r="F516" s="140">
        <v>0.25</v>
      </c>
      <c r="G516" s="116">
        <v>3.75</v>
      </c>
      <c r="H516" s="119">
        <v>0</v>
      </c>
      <c r="I516" s="116">
        <v>0</v>
      </c>
      <c r="J516" s="66" t="s">
        <v>4045</v>
      </c>
      <c r="K516" s="470">
        <v>300000</v>
      </c>
      <c r="L516" s="116" t="s">
        <v>725</v>
      </c>
      <c r="M516" s="66"/>
      <c r="N516" s="118"/>
      <c r="O516" s="66"/>
      <c r="P516" s="468">
        <v>118425</v>
      </c>
    </row>
    <row r="517" spans="1:16">
      <c r="A517" s="228" t="s">
        <v>82</v>
      </c>
      <c r="B517" s="119" t="s">
        <v>3452</v>
      </c>
      <c r="C517" s="167" t="s">
        <v>4454</v>
      </c>
      <c r="D517" s="127"/>
      <c r="E517" s="131">
        <v>7</v>
      </c>
      <c r="F517" s="140">
        <v>2.5</v>
      </c>
      <c r="G517" s="116">
        <v>37.5</v>
      </c>
      <c r="H517" s="119">
        <v>0</v>
      </c>
      <c r="I517" s="116">
        <v>0</v>
      </c>
      <c r="J517" s="66"/>
      <c r="K517" s="470">
        <v>2200000</v>
      </c>
      <c r="L517" s="116"/>
      <c r="M517" s="66"/>
      <c r="N517" s="118"/>
      <c r="O517" s="66"/>
      <c r="P517" s="468">
        <v>1184250</v>
      </c>
    </row>
    <row r="518" spans="1:16" ht="33.75">
      <c r="A518" s="163" t="s">
        <v>867</v>
      </c>
      <c r="B518" s="119" t="s">
        <v>4457</v>
      </c>
      <c r="C518" s="171" t="s">
        <v>4458</v>
      </c>
      <c r="D518" s="127" t="s">
        <v>4292</v>
      </c>
      <c r="E518" s="131">
        <v>2</v>
      </c>
      <c r="F518" s="140">
        <v>0.55000000000000004</v>
      </c>
      <c r="G518" s="134">
        <v>0.63</v>
      </c>
      <c r="H518" s="131"/>
      <c r="I518" s="131"/>
      <c r="J518" s="66" t="s">
        <v>4459</v>
      </c>
      <c r="K518" s="470">
        <v>1260000</v>
      </c>
      <c r="L518" s="178"/>
      <c r="M518" s="66"/>
      <c r="N518" s="118"/>
      <c r="O518" s="66"/>
      <c r="P518" s="468">
        <v>260535</v>
      </c>
    </row>
    <row r="519" spans="1:16">
      <c r="A519" s="121" t="s">
        <v>705</v>
      </c>
      <c r="B519" s="119" t="s">
        <v>806</v>
      </c>
      <c r="C519" s="171" t="s">
        <v>594</v>
      </c>
      <c r="D519" s="767" t="s">
        <v>3767</v>
      </c>
      <c r="E519" s="131">
        <v>1</v>
      </c>
      <c r="F519" s="140">
        <v>0.5</v>
      </c>
      <c r="G519" s="116">
        <v>2</v>
      </c>
      <c r="H519" s="116"/>
      <c r="I519" s="116"/>
      <c r="J519" s="66" t="s">
        <v>4446</v>
      </c>
      <c r="K519" s="470">
        <v>250000</v>
      </c>
      <c r="L519" s="116" t="s">
        <v>18</v>
      </c>
      <c r="M519" s="66" t="s">
        <v>4572</v>
      </c>
      <c r="N519" s="118" t="s">
        <v>4565</v>
      </c>
      <c r="O519" s="66" t="s">
        <v>3974</v>
      </c>
      <c r="P519" s="468">
        <v>41850</v>
      </c>
    </row>
    <row r="520" spans="1:16">
      <c r="A520" s="163" t="s">
        <v>82</v>
      </c>
      <c r="B520" s="764" t="s">
        <v>82</v>
      </c>
      <c r="C520" s="167" t="s">
        <v>82</v>
      </c>
      <c r="D520" s="127" t="s">
        <v>3767</v>
      </c>
      <c r="E520" s="131">
        <v>1</v>
      </c>
      <c r="F520" s="140">
        <v>1</v>
      </c>
      <c r="G520" s="116">
        <v>15</v>
      </c>
      <c r="H520" s="119"/>
      <c r="I520" s="116"/>
      <c r="J520" s="66" t="s">
        <v>4045</v>
      </c>
      <c r="K520" s="470">
        <v>600000</v>
      </c>
      <c r="L520" s="116"/>
      <c r="M520" s="66"/>
      <c r="N520" s="118"/>
      <c r="O520" s="66"/>
      <c r="P520" s="468">
        <v>83700</v>
      </c>
    </row>
    <row r="521" spans="1:16" ht="33.75">
      <c r="A521" s="163" t="s">
        <v>1262</v>
      </c>
      <c r="B521" s="119" t="s">
        <v>1075</v>
      </c>
      <c r="C521" s="167" t="s">
        <v>4582</v>
      </c>
      <c r="D521" s="127" t="s">
        <v>3767</v>
      </c>
      <c r="E521" s="131">
        <v>1</v>
      </c>
      <c r="F521" s="140">
        <v>0.25</v>
      </c>
      <c r="G521" s="119"/>
      <c r="H521" s="119"/>
      <c r="I521" s="116"/>
      <c r="J521" s="230" t="s">
        <v>4583</v>
      </c>
      <c r="K521" s="470">
        <v>20000</v>
      </c>
      <c r="L521" s="116"/>
      <c r="M521" s="66"/>
      <c r="N521" s="118"/>
      <c r="O521" s="66"/>
      <c r="P521" s="468">
        <v>20925</v>
      </c>
    </row>
    <row r="522" spans="1:16">
      <c r="A522" s="121" t="s">
        <v>130</v>
      </c>
      <c r="B522" s="119" t="s">
        <v>1137</v>
      </c>
      <c r="C522" s="167" t="s">
        <v>4500</v>
      </c>
      <c r="D522" s="127" t="s">
        <v>3767</v>
      </c>
      <c r="E522" s="131">
        <v>1</v>
      </c>
      <c r="F522" s="140">
        <v>1</v>
      </c>
      <c r="G522" s="116">
        <v>25</v>
      </c>
      <c r="H522" s="116" t="s">
        <v>4584</v>
      </c>
      <c r="I522" s="116">
        <v>3.5</v>
      </c>
      <c r="J522" s="66" t="s">
        <v>4555</v>
      </c>
      <c r="K522" s="470">
        <v>600000</v>
      </c>
      <c r="L522" s="116"/>
      <c r="M522" s="66"/>
      <c r="N522" s="118"/>
      <c r="O522" s="66"/>
      <c r="P522" s="468">
        <v>83700</v>
      </c>
    </row>
    <row r="523" spans="1:16" ht="12.75" customHeight="1">
      <c r="A523" s="163" t="s">
        <v>82</v>
      </c>
      <c r="B523" s="764" t="s">
        <v>4452</v>
      </c>
      <c r="C523" s="167" t="s">
        <v>4453</v>
      </c>
      <c r="D523" s="127" t="s">
        <v>3904</v>
      </c>
      <c r="E523" s="131">
        <v>1</v>
      </c>
      <c r="F523" s="140">
        <v>0.2</v>
      </c>
      <c r="G523" s="116">
        <v>1</v>
      </c>
      <c r="H523" s="119"/>
      <c r="I523" s="116"/>
      <c r="J523" s="66" t="s">
        <v>4045</v>
      </c>
      <c r="K523" s="470">
        <v>100000</v>
      </c>
      <c r="L523" s="66" t="s">
        <v>125</v>
      </c>
      <c r="M523" s="66">
        <v>1</v>
      </c>
      <c r="N523" s="118" t="s">
        <v>4573</v>
      </c>
      <c r="O523" s="66" t="s">
        <v>3974</v>
      </c>
      <c r="P523" s="468">
        <v>57000</v>
      </c>
    </row>
    <row r="524" spans="1:16">
      <c r="A524" s="121" t="s">
        <v>130</v>
      </c>
      <c r="B524" s="754" t="s">
        <v>157</v>
      </c>
      <c r="C524" s="171" t="s">
        <v>4444</v>
      </c>
      <c r="D524" s="127" t="s">
        <v>3904</v>
      </c>
      <c r="E524" s="131">
        <v>1</v>
      </c>
      <c r="F524" s="140">
        <v>0.1</v>
      </c>
      <c r="G524" s="116">
        <v>2</v>
      </c>
      <c r="H524" s="119"/>
      <c r="I524" s="116"/>
      <c r="J524" s="66" t="s">
        <v>4555</v>
      </c>
      <c r="K524" s="470">
        <v>125000</v>
      </c>
      <c r="L524" s="66"/>
      <c r="M524" s="66"/>
      <c r="N524" s="118"/>
      <c r="O524" s="66"/>
      <c r="P524" s="468">
        <v>28500</v>
      </c>
    </row>
    <row r="525" spans="1:16" ht="12.75" customHeight="1">
      <c r="A525" s="163" t="s">
        <v>867</v>
      </c>
      <c r="B525" s="764" t="s">
        <v>4457</v>
      </c>
      <c r="C525" s="167" t="s">
        <v>4585</v>
      </c>
      <c r="D525" s="127" t="s">
        <v>4018</v>
      </c>
      <c r="E525" s="146">
        <v>1</v>
      </c>
      <c r="F525" s="145">
        <v>0.1</v>
      </c>
      <c r="G525" s="116"/>
      <c r="H525" s="178"/>
      <c r="I525" s="178"/>
      <c r="J525" s="146" t="s">
        <v>4459</v>
      </c>
      <c r="K525" s="470">
        <v>500000</v>
      </c>
      <c r="L525" s="116" t="s">
        <v>31</v>
      </c>
      <c r="M525" s="66">
        <v>1</v>
      </c>
      <c r="N525" s="118" t="s">
        <v>4498</v>
      </c>
      <c r="O525" s="66" t="s">
        <v>3974</v>
      </c>
      <c r="P525" s="468">
        <v>106395</v>
      </c>
    </row>
    <row r="526" spans="1:16">
      <c r="A526" s="163" t="s">
        <v>82</v>
      </c>
      <c r="B526" s="170" t="s">
        <v>4455</v>
      </c>
      <c r="C526" s="167" t="s">
        <v>4586</v>
      </c>
      <c r="D526" s="127" t="s">
        <v>4018</v>
      </c>
      <c r="E526" s="131">
        <v>1</v>
      </c>
      <c r="F526" s="140">
        <v>0.1</v>
      </c>
      <c r="G526" s="116"/>
      <c r="H526" s="178"/>
      <c r="I526" s="116"/>
      <c r="J526" s="146"/>
      <c r="K526" s="470">
        <v>500000</v>
      </c>
      <c r="L526" s="116"/>
      <c r="M526" s="66"/>
      <c r="N526" s="118"/>
      <c r="O526" s="66"/>
      <c r="P526" s="468">
        <v>106395</v>
      </c>
    </row>
    <row r="527" spans="1:16">
      <c r="A527" s="121" t="s">
        <v>705</v>
      </c>
      <c r="B527" s="116" t="s">
        <v>4447</v>
      </c>
      <c r="C527" s="753" t="s">
        <v>4448</v>
      </c>
      <c r="D527" s="127" t="s">
        <v>4587</v>
      </c>
      <c r="E527" s="131">
        <v>1</v>
      </c>
      <c r="F527" s="140">
        <v>1</v>
      </c>
      <c r="G527" s="116"/>
      <c r="H527" s="116"/>
      <c r="I527" s="116"/>
      <c r="J527" s="66" t="s">
        <v>4446</v>
      </c>
      <c r="K527" s="470">
        <v>4000000</v>
      </c>
      <c r="L527" s="116" t="s">
        <v>18</v>
      </c>
      <c r="M527" s="66">
        <v>1</v>
      </c>
      <c r="N527" s="118" t="s">
        <v>4588</v>
      </c>
      <c r="O527" s="66" t="s">
        <v>3974</v>
      </c>
      <c r="P527" s="468">
        <v>155400</v>
      </c>
    </row>
    <row r="528" spans="1:16">
      <c r="A528" s="163" t="s">
        <v>82</v>
      </c>
      <c r="B528" s="170" t="s">
        <v>82</v>
      </c>
      <c r="C528" s="765" t="s">
        <v>82</v>
      </c>
      <c r="D528" s="127" t="s">
        <v>4587</v>
      </c>
      <c r="E528" s="131">
        <v>1</v>
      </c>
      <c r="F528" s="140">
        <v>1</v>
      </c>
      <c r="G528" s="116">
        <v>1</v>
      </c>
      <c r="H528" s="119"/>
      <c r="I528" s="116"/>
      <c r="J528" s="66"/>
      <c r="K528" s="470">
        <v>4000000</v>
      </c>
      <c r="L528" s="116"/>
      <c r="M528" s="66"/>
      <c r="N528" s="118"/>
      <c r="O528" s="66"/>
      <c r="P528" s="468">
        <v>155400</v>
      </c>
    </row>
    <row r="529" spans="1:16">
      <c r="A529" s="121" t="s">
        <v>4411</v>
      </c>
      <c r="B529" s="119" t="s">
        <v>435</v>
      </c>
      <c r="C529" s="753" t="s">
        <v>594</v>
      </c>
      <c r="D529" s="127" t="s">
        <v>4589</v>
      </c>
      <c r="E529" s="131">
        <v>1</v>
      </c>
      <c r="F529" s="140">
        <v>3</v>
      </c>
      <c r="G529" s="116"/>
      <c r="H529" s="119"/>
      <c r="I529" s="116"/>
      <c r="J529" s="66" t="s">
        <v>4590</v>
      </c>
      <c r="K529" s="470">
        <v>1500000</v>
      </c>
      <c r="L529" s="116" t="s">
        <v>18</v>
      </c>
      <c r="M529" s="116">
        <v>1</v>
      </c>
      <c r="N529" s="173" t="s">
        <v>4524</v>
      </c>
      <c r="O529" s="66" t="s">
        <v>4460</v>
      </c>
      <c r="P529" s="468">
        <v>418500</v>
      </c>
    </row>
    <row r="530" spans="1:16">
      <c r="A530" s="221" t="s">
        <v>304</v>
      </c>
      <c r="B530" s="119" t="s">
        <v>4520</v>
      </c>
      <c r="C530" s="171" t="s">
        <v>4591</v>
      </c>
      <c r="D530" s="127" t="s">
        <v>4589</v>
      </c>
      <c r="E530" s="131">
        <v>1</v>
      </c>
      <c r="F530" s="140">
        <v>1.5</v>
      </c>
      <c r="G530" s="116">
        <v>7.5</v>
      </c>
      <c r="H530" s="119"/>
      <c r="I530" s="116"/>
      <c r="J530" s="66"/>
      <c r="K530" s="470">
        <v>750000</v>
      </c>
      <c r="L530" s="116"/>
      <c r="M530" s="116"/>
      <c r="N530" s="173"/>
      <c r="O530" s="66"/>
      <c r="P530" s="468">
        <v>209250</v>
      </c>
    </row>
    <row r="531" spans="1:16">
      <c r="A531" s="221" t="s">
        <v>304</v>
      </c>
      <c r="B531" s="119" t="s">
        <v>304</v>
      </c>
      <c r="C531" s="171" t="s">
        <v>1658</v>
      </c>
      <c r="D531" s="127"/>
      <c r="E531" s="131">
        <v>1</v>
      </c>
      <c r="F531" s="140">
        <v>0.09</v>
      </c>
      <c r="G531" s="116"/>
      <c r="H531" s="119"/>
      <c r="I531" s="116"/>
      <c r="J531" s="66"/>
      <c r="K531" s="470">
        <v>150000</v>
      </c>
      <c r="L531" s="116"/>
      <c r="M531" s="116"/>
      <c r="N531" s="173"/>
      <c r="O531" s="66"/>
      <c r="P531" s="468">
        <v>125550</v>
      </c>
    </row>
    <row r="532" spans="1:16" ht="33.75">
      <c r="A532" s="121" t="s">
        <v>867</v>
      </c>
      <c r="B532" s="116" t="s">
        <v>4457</v>
      </c>
      <c r="C532" s="171" t="s">
        <v>4458</v>
      </c>
      <c r="D532" s="127" t="s">
        <v>4589</v>
      </c>
      <c r="E532" s="122">
        <v>1</v>
      </c>
      <c r="F532" s="140">
        <v>2</v>
      </c>
      <c r="G532" s="116">
        <v>0.5</v>
      </c>
      <c r="H532" s="119"/>
      <c r="I532" s="116"/>
      <c r="J532" s="66" t="s">
        <v>4459</v>
      </c>
      <c r="K532" s="470">
        <v>810000</v>
      </c>
      <c r="L532" s="116"/>
      <c r="M532" s="116"/>
      <c r="N532" s="173"/>
      <c r="O532" s="66"/>
      <c r="P532" s="468">
        <v>279000</v>
      </c>
    </row>
    <row r="533" spans="1:16" ht="12.75" customHeight="1">
      <c r="A533" s="121" t="s">
        <v>602</v>
      </c>
      <c r="B533" s="119" t="s">
        <v>594</v>
      </c>
      <c r="C533" s="171" t="s">
        <v>594</v>
      </c>
      <c r="D533" s="127" t="s">
        <v>3834</v>
      </c>
      <c r="E533" s="131">
        <v>1</v>
      </c>
      <c r="F533" s="140">
        <v>0.2</v>
      </c>
      <c r="G533" s="116">
        <v>1</v>
      </c>
      <c r="H533" s="182"/>
      <c r="I533" s="170"/>
      <c r="J533" s="230" t="s">
        <v>4592</v>
      </c>
      <c r="K533" s="470">
        <v>1600000</v>
      </c>
      <c r="L533" s="116" t="s">
        <v>31</v>
      </c>
      <c r="M533" s="66">
        <v>1</v>
      </c>
      <c r="N533" s="173" t="s">
        <v>4593</v>
      </c>
      <c r="O533" s="66" t="s">
        <v>4460</v>
      </c>
      <c r="P533" s="468">
        <v>57000</v>
      </c>
    </row>
    <row r="534" spans="1:16">
      <c r="A534" s="121" t="s">
        <v>602</v>
      </c>
      <c r="B534" s="119" t="s">
        <v>4535</v>
      </c>
      <c r="C534" s="171" t="s">
        <v>4535</v>
      </c>
      <c r="D534" s="127"/>
      <c r="E534" s="131">
        <v>1</v>
      </c>
      <c r="F534" s="140">
        <v>0.12249999999999998</v>
      </c>
      <c r="G534" s="116">
        <v>3.6749999999999994</v>
      </c>
      <c r="H534" s="182"/>
      <c r="I534" s="170"/>
      <c r="J534" s="230"/>
      <c r="K534" s="470">
        <v>2204999.9999999995</v>
      </c>
      <c r="L534" s="116"/>
      <c r="M534" s="66"/>
      <c r="N534" s="173"/>
      <c r="O534" s="66"/>
      <c r="P534" s="468">
        <v>34200</v>
      </c>
    </row>
    <row r="535" spans="1:16">
      <c r="A535" s="121" t="s">
        <v>602</v>
      </c>
      <c r="B535" s="119" t="s">
        <v>602</v>
      </c>
      <c r="C535" s="171" t="s">
        <v>602</v>
      </c>
      <c r="D535" s="127"/>
      <c r="E535" s="131">
        <v>1</v>
      </c>
      <c r="F535" s="140">
        <v>0.5</v>
      </c>
      <c r="G535" s="116">
        <v>15</v>
      </c>
      <c r="H535" s="182"/>
      <c r="I535" s="170"/>
      <c r="J535" s="230"/>
      <c r="K535" s="470">
        <v>9000000</v>
      </c>
      <c r="L535" s="116"/>
      <c r="M535" s="66"/>
      <c r="N535" s="173"/>
      <c r="O535" s="66"/>
      <c r="P535" s="468">
        <v>142500</v>
      </c>
    </row>
    <row r="536" spans="1:16">
      <c r="A536" s="121" t="s">
        <v>602</v>
      </c>
      <c r="B536" s="119" t="s">
        <v>617</v>
      </c>
      <c r="C536" s="171" t="s">
        <v>617</v>
      </c>
      <c r="D536" s="127"/>
      <c r="E536" s="131">
        <v>2</v>
      </c>
      <c r="F536" s="140">
        <v>0.79999999999999993</v>
      </c>
      <c r="G536" s="116">
        <v>24</v>
      </c>
      <c r="H536" s="182"/>
      <c r="I536" s="170"/>
      <c r="J536" s="230"/>
      <c r="K536" s="470">
        <v>14400000</v>
      </c>
      <c r="L536" s="116"/>
      <c r="M536" s="66"/>
      <c r="N536" s="173"/>
      <c r="O536" s="66"/>
      <c r="P536" s="468">
        <v>228000</v>
      </c>
    </row>
    <row r="537" spans="1:16">
      <c r="A537" s="121" t="s">
        <v>4526</v>
      </c>
      <c r="B537" s="119" t="s">
        <v>4545</v>
      </c>
      <c r="C537" s="66" t="s">
        <v>633</v>
      </c>
      <c r="D537" s="127"/>
      <c r="E537" s="131">
        <v>1</v>
      </c>
      <c r="F537" s="140">
        <v>1</v>
      </c>
      <c r="G537" s="116">
        <v>0.5</v>
      </c>
      <c r="H537" s="116"/>
      <c r="I537" s="116"/>
      <c r="J537" s="230"/>
      <c r="K537" s="470">
        <v>400000</v>
      </c>
      <c r="L537" s="116"/>
      <c r="M537" s="66"/>
      <c r="N537" s="173"/>
      <c r="O537" s="66"/>
      <c r="P537" s="468">
        <v>285000</v>
      </c>
    </row>
    <row r="538" spans="1:16" ht="22.5">
      <c r="A538" s="121" t="s">
        <v>4521</v>
      </c>
      <c r="B538" s="119" t="s">
        <v>4522</v>
      </c>
      <c r="C538" s="171" t="s">
        <v>4433</v>
      </c>
      <c r="D538" s="127" t="s">
        <v>4594</v>
      </c>
      <c r="E538" s="131">
        <v>1</v>
      </c>
      <c r="F538" s="140">
        <v>1</v>
      </c>
      <c r="G538" s="116">
        <v>5.5</v>
      </c>
      <c r="H538" s="119"/>
      <c r="I538" s="116"/>
      <c r="J538" s="66" t="s">
        <v>4595</v>
      </c>
      <c r="K538" s="470">
        <v>400000</v>
      </c>
      <c r="L538" s="116" t="s">
        <v>18</v>
      </c>
      <c r="M538" s="66">
        <v>1</v>
      </c>
      <c r="N538" s="118" t="s">
        <v>4524</v>
      </c>
      <c r="O538" s="171"/>
      <c r="P538" s="468">
        <v>111600</v>
      </c>
    </row>
    <row r="539" spans="1:16" ht="33.75">
      <c r="A539" s="121" t="s">
        <v>867</v>
      </c>
      <c r="B539" s="119" t="s">
        <v>4457</v>
      </c>
      <c r="C539" s="171" t="s">
        <v>4458</v>
      </c>
      <c r="D539" s="127" t="s">
        <v>4596</v>
      </c>
      <c r="E539" s="131">
        <v>1</v>
      </c>
      <c r="F539" s="140">
        <v>0.25</v>
      </c>
      <c r="G539" s="116">
        <v>10</v>
      </c>
      <c r="H539" s="119"/>
      <c r="I539" s="66"/>
      <c r="J539" s="66" t="s">
        <v>4459</v>
      </c>
      <c r="K539" s="470">
        <v>100000</v>
      </c>
      <c r="L539" s="116" t="s">
        <v>18</v>
      </c>
      <c r="M539" s="66">
        <v>1</v>
      </c>
      <c r="N539" s="118" t="s">
        <v>4524</v>
      </c>
      <c r="O539" s="171"/>
      <c r="P539" s="468">
        <v>27900</v>
      </c>
    </row>
    <row r="540" spans="1:16">
      <c r="A540" s="143" t="s">
        <v>130</v>
      </c>
      <c r="B540" s="148" t="s">
        <v>157</v>
      </c>
      <c r="C540" s="753" t="s">
        <v>4597</v>
      </c>
      <c r="D540" s="127" t="s">
        <v>4598</v>
      </c>
      <c r="E540" s="131">
        <v>1</v>
      </c>
      <c r="F540" s="140">
        <v>0.01</v>
      </c>
      <c r="G540" s="116">
        <v>0.03</v>
      </c>
      <c r="H540" s="119"/>
      <c r="I540" s="116"/>
      <c r="J540" s="66" t="s">
        <v>4555</v>
      </c>
      <c r="K540" s="470">
        <v>250000</v>
      </c>
      <c r="L540" s="66" t="s">
        <v>125</v>
      </c>
      <c r="M540" s="66">
        <v>1</v>
      </c>
      <c r="N540" s="118" t="s">
        <v>4599</v>
      </c>
      <c r="O540" s="66" t="s">
        <v>3974</v>
      </c>
      <c r="P540" s="468">
        <v>150000</v>
      </c>
    </row>
    <row r="541" spans="1:16">
      <c r="A541" s="163" t="s">
        <v>82</v>
      </c>
      <c r="B541" s="170" t="s">
        <v>4452</v>
      </c>
      <c r="C541" s="765" t="s">
        <v>4600</v>
      </c>
      <c r="D541" s="127" t="s">
        <v>4598</v>
      </c>
      <c r="E541" s="131">
        <v>1</v>
      </c>
      <c r="F541" s="140">
        <v>0.1</v>
      </c>
      <c r="G541" s="116">
        <v>0.3</v>
      </c>
      <c r="H541" s="119"/>
      <c r="I541" s="116"/>
      <c r="J541" s="66" t="s">
        <v>4045</v>
      </c>
      <c r="K541" s="470">
        <v>600000</v>
      </c>
      <c r="L541" s="66"/>
      <c r="M541" s="66"/>
      <c r="N541" s="118"/>
      <c r="O541" s="66"/>
      <c r="P541" s="468">
        <v>150000</v>
      </c>
    </row>
    <row r="542" spans="1:16">
      <c r="A542" s="121" t="s">
        <v>4411</v>
      </c>
      <c r="B542" s="119" t="s">
        <v>371</v>
      </c>
      <c r="C542" s="171" t="s">
        <v>1127</v>
      </c>
      <c r="D542" s="127" t="s">
        <v>4601</v>
      </c>
      <c r="E542" s="131">
        <v>1</v>
      </c>
      <c r="F542" s="140">
        <v>1</v>
      </c>
      <c r="G542" s="116">
        <v>2.5</v>
      </c>
      <c r="H542" s="119"/>
      <c r="I542" s="116"/>
      <c r="J542" s="66" t="s">
        <v>4271</v>
      </c>
      <c r="K542" s="470">
        <v>3500000</v>
      </c>
      <c r="L542" s="116" t="s">
        <v>30</v>
      </c>
      <c r="M542" s="66">
        <v>1</v>
      </c>
      <c r="N542" s="118" t="s">
        <v>4602</v>
      </c>
      <c r="O542" s="66" t="s">
        <v>3974</v>
      </c>
      <c r="P542" s="468">
        <v>100000</v>
      </c>
    </row>
    <row r="543" spans="1:16">
      <c r="A543" s="121" t="s">
        <v>304</v>
      </c>
      <c r="B543" s="119" t="s">
        <v>4435</v>
      </c>
      <c r="C543" s="753" t="s">
        <v>4416</v>
      </c>
      <c r="D543" s="127" t="s">
        <v>4603</v>
      </c>
      <c r="E543" s="131">
        <v>1</v>
      </c>
      <c r="F543" s="140">
        <v>0.25</v>
      </c>
      <c r="G543" s="116">
        <v>0.45</v>
      </c>
      <c r="H543" s="119"/>
      <c r="I543" s="116"/>
      <c r="J543" s="66"/>
      <c r="K543" s="470">
        <v>300000</v>
      </c>
      <c r="L543" s="116"/>
      <c r="M543" s="66"/>
      <c r="N543" s="118"/>
      <c r="O543" s="66"/>
      <c r="P543" s="468">
        <v>25000</v>
      </c>
    </row>
    <row r="544" spans="1:16">
      <c r="A544" s="121" t="s">
        <v>82</v>
      </c>
      <c r="B544" s="119" t="s">
        <v>4452</v>
      </c>
      <c r="C544" s="171" t="s">
        <v>4453</v>
      </c>
      <c r="D544" s="127" t="s">
        <v>3924</v>
      </c>
      <c r="E544" s="131">
        <v>1</v>
      </c>
      <c r="F544" s="140">
        <v>0.25</v>
      </c>
      <c r="G544" s="116">
        <v>0.75</v>
      </c>
      <c r="H544" s="119">
        <v>0</v>
      </c>
      <c r="I544" s="116">
        <v>0</v>
      </c>
      <c r="J544" s="66" t="s">
        <v>4045</v>
      </c>
      <c r="K544" s="470">
        <v>400000</v>
      </c>
      <c r="L544" s="116" t="s">
        <v>4604</v>
      </c>
      <c r="M544" s="66">
        <v>1</v>
      </c>
      <c r="N544" s="118" t="s">
        <v>4602</v>
      </c>
      <c r="O544" s="66" t="s">
        <v>4460</v>
      </c>
      <c r="P544" s="468">
        <v>34000</v>
      </c>
    </row>
    <row r="545" spans="1:16">
      <c r="A545" s="121" t="s">
        <v>4411</v>
      </c>
      <c r="B545" s="119" t="s">
        <v>380</v>
      </c>
      <c r="C545" s="753" t="s">
        <v>1662</v>
      </c>
      <c r="D545" s="127" t="s">
        <v>3924</v>
      </c>
      <c r="E545" s="131">
        <v>1</v>
      </c>
      <c r="F545" s="140">
        <v>1</v>
      </c>
      <c r="G545" s="116">
        <v>3</v>
      </c>
      <c r="H545" s="119"/>
      <c r="I545" s="116"/>
      <c r="J545" s="66" t="s">
        <v>4271</v>
      </c>
      <c r="K545" s="470">
        <v>3600000</v>
      </c>
      <c r="L545" s="116" t="s">
        <v>30</v>
      </c>
      <c r="M545" s="66">
        <v>1</v>
      </c>
      <c r="N545" s="118"/>
      <c r="O545" s="66"/>
      <c r="P545" s="468">
        <v>137400</v>
      </c>
    </row>
    <row r="546" spans="1:16">
      <c r="A546" s="221" t="s">
        <v>304</v>
      </c>
      <c r="B546" s="119" t="s">
        <v>4520</v>
      </c>
      <c r="C546" s="171" t="s">
        <v>4520</v>
      </c>
      <c r="D546" s="127" t="s">
        <v>4605</v>
      </c>
      <c r="E546" s="131">
        <v>1</v>
      </c>
      <c r="F546" s="140">
        <v>0.32</v>
      </c>
      <c r="G546" s="116">
        <v>0.4</v>
      </c>
      <c r="H546" s="119"/>
      <c r="I546" s="116"/>
      <c r="J546" s="66"/>
      <c r="K546" s="470">
        <v>2000000</v>
      </c>
      <c r="L546" s="179"/>
      <c r="M546" s="179"/>
      <c r="N546" s="180"/>
      <c r="O546" s="181" t="s">
        <v>3974</v>
      </c>
      <c r="P546" s="468">
        <v>44640</v>
      </c>
    </row>
    <row r="547" spans="1:16">
      <c r="A547" s="221" t="s">
        <v>304</v>
      </c>
      <c r="B547" s="119" t="s">
        <v>332</v>
      </c>
      <c r="C547" s="171" t="s">
        <v>4606</v>
      </c>
      <c r="D547" s="127"/>
      <c r="E547" s="131">
        <v>1</v>
      </c>
      <c r="F547" s="140">
        <v>0.03</v>
      </c>
      <c r="G547" s="116">
        <v>0.64</v>
      </c>
      <c r="H547" s="119"/>
      <c r="I547" s="116"/>
      <c r="J547" s="66"/>
      <c r="K547" s="470">
        <v>192000</v>
      </c>
      <c r="L547" s="179"/>
      <c r="M547" s="179"/>
      <c r="N547" s="180"/>
      <c r="O547" s="181"/>
      <c r="P547" s="468">
        <v>13950</v>
      </c>
    </row>
    <row r="548" spans="1:16" ht="22.5">
      <c r="A548" s="121" t="s">
        <v>4411</v>
      </c>
      <c r="B548" s="119" t="s">
        <v>380</v>
      </c>
      <c r="C548" s="171" t="s">
        <v>4607</v>
      </c>
      <c r="D548" s="767" t="s">
        <v>4608</v>
      </c>
      <c r="E548" s="131">
        <v>5</v>
      </c>
      <c r="F548" s="140">
        <v>5.75</v>
      </c>
      <c r="G548" s="116">
        <v>2.6</v>
      </c>
      <c r="H548" s="119"/>
      <c r="I548" s="116"/>
      <c r="J548" s="66" t="s">
        <v>4609</v>
      </c>
      <c r="K548" s="470">
        <v>4662125</v>
      </c>
      <c r="L548" s="116" t="s">
        <v>4604</v>
      </c>
      <c r="M548" s="171"/>
      <c r="N548" s="173" t="s">
        <v>4610</v>
      </c>
      <c r="O548" s="66" t="s">
        <v>3974</v>
      </c>
      <c r="P548" s="468">
        <v>687325</v>
      </c>
    </row>
    <row r="549" spans="1:16" ht="22.5">
      <c r="A549" s="121" t="s">
        <v>4411</v>
      </c>
      <c r="B549" s="119" t="s">
        <v>435</v>
      </c>
      <c r="C549" s="171" t="s">
        <v>435</v>
      </c>
      <c r="D549" s="767" t="s">
        <v>4611</v>
      </c>
      <c r="E549" s="131">
        <v>1</v>
      </c>
      <c r="F549" s="140">
        <v>1</v>
      </c>
      <c r="G549" s="116"/>
      <c r="H549" s="119"/>
      <c r="I549" s="116">
        <v>900</v>
      </c>
      <c r="J549" s="66" t="s">
        <v>4612</v>
      </c>
      <c r="K549" s="470">
        <v>8000000</v>
      </c>
      <c r="L549" s="116" t="s">
        <v>1711</v>
      </c>
      <c r="M549" s="171"/>
      <c r="N549" s="173"/>
      <c r="O549" s="66" t="s">
        <v>3974</v>
      </c>
      <c r="P549" s="468">
        <v>1759660</v>
      </c>
    </row>
    <row r="550" spans="1:16" ht="22.5">
      <c r="A550" s="121" t="s">
        <v>4411</v>
      </c>
      <c r="B550" s="119" t="s">
        <v>435</v>
      </c>
      <c r="C550" s="171" t="s">
        <v>1169</v>
      </c>
      <c r="D550" s="767" t="s">
        <v>4613</v>
      </c>
      <c r="E550" s="131">
        <v>1</v>
      </c>
      <c r="F550" s="140">
        <v>0.25</v>
      </c>
      <c r="G550" s="116"/>
      <c r="H550" s="119"/>
      <c r="I550" s="116"/>
      <c r="J550" s="66" t="s">
        <v>4614</v>
      </c>
      <c r="K550" s="470">
        <v>1200000</v>
      </c>
      <c r="L550" s="116" t="s">
        <v>18</v>
      </c>
      <c r="M550" s="171"/>
      <c r="N550" s="173" t="s">
        <v>4602</v>
      </c>
      <c r="O550" s="66" t="s">
        <v>3974</v>
      </c>
      <c r="P550" s="468">
        <v>45800</v>
      </c>
    </row>
    <row r="551" spans="1:16">
      <c r="A551" s="121" t="s">
        <v>4411</v>
      </c>
      <c r="B551" s="119" t="s">
        <v>435</v>
      </c>
      <c r="C551" s="171" t="s">
        <v>435</v>
      </c>
      <c r="D551" s="767" t="s">
        <v>4615</v>
      </c>
      <c r="E551" s="131">
        <v>1</v>
      </c>
      <c r="F551" s="140">
        <v>0.2</v>
      </c>
      <c r="G551" s="66"/>
      <c r="H551" s="119"/>
      <c r="I551" s="116"/>
      <c r="J551" s="66" t="s">
        <v>4616</v>
      </c>
      <c r="K551" s="470">
        <v>1200000</v>
      </c>
      <c r="L551" s="116" t="s">
        <v>4604</v>
      </c>
      <c r="M551" s="171"/>
      <c r="N551" s="173" t="s">
        <v>4593</v>
      </c>
      <c r="O551" s="66" t="s">
        <v>3974</v>
      </c>
      <c r="P551" s="468">
        <v>139500</v>
      </c>
    </row>
    <row r="552" spans="1:16">
      <c r="A552" s="163" t="s">
        <v>82</v>
      </c>
      <c r="B552" s="182" t="s">
        <v>3452</v>
      </c>
      <c r="C552" s="765" t="s">
        <v>4454</v>
      </c>
      <c r="D552" s="767" t="s">
        <v>4617</v>
      </c>
      <c r="E552" s="131">
        <v>1</v>
      </c>
      <c r="F552" s="140">
        <v>0.25</v>
      </c>
      <c r="G552" s="116">
        <v>1.5</v>
      </c>
      <c r="H552" s="119">
        <v>0</v>
      </c>
      <c r="I552" s="116">
        <v>0</v>
      </c>
      <c r="J552" s="66" t="s">
        <v>4045</v>
      </c>
      <c r="K552" s="470">
        <v>150000</v>
      </c>
      <c r="L552" s="116" t="s">
        <v>725</v>
      </c>
      <c r="M552" s="66">
        <v>1</v>
      </c>
      <c r="N552" s="118" t="s">
        <v>4524</v>
      </c>
      <c r="O552" s="66" t="s">
        <v>3974</v>
      </c>
      <c r="P552" s="468">
        <v>27900</v>
      </c>
    </row>
    <row r="553" spans="1:16" ht="22.5">
      <c r="A553" s="163" t="s">
        <v>867</v>
      </c>
      <c r="B553" s="182" t="s">
        <v>4457</v>
      </c>
      <c r="C553" s="765" t="s">
        <v>920</v>
      </c>
      <c r="D553" s="767" t="s">
        <v>4618</v>
      </c>
      <c r="E553" s="131">
        <v>1</v>
      </c>
      <c r="F553" s="140">
        <v>1.2999999999999999E-2</v>
      </c>
      <c r="G553" s="146">
        <v>0.03</v>
      </c>
      <c r="H553" s="178"/>
      <c r="I553" s="178"/>
      <c r="J553" s="146" t="s">
        <v>4459</v>
      </c>
      <c r="K553" s="470">
        <v>1285000</v>
      </c>
      <c r="L553" s="146" t="s">
        <v>31</v>
      </c>
      <c r="M553" s="146">
        <v>1</v>
      </c>
      <c r="N553" s="173" t="s">
        <v>4575</v>
      </c>
      <c r="O553" s="66" t="s">
        <v>3974</v>
      </c>
      <c r="P553" s="468">
        <v>771000</v>
      </c>
    </row>
    <row r="554" spans="1:16" ht="22.5">
      <c r="A554" s="121" t="s">
        <v>4411</v>
      </c>
      <c r="B554" s="754" t="s">
        <v>421</v>
      </c>
      <c r="C554" s="753" t="s">
        <v>1669</v>
      </c>
      <c r="D554" s="127" t="s">
        <v>4619</v>
      </c>
      <c r="E554" s="131">
        <v>5</v>
      </c>
      <c r="F554" s="140">
        <v>2.25</v>
      </c>
      <c r="G554" s="116">
        <v>1.9</v>
      </c>
      <c r="H554" s="119"/>
      <c r="I554" s="116"/>
      <c r="J554" s="66" t="s">
        <v>4620</v>
      </c>
      <c r="K554" s="470">
        <v>920000</v>
      </c>
      <c r="L554" s="116" t="s">
        <v>4604</v>
      </c>
      <c r="M554" s="171"/>
      <c r="N554" s="173" t="s">
        <v>4621</v>
      </c>
      <c r="O554" s="66" t="s">
        <v>3974</v>
      </c>
      <c r="P554" s="468">
        <v>460000</v>
      </c>
    </row>
    <row r="555" spans="1:16">
      <c r="A555" s="121" t="s">
        <v>705</v>
      </c>
      <c r="B555" s="754" t="s">
        <v>768</v>
      </c>
      <c r="C555" s="753" t="s">
        <v>4622</v>
      </c>
      <c r="D555" s="767" t="s">
        <v>4623</v>
      </c>
      <c r="E555" s="131">
        <v>1</v>
      </c>
      <c r="F555" s="140">
        <v>0.5</v>
      </c>
      <c r="G555" s="116">
        <v>0.15</v>
      </c>
      <c r="H555" s="116"/>
      <c r="I555" s="116"/>
      <c r="J555" s="66" t="s">
        <v>4446</v>
      </c>
      <c r="K555" s="470">
        <v>3000000</v>
      </c>
      <c r="L555" s="116" t="s">
        <v>18</v>
      </c>
      <c r="M555" s="66">
        <v>1</v>
      </c>
      <c r="N555" s="173" t="s">
        <v>4534</v>
      </c>
      <c r="O555" s="66" t="s">
        <v>3974</v>
      </c>
      <c r="P555" s="468">
        <v>500000</v>
      </c>
    </row>
    <row r="556" spans="1:16">
      <c r="A556" s="163" t="s">
        <v>82</v>
      </c>
      <c r="B556" s="182" t="s">
        <v>82</v>
      </c>
      <c r="C556" s="765" t="s">
        <v>82</v>
      </c>
      <c r="D556" s="127" t="s">
        <v>4624</v>
      </c>
      <c r="E556" s="131">
        <v>6</v>
      </c>
      <c r="F556" s="140">
        <v>9</v>
      </c>
      <c r="G556" s="116">
        <v>180</v>
      </c>
      <c r="H556" s="119">
        <v>0</v>
      </c>
      <c r="I556" s="116">
        <v>0</v>
      </c>
      <c r="J556" s="66" t="s">
        <v>4595</v>
      </c>
      <c r="K556" s="470">
        <v>18000000</v>
      </c>
      <c r="L556" s="116" t="s">
        <v>30</v>
      </c>
      <c r="M556" s="66">
        <v>1</v>
      </c>
      <c r="N556" s="118" t="s">
        <v>4498</v>
      </c>
      <c r="O556" s="66" t="s">
        <v>3974</v>
      </c>
      <c r="P556" s="468">
        <v>4836600</v>
      </c>
    </row>
    <row r="557" spans="1:16">
      <c r="A557" s="121" t="s">
        <v>304</v>
      </c>
      <c r="B557" s="754" t="s">
        <v>4435</v>
      </c>
      <c r="C557" s="171" t="s">
        <v>4416</v>
      </c>
      <c r="D557" s="127" t="s">
        <v>4625</v>
      </c>
      <c r="E557" s="131">
        <v>1</v>
      </c>
      <c r="F557" s="140">
        <v>7</v>
      </c>
      <c r="G557" s="116">
        <v>35</v>
      </c>
      <c r="H557" s="119"/>
      <c r="I557" s="116"/>
      <c r="J557" s="66"/>
      <c r="K557" s="470">
        <v>10500000</v>
      </c>
      <c r="L557" s="116" t="s">
        <v>18</v>
      </c>
      <c r="M557" s="170">
        <v>1</v>
      </c>
      <c r="N557" s="118" t="s">
        <v>4524</v>
      </c>
      <c r="O557" s="181"/>
      <c r="P557" s="468">
        <v>585900</v>
      </c>
    </row>
    <row r="558" spans="1:16" ht="12.75" customHeight="1">
      <c r="A558" s="121" t="s">
        <v>82</v>
      </c>
      <c r="B558" s="754" t="s">
        <v>82</v>
      </c>
      <c r="C558" s="171" t="s">
        <v>82</v>
      </c>
      <c r="D558" s="127" t="s">
        <v>3754</v>
      </c>
      <c r="E558" s="131">
        <v>31</v>
      </c>
      <c r="F558" s="140">
        <v>414</v>
      </c>
      <c r="G558" s="140">
        <f>SUM(F558:F565)*3</f>
        <v>14077.5</v>
      </c>
      <c r="H558" s="116"/>
      <c r="I558" s="116"/>
      <c r="J558" s="66" t="s">
        <v>4626</v>
      </c>
      <c r="K558" s="470">
        <f>2021*500000</f>
        <v>1010500000</v>
      </c>
      <c r="L558" s="768" t="s">
        <v>31</v>
      </c>
      <c r="M558" s="233">
        <v>1</v>
      </c>
      <c r="N558" s="118" t="s">
        <v>4627</v>
      </c>
      <c r="O558" s="66" t="s">
        <v>4460</v>
      </c>
      <c r="P558" s="468">
        <v>124155000</v>
      </c>
    </row>
    <row r="559" spans="1:16">
      <c r="A559" s="121" t="s">
        <v>130</v>
      </c>
      <c r="B559" s="754" t="s">
        <v>4628</v>
      </c>
      <c r="C559" s="753" t="s">
        <v>4628</v>
      </c>
      <c r="D559" s="127" t="s">
        <v>3754</v>
      </c>
      <c r="E559" s="131">
        <v>3</v>
      </c>
      <c r="F559" s="140">
        <v>17</v>
      </c>
      <c r="G559" s="140"/>
      <c r="H559" s="116"/>
      <c r="I559" s="116"/>
      <c r="J559" s="66"/>
      <c r="K559" s="470"/>
      <c r="L559" s="768"/>
      <c r="M559" s="233"/>
      <c r="N559" s="118"/>
      <c r="O559" s="66"/>
      <c r="P559" s="468">
        <v>62300000</v>
      </c>
    </row>
    <row r="560" spans="1:16">
      <c r="A560" s="121" t="s">
        <v>4469</v>
      </c>
      <c r="B560" s="754"/>
      <c r="C560" s="171"/>
      <c r="D560" s="127" t="s">
        <v>3754</v>
      </c>
      <c r="E560" s="131">
        <v>25</v>
      </c>
      <c r="F560" s="140">
        <v>792.5</v>
      </c>
      <c r="G560" s="140"/>
      <c r="H560" s="116"/>
      <c r="I560" s="116"/>
      <c r="J560" s="66"/>
      <c r="K560" s="470"/>
      <c r="L560" s="768"/>
      <c r="M560" s="233"/>
      <c r="N560" s="118"/>
      <c r="O560" s="66"/>
      <c r="P560" s="468"/>
    </row>
    <row r="561" spans="1:16">
      <c r="A561" s="121" t="s">
        <v>58</v>
      </c>
      <c r="B561" s="119" t="s">
        <v>4425</v>
      </c>
      <c r="C561" s="171" t="s">
        <v>4425</v>
      </c>
      <c r="D561" s="127" t="s">
        <v>3754</v>
      </c>
      <c r="E561" s="131">
        <v>1</v>
      </c>
      <c r="F561" s="140">
        <v>60</v>
      </c>
      <c r="G561" s="140"/>
      <c r="H561" s="116"/>
      <c r="I561" s="116"/>
      <c r="J561" s="66"/>
      <c r="K561" s="470"/>
      <c r="L561" s="768"/>
      <c r="M561" s="233"/>
      <c r="N561" s="118"/>
      <c r="O561" s="66"/>
      <c r="P561" s="468"/>
    </row>
    <row r="562" spans="1:16">
      <c r="A562" s="121" t="s">
        <v>705</v>
      </c>
      <c r="B562" s="754" t="s">
        <v>4629</v>
      </c>
      <c r="C562" s="753" t="s">
        <v>4629</v>
      </c>
      <c r="D562" s="127" t="s">
        <v>3754</v>
      </c>
      <c r="E562" s="131">
        <v>8</v>
      </c>
      <c r="F562" s="140">
        <v>1548</v>
      </c>
      <c r="G562" s="140"/>
      <c r="H562" s="116"/>
      <c r="I562" s="116"/>
      <c r="J562" s="66"/>
      <c r="K562" s="470"/>
      <c r="L562" s="768"/>
      <c r="M562" s="233"/>
      <c r="N562" s="118"/>
      <c r="O562" s="66"/>
      <c r="P562" s="468"/>
    </row>
    <row r="563" spans="1:16">
      <c r="A563" s="121" t="s">
        <v>4411</v>
      </c>
      <c r="B563" s="754" t="s">
        <v>421</v>
      </c>
      <c r="C563" s="753" t="s">
        <v>421</v>
      </c>
      <c r="D563" s="127" t="s">
        <v>3754</v>
      </c>
      <c r="E563" s="131">
        <v>1</v>
      </c>
      <c r="F563" s="140">
        <v>40</v>
      </c>
      <c r="G563" s="140"/>
      <c r="H563" s="116"/>
      <c r="I563" s="116"/>
      <c r="J563" s="66"/>
      <c r="K563" s="470"/>
      <c r="L563" s="768"/>
      <c r="M563" s="233"/>
      <c r="N563" s="118"/>
      <c r="O563" s="66"/>
      <c r="P563" s="468"/>
    </row>
    <row r="564" spans="1:16">
      <c r="A564" s="121" t="s">
        <v>867</v>
      </c>
      <c r="B564" s="754" t="s">
        <v>4630</v>
      </c>
      <c r="C564" s="753" t="s">
        <v>4631</v>
      </c>
      <c r="D564" s="127" t="s">
        <v>3754</v>
      </c>
      <c r="E564" s="131">
        <v>12</v>
      </c>
      <c r="F564" s="140">
        <v>641</v>
      </c>
      <c r="G564" s="140"/>
      <c r="H564" s="116"/>
      <c r="I564" s="116"/>
      <c r="J564" s="66"/>
      <c r="K564" s="470"/>
      <c r="L564" s="768"/>
      <c r="M564" s="233"/>
      <c r="N564" s="118"/>
      <c r="O564" s="66"/>
      <c r="P564" s="468"/>
    </row>
    <row r="565" spans="1:16">
      <c r="A565" s="121" t="s">
        <v>1262</v>
      </c>
      <c r="B565" s="754" t="s">
        <v>1262</v>
      </c>
      <c r="C565" s="171"/>
      <c r="D565" s="127" t="s">
        <v>3754</v>
      </c>
      <c r="E565" s="131">
        <v>8</v>
      </c>
      <c r="F565" s="140">
        <v>1180</v>
      </c>
      <c r="G565" s="140"/>
      <c r="H565" s="116"/>
      <c r="I565" s="116"/>
      <c r="J565" s="66"/>
      <c r="K565" s="470"/>
      <c r="L565" s="768"/>
      <c r="M565" s="233"/>
      <c r="N565" s="118"/>
      <c r="O565" s="66"/>
      <c r="P565" s="468"/>
    </row>
    <row r="566" spans="1:16" ht="12.75" customHeight="1">
      <c r="A566" s="221" t="s">
        <v>4526</v>
      </c>
      <c r="B566" s="754"/>
      <c r="C566" s="753" t="s">
        <v>4632</v>
      </c>
      <c r="D566" s="127" t="s">
        <v>3788</v>
      </c>
      <c r="E566" s="131">
        <v>1</v>
      </c>
      <c r="F566" s="140">
        <v>20</v>
      </c>
      <c r="G566" s="140">
        <f>SUM(F566:F601)*0.19*10</f>
        <v>39519.334999999999</v>
      </c>
      <c r="H566" s="116"/>
      <c r="I566" s="116"/>
      <c r="J566" s="130" t="s">
        <v>4633</v>
      </c>
      <c r="K566" s="470">
        <f>SUM(F566:F601)*0.19*350000</f>
        <v>1383176724.9999998</v>
      </c>
      <c r="L566" s="140" t="s">
        <v>125</v>
      </c>
      <c r="M566" s="140">
        <v>1</v>
      </c>
      <c r="N566" s="118" t="s">
        <v>4634</v>
      </c>
      <c r="O566" s="66" t="s">
        <v>3974</v>
      </c>
      <c r="P566" s="468">
        <v>146823750</v>
      </c>
    </row>
    <row r="567" spans="1:16">
      <c r="A567" s="221" t="s">
        <v>4526</v>
      </c>
      <c r="B567" s="754"/>
      <c r="C567" s="753" t="s">
        <v>4527</v>
      </c>
      <c r="D567" s="127" t="s">
        <v>3788</v>
      </c>
      <c r="E567" s="131">
        <v>1</v>
      </c>
      <c r="F567" s="140">
        <v>6</v>
      </c>
      <c r="G567" s="140"/>
      <c r="H567" s="116"/>
      <c r="I567" s="116"/>
      <c r="J567" s="130"/>
      <c r="K567" s="470"/>
      <c r="L567" s="140"/>
      <c r="M567" s="140"/>
      <c r="N567" s="118"/>
      <c r="O567" s="66"/>
      <c r="P567" s="468"/>
    </row>
    <row r="568" spans="1:16">
      <c r="A568" s="221" t="s">
        <v>82</v>
      </c>
      <c r="B568" s="116" t="s">
        <v>82</v>
      </c>
      <c r="C568" s="753" t="s">
        <v>4635</v>
      </c>
      <c r="D568" s="127" t="s">
        <v>3788</v>
      </c>
      <c r="E568" s="131">
        <v>4</v>
      </c>
      <c r="F568" s="140">
        <v>242.83</v>
      </c>
      <c r="G568" s="140"/>
      <c r="H568" s="116"/>
      <c r="I568" s="116"/>
      <c r="J568" s="130"/>
      <c r="K568" s="470"/>
      <c r="L568" s="140"/>
      <c r="M568" s="140"/>
      <c r="N568" s="118"/>
      <c r="O568" s="66"/>
      <c r="P568" s="468"/>
    </row>
    <row r="569" spans="1:16">
      <c r="A569" s="221" t="s">
        <v>82</v>
      </c>
      <c r="B569" s="116"/>
      <c r="C569" s="753" t="s">
        <v>174</v>
      </c>
      <c r="D569" s="127" t="s">
        <v>3788</v>
      </c>
      <c r="E569" s="131">
        <v>5</v>
      </c>
      <c r="F569" s="140">
        <v>1216.3</v>
      </c>
      <c r="G569" s="140"/>
      <c r="H569" s="116"/>
      <c r="I569" s="116"/>
      <c r="J569" s="130"/>
      <c r="K569" s="470"/>
      <c r="L569" s="140"/>
      <c r="M569" s="140"/>
      <c r="N569" s="118"/>
      <c r="O569" s="66"/>
      <c r="P569" s="468"/>
    </row>
    <row r="570" spans="1:16">
      <c r="A570" s="221" t="s">
        <v>82</v>
      </c>
      <c r="B570" s="116"/>
      <c r="C570" s="753" t="s">
        <v>323</v>
      </c>
      <c r="D570" s="127" t="s">
        <v>3788</v>
      </c>
      <c r="E570" s="131">
        <v>1</v>
      </c>
      <c r="F570" s="140">
        <v>242.28</v>
      </c>
      <c r="G570" s="140"/>
      <c r="H570" s="116"/>
      <c r="I570" s="116"/>
      <c r="J570" s="130"/>
      <c r="K570" s="470"/>
      <c r="L570" s="140"/>
      <c r="M570" s="140"/>
      <c r="N570" s="118"/>
      <c r="O570" s="66"/>
      <c r="P570" s="468"/>
    </row>
    <row r="571" spans="1:16">
      <c r="A571" s="221" t="s">
        <v>82</v>
      </c>
      <c r="B571" s="116"/>
      <c r="C571" s="753" t="s">
        <v>4636</v>
      </c>
      <c r="D571" s="127" t="s">
        <v>3788</v>
      </c>
      <c r="E571" s="131">
        <v>1</v>
      </c>
      <c r="F571" s="140">
        <v>250</v>
      </c>
      <c r="G571" s="140"/>
      <c r="H571" s="116"/>
      <c r="I571" s="116"/>
      <c r="J571" s="130"/>
      <c r="K571" s="470"/>
      <c r="L571" s="140"/>
      <c r="M571" s="140"/>
      <c r="N571" s="118"/>
      <c r="O571" s="66"/>
      <c r="P571" s="468"/>
    </row>
    <row r="572" spans="1:16">
      <c r="A572" s="221" t="s">
        <v>82</v>
      </c>
      <c r="B572" s="116"/>
      <c r="C572" s="753" t="s">
        <v>4637</v>
      </c>
      <c r="D572" s="127" t="s">
        <v>3788</v>
      </c>
      <c r="E572" s="131">
        <v>3</v>
      </c>
      <c r="F572" s="140">
        <v>58.6</v>
      </c>
      <c r="G572" s="140"/>
      <c r="H572" s="116"/>
      <c r="I572" s="116"/>
      <c r="J572" s="130"/>
      <c r="K572" s="470"/>
      <c r="L572" s="140"/>
      <c r="M572" s="140"/>
      <c r="N572" s="118"/>
      <c r="O572" s="66"/>
      <c r="P572" s="468"/>
    </row>
    <row r="573" spans="1:16">
      <c r="A573" s="221" t="s">
        <v>82</v>
      </c>
      <c r="B573" s="116"/>
      <c r="C573" s="753" t="s">
        <v>4638</v>
      </c>
      <c r="D573" s="127" t="s">
        <v>3788</v>
      </c>
      <c r="E573" s="131">
        <v>9</v>
      </c>
      <c r="F573" s="140">
        <v>317.27999999999997</v>
      </c>
      <c r="G573" s="140"/>
      <c r="H573" s="116"/>
      <c r="I573" s="116"/>
      <c r="J573" s="130"/>
      <c r="K573" s="470"/>
      <c r="L573" s="140"/>
      <c r="M573" s="140"/>
      <c r="N573" s="118"/>
      <c r="O573" s="66"/>
      <c r="P573" s="468"/>
    </row>
    <row r="574" spans="1:16">
      <c r="A574" s="221" t="s">
        <v>82</v>
      </c>
      <c r="B574" s="116"/>
      <c r="C574" s="753" t="s">
        <v>1764</v>
      </c>
      <c r="D574" s="127" t="s">
        <v>3788</v>
      </c>
      <c r="E574" s="131">
        <v>10</v>
      </c>
      <c r="F574" s="140">
        <v>654.24</v>
      </c>
      <c r="G574" s="140"/>
      <c r="H574" s="116"/>
      <c r="I574" s="116"/>
      <c r="J574" s="130"/>
      <c r="K574" s="470"/>
      <c r="L574" s="140"/>
      <c r="M574" s="140"/>
      <c r="N574" s="118"/>
      <c r="O574" s="66"/>
      <c r="P574" s="468"/>
    </row>
    <row r="575" spans="1:16">
      <c r="A575" s="221" t="s">
        <v>82</v>
      </c>
      <c r="B575" s="116"/>
      <c r="C575" s="753" t="s">
        <v>1268</v>
      </c>
      <c r="D575" s="127" t="s">
        <v>3788</v>
      </c>
      <c r="E575" s="131">
        <v>8</v>
      </c>
      <c r="F575" s="140">
        <v>134.32</v>
      </c>
      <c r="G575" s="140"/>
      <c r="H575" s="116"/>
      <c r="I575" s="116"/>
      <c r="J575" s="130"/>
      <c r="K575" s="470"/>
      <c r="L575" s="140"/>
      <c r="M575" s="140"/>
      <c r="N575" s="118"/>
      <c r="O575" s="66"/>
      <c r="P575" s="468"/>
    </row>
    <row r="576" spans="1:16">
      <c r="A576" s="121" t="s">
        <v>130</v>
      </c>
      <c r="B576" s="754" t="s">
        <v>174</v>
      </c>
      <c r="C576" s="171" t="s">
        <v>261</v>
      </c>
      <c r="D576" s="127" t="s">
        <v>3788</v>
      </c>
      <c r="E576" s="131">
        <v>8</v>
      </c>
      <c r="F576" s="140">
        <v>2576.3000000000002</v>
      </c>
      <c r="G576" s="140"/>
      <c r="H576" s="116"/>
      <c r="I576" s="116"/>
      <c r="J576" s="130"/>
      <c r="K576" s="470"/>
      <c r="L576" s="140"/>
      <c r="M576" s="140"/>
      <c r="N576" s="118"/>
      <c r="O576" s="66"/>
      <c r="P576" s="468"/>
    </row>
    <row r="577" spans="1:16">
      <c r="A577" s="121" t="s">
        <v>130</v>
      </c>
      <c r="B577" s="754" t="s">
        <v>130</v>
      </c>
      <c r="C577" s="171" t="s">
        <v>4639</v>
      </c>
      <c r="D577" s="127" t="s">
        <v>3788</v>
      </c>
      <c r="E577" s="131">
        <v>5</v>
      </c>
      <c r="F577" s="140">
        <v>35</v>
      </c>
      <c r="G577" s="140"/>
      <c r="H577" s="116"/>
      <c r="I577" s="116"/>
      <c r="J577" s="130"/>
      <c r="K577" s="470"/>
      <c r="L577" s="140"/>
      <c r="M577" s="140"/>
      <c r="N577" s="118"/>
      <c r="O577" s="66"/>
      <c r="P577" s="468"/>
    </row>
    <row r="578" spans="1:16">
      <c r="A578" s="121" t="s">
        <v>130</v>
      </c>
      <c r="B578" s="754"/>
      <c r="C578" s="171" t="s">
        <v>142</v>
      </c>
      <c r="D578" s="127" t="s">
        <v>3788</v>
      </c>
      <c r="E578" s="131">
        <v>2</v>
      </c>
      <c r="F578" s="140">
        <v>34</v>
      </c>
      <c r="G578" s="140"/>
      <c r="H578" s="116"/>
      <c r="I578" s="116"/>
      <c r="J578" s="130"/>
      <c r="K578" s="470"/>
      <c r="L578" s="140"/>
      <c r="M578" s="140"/>
      <c r="N578" s="118"/>
      <c r="O578" s="66"/>
      <c r="P578" s="468"/>
    </row>
    <row r="579" spans="1:16">
      <c r="A579" s="121" t="s">
        <v>130</v>
      </c>
      <c r="B579" s="754"/>
      <c r="C579" s="171" t="s">
        <v>1707</v>
      </c>
      <c r="D579" s="127" t="s">
        <v>3788</v>
      </c>
      <c r="E579" s="131">
        <v>6</v>
      </c>
      <c r="F579" s="140">
        <v>13.8</v>
      </c>
      <c r="G579" s="140"/>
      <c r="H579" s="116"/>
      <c r="I579" s="116"/>
      <c r="J579" s="130"/>
      <c r="K579" s="470"/>
      <c r="L579" s="140"/>
      <c r="M579" s="140"/>
      <c r="N579" s="118"/>
      <c r="O579" s="66"/>
      <c r="P579" s="468"/>
    </row>
    <row r="580" spans="1:16">
      <c r="A580" s="121" t="s">
        <v>130</v>
      </c>
      <c r="B580" s="754" t="s">
        <v>1137</v>
      </c>
      <c r="C580" s="171" t="s">
        <v>1137</v>
      </c>
      <c r="D580" s="127" t="s">
        <v>3788</v>
      </c>
      <c r="E580" s="131">
        <v>1</v>
      </c>
      <c r="F580" s="140">
        <v>160</v>
      </c>
      <c r="G580" s="140"/>
      <c r="H580" s="116"/>
      <c r="I580" s="116"/>
      <c r="J580" s="130"/>
      <c r="K580" s="470"/>
      <c r="L580" s="140"/>
      <c r="M580" s="140"/>
      <c r="N580" s="118"/>
      <c r="O580" s="66"/>
      <c r="P580" s="468"/>
    </row>
    <row r="581" spans="1:16">
      <c r="A581" s="221" t="s">
        <v>4469</v>
      </c>
      <c r="B581" s="116" t="s">
        <v>1576</v>
      </c>
      <c r="C581" s="171" t="s">
        <v>4640</v>
      </c>
      <c r="D581" s="127" t="s">
        <v>3788</v>
      </c>
      <c r="E581" s="131">
        <v>10</v>
      </c>
      <c r="F581" s="140">
        <v>173</v>
      </c>
      <c r="G581" s="140"/>
      <c r="H581" s="116"/>
      <c r="I581" s="116"/>
      <c r="J581" s="130"/>
      <c r="K581" s="470"/>
      <c r="L581" s="140"/>
      <c r="M581" s="140"/>
      <c r="N581" s="118"/>
      <c r="O581" s="66"/>
      <c r="P581" s="468"/>
    </row>
    <row r="582" spans="1:16">
      <c r="A582" s="221" t="s">
        <v>4469</v>
      </c>
      <c r="B582" s="116"/>
      <c r="C582" s="171" t="s">
        <v>4641</v>
      </c>
      <c r="D582" s="127" t="s">
        <v>3788</v>
      </c>
      <c r="E582" s="131">
        <v>14</v>
      </c>
      <c r="F582" s="140">
        <v>218.87</v>
      </c>
      <c r="G582" s="140"/>
      <c r="H582" s="116"/>
      <c r="I582" s="116"/>
      <c r="J582" s="130"/>
      <c r="K582" s="470"/>
      <c r="L582" s="140"/>
      <c r="M582" s="140"/>
      <c r="N582" s="118"/>
      <c r="O582" s="66"/>
      <c r="P582" s="468"/>
    </row>
    <row r="583" spans="1:16">
      <c r="A583" s="221" t="s">
        <v>4469</v>
      </c>
      <c r="B583" s="116"/>
      <c r="C583" s="171" t="s">
        <v>4642</v>
      </c>
      <c r="D583" s="127" t="s">
        <v>3788</v>
      </c>
      <c r="E583" s="131">
        <v>33</v>
      </c>
      <c r="F583" s="140">
        <v>117.95</v>
      </c>
      <c r="G583" s="140"/>
      <c r="H583" s="116"/>
      <c r="I583" s="116"/>
      <c r="J583" s="130"/>
      <c r="K583" s="470"/>
      <c r="L583" s="140"/>
      <c r="M583" s="140"/>
      <c r="N583" s="118"/>
      <c r="O583" s="66"/>
      <c r="P583" s="468"/>
    </row>
    <row r="584" spans="1:16">
      <c r="A584" s="221" t="s">
        <v>4469</v>
      </c>
      <c r="B584" s="116"/>
      <c r="C584" s="171" t="s">
        <v>616</v>
      </c>
      <c r="D584" s="127" t="s">
        <v>3788</v>
      </c>
      <c r="E584" s="131">
        <v>58</v>
      </c>
      <c r="F584" s="140">
        <v>215.5</v>
      </c>
      <c r="G584" s="140"/>
      <c r="H584" s="116"/>
      <c r="I584" s="116"/>
      <c r="J584" s="130"/>
      <c r="K584" s="470"/>
      <c r="L584" s="140"/>
      <c r="M584" s="140"/>
      <c r="N584" s="118"/>
      <c r="O584" s="66"/>
      <c r="P584" s="468"/>
    </row>
    <row r="585" spans="1:16">
      <c r="A585" s="221" t="s">
        <v>4469</v>
      </c>
      <c r="B585" s="116" t="s">
        <v>1484</v>
      </c>
      <c r="C585" s="171" t="s">
        <v>4643</v>
      </c>
      <c r="D585" s="127" t="s">
        <v>3788</v>
      </c>
      <c r="E585" s="131">
        <v>22</v>
      </c>
      <c r="F585" s="140">
        <v>118.37</v>
      </c>
      <c r="G585" s="140"/>
      <c r="H585" s="116"/>
      <c r="I585" s="116"/>
      <c r="J585" s="130"/>
      <c r="K585" s="470"/>
      <c r="L585" s="140"/>
      <c r="M585" s="140"/>
      <c r="N585" s="118"/>
      <c r="O585" s="66"/>
      <c r="P585" s="468"/>
    </row>
    <row r="586" spans="1:16">
      <c r="A586" s="221" t="s">
        <v>4469</v>
      </c>
      <c r="B586" s="116"/>
      <c r="C586" s="171" t="s">
        <v>1495</v>
      </c>
      <c r="D586" s="127" t="s">
        <v>3788</v>
      </c>
      <c r="E586" s="131">
        <v>54</v>
      </c>
      <c r="F586" s="140">
        <v>377</v>
      </c>
      <c r="G586" s="140"/>
      <c r="H586" s="116"/>
      <c r="I586" s="116"/>
      <c r="J586" s="130"/>
      <c r="K586" s="470"/>
      <c r="L586" s="140"/>
      <c r="M586" s="140"/>
      <c r="N586" s="118"/>
      <c r="O586" s="66"/>
      <c r="P586" s="468"/>
    </row>
    <row r="587" spans="1:16">
      <c r="A587" s="221" t="s">
        <v>4469</v>
      </c>
      <c r="B587" s="116"/>
      <c r="C587" s="171" t="s">
        <v>4644</v>
      </c>
      <c r="D587" s="127" t="s">
        <v>3788</v>
      </c>
      <c r="E587" s="131">
        <v>21</v>
      </c>
      <c r="F587" s="140">
        <v>185.43</v>
      </c>
      <c r="G587" s="140"/>
      <c r="H587" s="116"/>
      <c r="I587" s="116"/>
      <c r="J587" s="130"/>
      <c r="K587" s="470"/>
      <c r="L587" s="140"/>
      <c r="M587" s="140"/>
      <c r="N587" s="118"/>
      <c r="O587" s="66"/>
      <c r="P587" s="468"/>
    </row>
    <row r="588" spans="1:16">
      <c r="A588" s="221" t="s">
        <v>4469</v>
      </c>
      <c r="B588" s="116"/>
      <c r="C588" s="171" t="s">
        <v>1493</v>
      </c>
      <c r="D588" s="127" t="s">
        <v>3788</v>
      </c>
      <c r="E588" s="131">
        <v>35</v>
      </c>
      <c r="F588" s="140">
        <v>9828.5</v>
      </c>
      <c r="G588" s="140"/>
      <c r="H588" s="116"/>
      <c r="I588" s="116"/>
      <c r="J588" s="130"/>
      <c r="K588" s="470"/>
      <c r="L588" s="140"/>
      <c r="M588" s="140"/>
      <c r="N588" s="118"/>
      <c r="O588" s="66"/>
      <c r="P588" s="468"/>
    </row>
    <row r="589" spans="1:16">
      <c r="A589" s="221" t="s">
        <v>4469</v>
      </c>
      <c r="B589" s="116"/>
      <c r="C589" s="171" t="s">
        <v>4645</v>
      </c>
      <c r="D589" s="127" t="s">
        <v>3788</v>
      </c>
      <c r="E589" s="131">
        <v>9</v>
      </c>
      <c r="F589" s="140">
        <v>94.7</v>
      </c>
      <c r="G589" s="140"/>
      <c r="H589" s="116"/>
      <c r="I589" s="116"/>
      <c r="J589" s="130"/>
      <c r="K589" s="470"/>
      <c r="L589" s="140"/>
      <c r="M589" s="140"/>
      <c r="N589" s="118"/>
      <c r="O589" s="66"/>
      <c r="P589" s="468"/>
    </row>
    <row r="590" spans="1:16">
      <c r="A590" s="221" t="s">
        <v>4469</v>
      </c>
      <c r="B590" s="116"/>
      <c r="C590" s="171" t="s">
        <v>4646</v>
      </c>
      <c r="D590" s="127" t="s">
        <v>3788</v>
      </c>
      <c r="E590" s="131">
        <v>28</v>
      </c>
      <c r="F590" s="140">
        <v>416.59</v>
      </c>
      <c r="G590" s="140"/>
      <c r="H590" s="116"/>
      <c r="I590" s="116"/>
      <c r="J590" s="130"/>
      <c r="K590" s="470"/>
      <c r="L590" s="140"/>
      <c r="M590" s="140"/>
      <c r="N590" s="118"/>
      <c r="O590" s="66"/>
      <c r="P590" s="468"/>
    </row>
    <row r="591" spans="1:16">
      <c r="A591" s="221" t="s">
        <v>4469</v>
      </c>
      <c r="B591" s="754" t="s">
        <v>157</v>
      </c>
      <c r="C591" s="171" t="s">
        <v>157</v>
      </c>
      <c r="D591" s="127" t="s">
        <v>3788</v>
      </c>
      <c r="E591" s="131">
        <v>12</v>
      </c>
      <c r="F591" s="140">
        <v>212.8</v>
      </c>
      <c r="G591" s="140"/>
      <c r="H591" s="116"/>
      <c r="I591" s="116"/>
      <c r="J591" s="130"/>
      <c r="K591" s="470"/>
      <c r="L591" s="140"/>
      <c r="M591" s="140"/>
      <c r="N591" s="118"/>
      <c r="O591" s="66"/>
      <c r="P591" s="468"/>
    </row>
    <row r="592" spans="1:16">
      <c r="A592" s="221" t="s">
        <v>4469</v>
      </c>
      <c r="B592" s="754" t="s">
        <v>4647</v>
      </c>
      <c r="C592" s="171" t="s">
        <v>1601</v>
      </c>
      <c r="D592" s="127" t="s">
        <v>3788</v>
      </c>
      <c r="E592" s="131">
        <v>6</v>
      </c>
      <c r="F592" s="140">
        <v>837.25</v>
      </c>
      <c r="G592" s="140"/>
      <c r="H592" s="116"/>
      <c r="I592" s="116"/>
      <c r="J592" s="130"/>
      <c r="K592" s="470"/>
      <c r="L592" s="140"/>
      <c r="M592" s="140"/>
      <c r="N592" s="118"/>
      <c r="O592" s="66"/>
      <c r="P592" s="468"/>
    </row>
    <row r="593" spans="1:16">
      <c r="A593" s="221" t="s">
        <v>705</v>
      </c>
      <c r="B593" s="754" t="s">
        <v>768</v>
      </c>
      <c r="C593" s="753" t="s">
        <v>768</v>
      </c>
      <c r="D593" s="127" t="s">
        <v>3788</v>
      </c>
      <c r="E593" s="131">
        <v>2</v>
      </c>
      <c r="F593" s="140">
        <v>93</v>
      </c>
      <c r="G593" s="140"/>
      <c r="H593" s="116"/>
      <c r="I593" s="116"/>
      <c r="J593" s="130"/>
      <c r="K593" s="470"/>
      <c r="L593" s="140"/>
      <c r="M593" s="140"/>
      <c r="N593" s="118"/>
      <c r="O593" s="66"/>
      <c r="P593" s="468"/>
    </row>
    <row r="594" spans="1:16">
      <c r="A594" s="221" t="s">
        <v>705</v>
      </c>
      <c r="B594" s="754" t="s">
        <v>705</v>
      </c>
      <c r="C594" s="753" t="s">
        <v>705</v>
      </c>
      <c r="D594" s="127" t="s">
        <v>3788</v>
      </c>
      <c r="E594" s="131">
        <v>8</v>
      </c>
      <c r="F594" s="140">
        <v>1133</v>
      </c>
      <c r="G594" s="140"/>
      <c r="H594" s="116"/>
      <c r="I594" s="116"/>
      <c r="J594" s="130"/>
      <c r="K594" s="470"/>
      <c r="L594" s="140"/>
      <c r="M594" s="140"/>
      <c r="N594" s="118"/>
      <c r="O594" s="66"/>
      <c r="P594" s="468"/>
    </row>
    <row r="595" spans="1:16">
      <c r="A595" s="221" t="s">
        <v>705</v>
      </c>
      <c r="B595" s="754" t="s">
        <v>835</v>
      </c>
      <c r="C595" s="753" t="s">
        <v>835</v>
      </c>
      <c r="D595" s="127" t="s">
        <v>3788</v>
      </c>
      <c r="E595" s="131">
        <v>2</v>
      </c>
      <c r="F595" s="140">
        <v>268.69</v>
      </c>
      <c r="G595" s="140"/>
      <c r="H595" s="116"/>
      <c r="I595" s="116"/>
      <c r="J595" s="130"/>
      <c r="K595" s="470"/>
      <c r="L595" s="140"/>
      <c r="M595" s="140"/>
      <c r="N595" s="118"/>
      <c r="O595" s="66"/>
      <c r="P595" s="468"/>
    </row>
    <row r="596" spans="1:16">
      <c r="A596" s="121" t="s">
        <v>867</v>
      </c>
      <c r="B596" s="754" t="s">
        <v>3666</v>
      </c>
      <c r="C596" s="171" t="s">
        <v>4648</v>
      </c>
      <c r="D596" s="127" t="s">
        <v>3788</v>
      </c>
      <c r="E596" s="131">
        <v>4</v>
      </c>
      <c r="F596" s="140">
        <v>114</v>
      </c>
      <c r="G596" s="140"/>
      <c r="H596" s="116"/>
      <c r="I596" s="116"/>
      <c r="J596" s="130"/>
      <c r="K596" s="470"/>
      <c r="L596" s="140"/>
      <c r="M596" s="140"/>
      <c r="N596" s="118"/>
      <c r="O596" s="66"/>
      <c r="P596" s="468"/>
    </row>
    <row r="597" spans="1:16">
      <c r="A597" s="221" t="s">
        <v>1262</v>
      </c>
      <c r="B597" s="754" t="s">
        <v>4418</v>
      </c>
      <c r="C597" s="171" t="s">
        <v>2053</v>
      </c>
      <c r="D597" s="127" t="s">
        <v>3788</v>
      </c>
      <c r="E597" s="131">
        <v>9</v>
      </c>
      <c r="F597" s="140">
        <v>103.05</v>
      </c>
      <c r="G597" s="140"/>
      <c r="H597" s="116"/>
      <c r="I597" s="116"/>
      <c r="J597" s="130"/>
      <c r="K597" s="470"/>
      <c r="L597" s="140"/>
      <c r="M597" s="140"/>
      <c r="N597" s="118"/>
      <c r="O597" s="66"/>
      <c r="P597" s="468"/>
    </row>
    <row r="598" spans="1:16">
      <c r="A598" s="221" t="s">
        <v>1262</v>
      </c>
      <c r="B598" s="754"/>
      <c r="C598" s="171" t="s">
        <v>1041</v>
      </c>
      <c r="D598" s="127" t="s">
        <v>3788</v>
      </c>
      <c r="E598" s="131">
        <v>12</v>
      </c>
      <c r="F598" s="140">
        <v>172</v>
      </c>
      <c r="G598" s="140"/>
      <c r="H598" s="116"/>
      <c r="I598" s="116"/>
      <c r="J598" s="130"/>
      <c r="K598" s="470"/>
      <c r="L598" s="140"/>
      <c r="M598" s="140"/>
      <c r="N598" s="118"/>
      <c r="O598" s="66"/>
      <c r="P598" s="468"/>
    </row>
    <row r="599" spans="1:16">
      <c r="A599" s="221" t="s">
        <v>1262</v>
      </c>
      <c r="B599" s="754" t="s">
        <v>1265</v>
      </c>
      <c r="C599" s="171" t="s">
        <v>1265</v>
      </c>
      <c r="D599" s="127" t="s">
        <v>3788</v>
      </c>
      <c r="E599" s="131">
        <v>1</v>
      </c>
      <c r="F599" s="140">
        <v>15</v>
      </c>
      <c r="G599" s="140"/>
      <c r="H599" s="116"/>
      <c r="I599" s="116"/>
      <c r="J599" s="130"/>
      <c r="K599" s="470"/>
      <c r="L599" s="140"/>
      <c r="M599" s="140"/>
      <c r="N599" s="118"/>
      <c r="O599" s="66"/>
      <c r="P599" s="468"/>
    </row>
    <row r="600" spans="1:16">
      <c r="A600" s="221" t="s">
        <v>1262</v>
      </c>
      <c r="B600" s="754" t="s">
        <v>1262</v>
      </c>
      <c r="C600" s="171" t="s">
        <v>1015</v>
      </c>
      <c r="D600" s="127" t="s">
        <v>3788</v>
      </c>
      <c r="E600" s="131">
        <v>10</v>
      </c>
      <c r="F600" s="140">
        <v>80</v>
      </c>
      <c r="G600" s="140"/>
      <c r="H600" s="116"/>
      <c r="I600" s="116"/>
      <c r="J600" s="130"/>
      <c r="K600" s="470"/>
      <c r="L600" s="140"/>
      <c r="M600" s="140"/>
      <c r="N600" s="118"/>
      <c r="O600" s="66"/>
      <c r="P600" s="468"/>
    </row>
    <row r="601" spans="1:16">
      <c r="A601" s="221" t="s">
        <v>1262</v>
      </c>
      <c r="B601" s="754" t="s">
        <v>4649</v>
      </c>
      <c r="C601" s="171" t="s">
        <v>4650</v>
      </c>
      <c r="D601" s="127" t="s">
        <v>3788</v>
      </c>
      <c r="E601" s="131">
        <v>6</v>
      </c>
      <c r="F601" s="140">
        <v>64</v>
      </c>
      <c r="G601" s="140"/>
      <c r="H601" s="116"/>
      <c r="I601" s="116"/>
      <c r="J601" s="130"/>
      <c r="K601" s="470"/>
      <c r="L601" s="140"/>
      <c r="M601" s="140"/>
      <c r="N601" s="118"/>
      <c r="O601" s="66"/>
      <c r="P601" s="468"/>
    </row>
    <row r="602" spans="1:16" ht="18" customHeight="1">
      <c r="A602" s="779" t="s">
        <v>91</v>
      </c>
      <c r="B602" s="703"/>
      <c r="C602" s="703"/>
      <c r="D602" s="703"/>
      <c r="E602" s="686">
        <f>SUM(E351:E601)</f>
        <v>1922</v>
      </c>
      <c r="F602" s="760">
        <f>SUM(F351:F601)</f>
        <v>27409.480500000001</v>
      </c>
      <c r="G602" s="703" t="s">
        <v>91</v>
      </c>
      <c r="H602" s="703"/>
      <c r="I602" s="703"/>
      <c r="J602" s="703"/>
      <c r="K602" s="705">
        <f>SUM(K351:K601)</f>
        <v>3174076526</v>
      </c>
      <c r="L602" s="769" t="s">
        <v>91</v>
      </c>
      <c r="M602" s="770"/>
      <c r="N602" s="770"/>
      <c r="O602" s="770"/>
      <c r="P602" s="715">
        <f>SUM(P351:P601)</f>
        <v>615578331</v>
      </c>
    </row>
    <row r="603" spans="1:16" ht="18.75" customHeight="1">
      <c r="A603" s="710" t="s">
        <v>4651</v>
      </c>
      <c r="B603" s="688"/>
      <c r="C603" s="688"/>
      <c r="D603" s="688"/>
      <c r="E603" s="688"/>
      <c r="F603" s="688"/>
      <c r="G603" s="688"/>
      <c r="H603" s="688"/>
      <c r="I603" s="688"/>
      <c r="J603" s="688"/>
      <c r="K603" s="689"/>
      <c r="L603" s="688"/>
      <c r="M603" s="688"/>
      <c r="N603" s="688"/>
      <c r="O603" s="688"/>
      <c r="P603" s="711"/>
    </row>
    <row r="604" spans="1:16" ht="12.75" customHeight="1">
      <c r="A604" s="714" t="s">
        <v>4526</v>
      </c>
      <c r="B604" s="116" t="s">
        <v>4652</v>
      </c>
      <c r="C604" s="753" t="s">
        <v>4653</v>
      </c>
      <c r="D604" s="66" t="s">
        <v>3778</v>
      </c>
      <c r="E604" s="116">
        <v>13</v>
      </c>
      <c r="F604" s="116">
        <v>370</v>
      </c>
      <c r="G604" s="66" t="s">
        <v>4654</v>
      </c>
      <c r="H604" s="66" t="s">
        <v>4655</v>
      </c>
      <c r="I604" s="116">
        <v>47</v>
      </c>
      <c r="J604" s="66" t="s">
        <v>4656</v>
      </c>
      <c r="K604" s="470">
        <v>51699000</v>
      </c>
      <c r="L604" s="116">
        <v>1</v>
      </c>
      <c r="M604" s="66" t="s">
        <v>4345</v>
      </c>
      <c r="N604" s="118" t="s">
        <v>4657</v>
      </c>
      <c r="O604" s="66" t="s">
        <v>4658</v>
      </c>
      <c r="P604" s="468">
        <v>4290000</v>
      </c>
    </row>
    <row r="605" spans="1:16">
      <c r="A605" s="714" t="s">
        <v>4526</v>
      </c>
      <c r="B605" s="116"/>
      <c r="C605" s="753"/>
      <c r="D605" s="66"/>
      <c r="E605" s="116"/>
      <c r="F605" s="116"/>
      <c r="G605" s="66"/>
      <c r="H605" s="66"/>
      <c r="I605" s="116"/>
      <c r="J605" s="66"/>
      <c r="K605" s="470"/>
      <c r="L605" s="116"/>
      <c r="M605" s="66"/>
      <c r="N605" s="118" t="s">
        <v>4659</v>
      </c>
      <c r="O605" s="66"/>
      <c r="P605" s="468">
        <v>259461.15</v>
      </c>
    </row>
    <row r="606" spans="1:16">
      <c r="A606" s="714" t="s">
        <v>4526</v>
      </c>
      <c r="B606" s="116"/>
      <c r="C606" s="753"/>
      <c r="D606" s="66"/>
      <c r="E606" s="116"/>
      <c r="F606" s="116"/>
      <c r="G606" s="66"/>
      <c r="H606" s="66"/>
      <c r="I606" s="116"/>
      <c r="J606" s="66"/>
      <c r="K606" s="470"/>
      <c r="L606" s="116"/>
      <c r="M606" s="66"/>
      <c r="N606" s="118" t="s">
        <v>4660</v>
      </c>
      <c r="O606" s="66"/>
      <c r="P606" s="468">
        <v>435825</v>
      </c>
    </row>
    <row r="607" spans="1:16">
      <c r="A607" s="714" t="s">
        <v>4526</v>
      </c>
      <c r="B607" s="116"/>
      <c r="C607" s="753"/>
      <c r="D607" s="66"/>
      <c r="E607" s="116"/>
      <c r="F607" s="116"/>
      <c r="G607" s="66"/>
      <c r="H607" s="66"/>
      <c r="I607" s="116"/>
      <c r="J607" s="66"/>
      <c r="K607" s="470"/>
      <c r="L607" s="116"/>
      <c r="M607" s="66"/>
      <c r="N607" s="118" t="s">
        <v>4661</v>
      </c>
      <c r="O607" s="66"/>
      <c r="P607" s="468">
        <v>480870</v>
      </c>
    </row>
    <row r="608" spans="1:16">
      <c r="A608" s="714" t="s">
        <v>4526</v>
      </c>
      <c r="B608" s="116"/>
      <c r="C608" s="753"/>
      <c r="D608" s="66"/>
      <c r="E608" s="116"/>
      <c r="F608" s="116"/>
      <c r="G608" s="66"/>
      <c r="H608" s="66"/>
      <c r="I608" s="116"/>
      <c r="J608" s="66"/>
      <c r="K608" s="470"/>
      <c r="L608" s="116"/>
      <c r="M608" s="66"/>
      <c r="N608" s="118" t="s">
        <v>4662</v>
      </c>
      <c r="O608" s="66"/>
      <c r="P608" s="468">
        <v>167602.5</v>
      </c>
    </row>
    <row r="609" spans="1:16">
      <c r="A609" s="714" t="s">
        <v>4526</v>
      </c>
      <c r="B609" s="116"/>
      <c r="C609" s="753"/>
      <c r="D609" s="66"/>
      <c r="E609" s="116"/>
      <c r="F609" s="116"/>
      <c r="G609" s="66"/>
      <c r="H609" s="66"/>
      <c r="I609" s="116"/>
      <c r="J609" s="66"/>
      <c r="K609" s="470"/>
      <c r="L609" s="116"/>
      <c r="M609" s="66"/>
      <c r="N609" s="118" t="s">
        <v>4663</v>
      </c>
      <c r="O609" s="66"/>
      <c r="P609" s="468">
        <v>41403.505000000005</v>
      </c>
    </row>
    <row r="610" spans="1:16">
      <c r="A610" s="714" t="s">
        <v>4526</v>
      </c>
      <c r="B610" s="116"/>
      <c r="C610" s="753"/>
      <c r="D610" s="66"/>
      <c r="E610" s="116"/>
      <c r="F610" s="116"/>
      <c r="G610" s="66"/>
      <c r="H610" s="66"/>
      <c r="I610" s="116"/>
      <c r="J610" s="66"/>
      <c r="K610" s="470"/>
      <c r="L610" s="116"/>
      <c r="M610" s="66"/>
      <c r="N610" s="118" t="s">
        <v>4664</v>
      </c>
      <c r="O610" s="66"/>
      <c r="P610" s="468">
        <v>37037</v>
      </c>
    </row>
    <row r="611" spans="1:16">
      <c r="A611" s="714" t="s">
        <v>4526</v>
      </c>
      <c r="B611" s="116"/>
      <c r="C611" s="753"/>
      <c r="D611" s="66"/>
      <c r="E611" s="116"/>
      <c r="F611" s="116"/>
      <c r="G611" s="66"/>
      <c r="H611" s="66"/>
      <c r="I611" s="116"/>
      <c r="J611" s="66"/>
      <c r="K611" s="470"/>
      <c r="L611" s="116"/>
      <c r="M611" s="66"/>
      <c r="N611" s="118" t="s">
        <v>4665</v>
      </c>
      <c r="O611" s="66"/>
      <c r="P611" s="468">
        <v>28236</v>
      </c>
    </row>
    <row r="612" spans="1:16">
      <c r="A612" s="714" t="s">
        <v>4526</v>
      </c>
      <c r="B612" s="116"/>
      <c r="C612" s="753"/>
      <c r="D612" s="66"/>
      <c r="E612" s="116"/>
      <c r="F612" s="116"/>
      <c r="G612" s="66"/>
      <c r="H612" s="66"/>
      <c r="I612" s="116"/>
      <c r="J612" s="66"/>
      <c r="K612" s="470"/>
      <c r="L612" s="116"/>
      <c r="M612" s="66"/>
      <c r="N612" s="118" t="s">
        <v>4666</v>
      </c>
      <c r="O612" s="66"/>
      <c r="P612" s="468">
        <v>40358.5</v>
      </c>
    </row>
    <row r="613" spans="1:16">
      <c r="A613" s="714" t="s">
        <v>4526</v>
      </c>
      <c r="B613" s="116"/>
      <c r="C613" s="753"/>
      <c r="D613" s="66"/>
      <c r="E613" s="116"/>
      <c r="F613" s="116"/>
      <c r="G613" s="66"/>
      <c r="H613" s="66"/>
      <c r="I613" s="116"/>
      <c r="J613" s="66"/>
      <c r="K613" s="470"/>
      <c r="L613" s="116"/>
      <c r="M613" s="66"/>
      <c r="N613" s="118" t="s">
        <v>4667</v>
      </c>
      <c r="O613" s="66"/>
      <c r="P613" s="468">
        <v>9254.2450000000008</v>
      </c>
    </row>
    <row r="614" spans="1:16">
      <c r="A614" s="714" t="s">
        <v>4526</v>
      </c>
      <c r="B614" s="116"/>
      <c r="C614" s="753"/>
      <c r="D614" s="66"/>
      <c r="E614" s="116"/>
      <c r="F614" s="116"/>
      <c r="G614" s="66"/>
      <c r="H614" s="66"/>
      <c r="I614" s="116"/>
      <c r="J614" s="66"/>
      <c r="K614" s="470"/>
      <c r="L614" s="116"/>
      <c r="M614" s="66"/>
      <c r="N614" s="118" t="s">
        <v>4668</v>
      </c>
      <c r="O614" s="66"/>
      <c r="P614" s="468">
        <v>45961.5</v>
      </c>
    </row>
    <row r="615" spans="1:16">
      <c r="A615" s="714" t="s">
        <v>4526</v>
      </c>
      <c r="B615" s="116"/>
      <c r="C615" s="753"/>
      <c r="D615" s="66"/>
      <c r="E615" s="116"/>
      <c r="F615" s="116"/>
      <c r="G615" s="66"/>
      <c r="H615" s="66"/>
      <c r="I615" s="116"/>
      <c r="J615" s="66"/>
      <c r="K615" s="470"/>
      <c r="L615" s="116"/>
      <c r="M615" s="66"/>
      <c r="N615" s="118" t="s">
        <v>4669</v>
      </c>
      <c r="O615" s="66"/>
      <c r="P615" s="468">
        <v>38077</v>
      </c>
    </row>
    <row r="616" spans="1:16" ht="12.75" customHeight="1">
      <c r="A616" s="714" t="s">
        <v>4526</v>
      </c>
      <c r="B616" s="116"/>
      <c r="C616" s="753" t="s">
        <v>4653</v>
      </c>
      <c r="D616" s="66" t="s">
        <v>3834</v>
      </c>
      <c r="E616" s="116">
        <v>2</v>
      </c>
      <c r="F616" s="116"/>
      <c r="G616" s="66" t="s">
        <v>4670</v>
      </c>
      <c r="H616" s="66" t="s">
        <v>4671</v>
      </c>
      <c r="I616" s="116">
        <v>1.5</v>
      </c>
      <c r="J616" s="66" t="s">
        <v>4672</v>
      </c>
      <c r="K616" s="470">
        <v>8440000</v>
      </c>
      <c r="L616" s="116">
        <v>1</v>
      </c>
      <c r="M616" s="66" t="s">
        <v>4345</v>
      </c>
      <c r="N616" s="118" t="s">
        <v>4534</v>
      </c>
      <c r="O616" s="66" t="s">
        <v>4658</v>
      </c>
      <c r="P616" s="468">
        <v>23248</v>
      </c>
    </row>
    <row r="617" spans="1:16">
      <c r="A617" s="714" t="s">
        <v>4526</v>
      </c>
      <c r="B617" s="116"/>
      <c r="C617" s="753"/>
      <c r="D617" s="66"/>
      <c r="E617" s="116"/>
      <c r="F617" s="116"/>
      <c r="G617" s="66"/>
      <c r="H617" s="66"/>
      <c r="I617" s="116"/>
      <c r="J617" s="66"/>
      <c r="K617" s="470"/>
      <c r="L617" s="116"/>
      <c r="M617" s="66"/>
      <c r="N617" s="118" t="s">
        <v>4673</v>
      </c>
      <c r="O617" s="66"/>
      <c r="P617" s="468">
        <v>17920</v>
      </c>
    </row>
    <row r="618" spans="1:16">
      <c r="A618" s="714" t="s">
        <v>4526</v>
      </c>
      <c r="B618" s="116"/>
      <c r="C618" s="753"/>
      <c r="D618" s="66"/>
      <c r="E618" s="116"/>
      <c r="F618" s="116"/>
      <c r="G618" s="66"/>
      <c r="H618" s="66"/>
      <c r="I618" s="116"/>
      <c r="J618" s="66"/>
      <c r="K618" s="470"/>
      <c r="L618" s="116"/>
      <c r="M618" s="66"/>
      <c r="N618" s="118" t="s">
        <v>4534</v>
      </c>
      <c r="O618" s="66"/>
      <c r="P618" s="468">
        <v>19840</v>
      </c>
    </row>
    <row r="619" spans="1:16" ht="12.75" customHeight="1">
      <c r="A619" s="714" t="s">
        <v>4358</v>
      </c>
      <c r="B619" s="116" t="s">
        <v>2057</v>
      </c>
      <c r="C619" s="753" t="s">
        <v>2057</v>
      </c>
      <c r="D619" s="66" t="s">
        <v>4674</v>
      </c>
      <c r="E619" s="116">
        <v>1</v>
      </c>
      <c r="F619" s="116"/>
      <c r="G619" s="116" t="s">
        <v>4675</v>
      </c>
      <c r="H619" s="116" t="s">
        <v>4676</v>
      </c>
      <c r="I619" s="116">
        <v>0.7</v>
      </c>
      <c r="J619" s="66" t="s">
        <v>4677</v>
      </c>
      <c r="K619" s="470">
        <v>1260000</v>
      </c>
      <c r="L619" s="116">
        <v>1</v>
      </c>
      <c r="M619" s="66" t="s">
        <v>4345</v>
      </c>
      <c r="N619" s="118" t="s">
        <v>4534</v>
      </c>
      <c r="O619" s="66" t="s">
        <v>4658</v>
      </c>
      <c r="P619" s="468">
        <v>43590</v>
      </c>
    </row>
    <row r="620" spans="1:16">
      <c r="A620" s="714" t="s">
        <v>4358</v>
      </c>
      <c r="B620" s="116"/>
      <c r="C620" s="753"/>
      <c r="D620" s="66"/>
      <c r="E620" s="116"/>
      <c r="F620" s="116"/>
      <c r="G620" s="116"/>
      <c r="H620" s="116"/>
      <c r="I620" s="116"/>
      <c r="J620" s="66"/>
      <c r="K620" s="470"/>
      <c r="L620" s="116"/>
      <c r="M620" s="66"/>
      <c r="N620" s="118" t="s">
        <v>4678</v>
      </c>
      <c r="O620" s="66"/>
      <c r="P620" s="468">
        <v>7000</v>
      </c>
    </row>
    <row r="621" spans="1:16" ht="12.75" customHeight="1">
      <c r="A621" s="714" t="s">
        <v>4358</v>
      </c>
      <c r="B621" s="116" t="s">
        <v>2057</v>
      </c>
      <c r="C621" s="753" t="s">
        <v>2057</v>
      </c>
      <c r="D621" s="66" t="s">
        <v>4679</v>
      </c>
      <c r="E621" s="116">
        <v>1</v>
      </c>
      <c r="F621" s="116"/>
      <c r="G621" s="66" t="s">
        <v>4680</v>
      </c>
      <c r="H621" s="66" t="s">
        <v>4681</v>
      </c>
      <c r="I621" s="116">
        <v>0.7</v>
      </c>
      <c r="J621" s="66" t="s">
        <v>4682</v>
      </c>
      <c r="K621" s="470">
        <v>1500000</v>
      </c>
      <c r="L621" s="116">
        <v>1</v>
      </c>
      <c r="M621" s="66" t="s">
        <v>4345</v>
      </c>
      <c r="N621" s="118" t="s">
        <v>4683</v>
      </c>
      <c r="O621" s="66" t="s">
        <v>4658</v>
      </c>
      <c r="P621" s="468">
        <v>85740</v>
      </c>
    </row>
    <row r="622" spans="1:16">
      <c r="A622" s="714" t="s">
        <v>4358</v>
      </c>
      <c r="B622" s="116"/>
      <c r="C622" s="753"/>
      <c r="D622" s="66"/>
      <c r="E622" s="116"/>
      <c r="F622" s="116"/>
      <c r="G622" s="66"/>
      <c r="H622" s="66"/>
      <c r="I622" s="116"/>
      <c r="J622" s="66"/>
      <c r="K622" s="470"/>
      <c r="L622" s="116"/>
      <c r="M622" s="66"/>
      <c r="N622" s="118" t="s">
        <v>4684</v>
      </c>
      <c r="O622" s="66"/>
      <c r="P622" s="468">
        <v>85920</v>
      </c>
    </row>
    <row r="623" spans="1:16">
      <c r="A623" s="714" t="s">
        <v>4358</v>
      </c>
      <c r="B623" s="116"/>
      <c r="C623" s="753"/>
      <c r="D623" s="66"/>
      <c r="E623" s="116"/>
      <c r="F623" s="116"/>
      <c r="G623" s="66"/>
      <c r="H623" s="66"/>
      <c r="I623" s="116"/>
      <c r="J623" s="66"/>
      <c r="K623" s="470"/>
      <c r="L623" s="116"/>
      <c r="M623" s="66"/>
      <c r="N623" s="118" t="s">
        <v>4685</v>
      </c>
      <c r="O623" s="66"/>
      <c r="P623" s="468">
        <v>28640</v>
      </c>
    </row>
    <row r="624" spans="1:16">
      <c r="A624" s="714" t="s">
        <v>4358</v>
      </c>
      <c r="B624" s="116"/>
      <c r="C624" s="753"/>
      <c r="D624" s="66"/>
      <c r="E624" s="116"/>
      <c r="F624" s="116"/>
      <c r="G624" s="66"/>
      <c r="H624" s="66"/>
      <c r="I624" s="116"/>
      <c r="J624" s="66"/>
      <c r="K624" s="470"/>
      <c r="L624" s="116"/>
      <c r="M624" s="66"/>
      <c r="N624" s="118" t="s">
        <v>4686</v>
      </c>
      <c r="O624" s="66"/>
      <c r="P624" s="468">
        <v>13500</v>
      </c>
    </row>
    <row r="625" spans="1:16">
      <c r="A625" s="714" t="s">
        <v>4358</v>
      </c>
      <c r="B625" s="116"/>
      <c r="C625" s="753"/>
      <c r="D625" s="66"/>
      <c r="E625" s="116"/>
      <c r="F625" s="116"/>
      <c r="G625" s="66"/>
      <c r="H625" s="66"/>
      <c r="I625" s="116"/>
      <c r="J625" s="66"/>
      <c r="K625" s="470"/>
      <c r="L625" s="116"/>
      <c r="M625" s="66"/>
      <c r="N625" s="118" t="s">
        <v>4687</v>
      </c>
      <c r="O625" s="66"/>
      <c r="P625" s="468">
        <v>15550</v>
      </c>
    </row>
    <row r="626" spans="1:16">
      <c r="A626" s="714" t="s">
        <v>4358</v>
      </c>
      <c r="B626" s="116"/>
      <c r="C626" s="753"/>
      <c r="D626" s="66"/>
      <c r="E626" s="116"/>
      <c r="F626" s="116"/>
      <c r="G626" s="66"/>
      <c r="H626" s="66"/>
      <c r="I626" s="116"/>
      <c r="J626" s="66"/>
      <c r="K626" s="470"/>
      <c r="L626" s="116"/>
      <c r="M626" s="66"/>
      <c r="N626" s="118" t="s">
        <v>4688</v>
      </c>
      <c r="O626" s="66"/>
      <c r="P626" s="468">
        <v>12300</v>
      </c>
    </row>
    <row r="627" spans="1:16">
      <c r="A627" s="714" t="s">
        <v>4358</v>
      </c>
      <c r="B627" s="116"/>
      <c r="C627" s="753"/>
      <c r="D627" s="66"/>
      <c r="E627" s="116"/>
      <c r="F627" s="116"/>
      <c r="G627" s="66"/>
      <c r="H627" s="66"/>
      <c r="I627" s="116"/>
      <c r="J627" s="66"/>
      <c r="K627" s="470"/>
      <c r="L627" s="116"/>
      <c r="M627" s="66"/>
      <c r="N627" s="118" t="s">
        <v>4689</v>
      </c>
      <c r="O627" s="66"/>
      <c r="P627" s="468">
        <v>4800</v>
      </c>
    </row>
    <row r="628" spans="1:16">
      <c r="A628" s="714" t="s">
        <v>4358</v>
      </c>
      <c r="B628" s="116"/>
      <c r="C628" s="753"/>
      <c r="D628" s="66"/>
      <c r="E628" s="116"/>
      <c r="F628" s="116"/>
      <c r="G628" s="66"/>
      <c r="H628" s="66"/>
      <c r="I628" s="116"/>
      <c r="J628" s="66"/>
      <c r="K628" s="470"/>
      <c r="L628" s="116"/>
      <c r="M628" s="66"/>
      <c r="N628" s="118" t="s">
        <v>4690</v>
      </c>
      <c r="O628" s="66"/>
      <c r="P628" s="468">
        <v>2000</v>
      </c>
    </row>
    <row r="629" spans="1:16">
      <c r="A629" s="714" t="s">
        <v>4358</v>
      </c>
      <c r="B629" s="116"/>
      <c r="C629" s="753"/>
      <c r="D629" s="66"/>
      <c r="E629" s="116"/>
      <c r="F629" s="116"/>
      <c r="G629" s="66"/>
      <c r="H629" s="66"/>
      <c r="I629" s="116"/>
      <c r="J629" s="66"/>
      <c r="K629" s="470"/>
      <c r="L629" s="116"/>
      <c r="M629" s="66"/>
      <c r="N629" s="118" t="s">
        <v>4691</v>
      </c>
      <c r="O629" s="66"/>
      <c r="P629" s="468">
        <v>6400</v>
      </c>
    </row>
    <row r="630" spans="1:16">
      <c r="A630" s="714" t="s">
        <v>4358</v>
      </c>
      <c r="B630" s="116"/>
      <c r="C630" s="753"/>
      <c r="D630" s="66"/>
      <c r="E630" s="116"/>
      <c r="F630" s="116"/>
      <c r="G630" s="66"/>
      <c r="H630" s="66"/>
      <c r="I630" s="116"/>
      <c r="J630" s="66"/>
      <c r="K630" s="470"/>
      <c r="L630" s="116"/>
      <c r="M630" s="66"/>
      <c r="N630" s="118" t="s">
        <v>4692</v>
      </c>
      <c r="O630" s="66"/>
      <c r="P630" s="468">
        <v>7200</v>
      </c>
    </row>
    <row r="631" spans="1:16">
      <c r="A631" s="714" t="s">
        <v>4358</v>
      </c>
      <c r="B631" s="116"/>
      <c r="C631" s="753"/>
      <c r="D631" s="66"/>
      <c r="E631" s="116"/>
      <c r="F631" s="116"/>
      <c r="G631" s="66"/>
      <c r="H631" s="66"/>
      <c r="I631" s="116"/>
      <c r="J631" s="66"/>
      <c r="K631" s="470"/>
      <c r="L631" s="116"/>
      <c r="M631" s="66"/>
      <c r="N631" s="118" t="s">
        <v>4693</v>
      </c>
      <c r="O631" s="66"/>
      <c r="P631" s="468">
        <v>10800</v>
      </c>
    </row>
    <row r="632" spans="1:16">
      <c r="A632" s="714" t="s">
        <v>4358</v>
      </c>
      <c r="B632" s="116"/>
      <c r="C632" s="753"/>
      <c r="D632" s="66"/>
      <c r="E632" s="116"/>
      <c r="F632" s="116"/>
      <c r="G632" s="66"/>
      <c r="H632" s="66"/>
      <c r="I632" s="116"/>
      <c r="J632" s="66"/>
      <c r="K632" s="470"/>
      <c r="L632" s="116"/>
      <c r="M632" s="66"/>
      <c r="N632" s="118" t="s">
        <v>4694</v>
      </c>
      <c r="O632" s="66"/>
      <c r="P632" s="468">
        <v>6500</v>
      </c>
    </row>
    <row r="633" spans="1:16" ht="12.75" customHeight="1">
      <c r="A633" s="714" t="s">
        <v>4358</v>
      </c>
      <c r="B633" s="116" t="s">
        <v>2057</v>
      </c>
      <c r="C633" s="753" t="s">
        <v>2057</v>
      </c>
      <c r="D633" s="66" t="s">
        <v>4695</v>
      </c>
      <c r="E633" s="116">
        <v>1</v>
      </c>
      <c r="F633" s="116"/>
      <c r="G633" s="116" t="s">
        <v>4696</v>
      </c>
      <c r="H633" s="116" t="s">
        <v>4697</v>
      </c>
      <c r="I633" s="116">
        <v>1</v>
      </c>
      <c r="J633" s="66" t="s">
        <v>4682</v>
      </c>
      <c r="K633" s="470">
        <v>200000</v>
      </c>
      <c r="L633" s="116">
        <v>1</v>
      </c>
      <c r="M633" s="66" t="s">
        <v>4345</v>
      </c>
      <c r="N633" s="118" t="s">
        <v>4534</v>
      </c>
      <c r="O633" s="66" t="s">
        <v>4658</v>
      </c>
      <c r="P633" s="468">
        <v>1291.5555555555557</v>
      </c>
    </row>
    <row r="634" spans="1:16">
      <c r="A634" s="714" t="s">
        <v>4358</v>
      </c>
      <c r="B634" s="116"/>
      <c r="C634" s="753"/>
      <c r="D634" s="66"/>
      <c r="E634" s="116"/>
      <c r="F634" s="116"/>
      <c r="G634" s="116"/>
      <c r="H634" s="116"/>
      <c r="I634" s="116"/>
      <c r="J634" s="66"/>
      <c r="K634" s="470"/>
      <c r="L634" s="116"/>
      <c r="M634" s="66"/>
      <c r="N634" s="118" t="s">
        <v>4534</v>
      </c>
      <c r="O634" s="66"/>
      <c r="P634" s="468">
        <v>497.77777777777777</v>
      </c>
    </row>
    <row r="635" spans="1:16">
      <c r="A635" s="714" t="s">
        <v>4358</v>
      </c>
      <c r="B635" s="116"/>
      <c r="C635" s="753"/>
      <c r="D635" s="66"/>
      <c r="E635" s="116"/>
      <c r="F635" s="116"/>
      <c r="G635" s="116"/>
      <c r="H635" s="116"/>
      <c r="I635" s="116"/>
      <c r="J635" s="66"/>
      <c r="K635" s="470"/>
      <c r="L635" s="116"/>
      <c r="M635" s="66"/>
      <c r="N635" s="118" t="s">
        <v>4534</v>
      </c>
      <c r="O635" s="66"/>
      <c r="P635" s="468">
        <v>551.11111111111109</v>
      </c>
    </row>
    <row r="636" spans="1:16">
      <c r="A636" s="714" t="s">
        <v>4358</v>
      </c>
      <c r="B636" s="116"/>
      <c r="C636" s="753"/>
      <c r="D636" s="66"/>
      <c r="E636" s="116"/>
      <c r="F636" s="116"/>
      <c r="G636" s="116"/>
      <c r="H636" s="116"/>
      <c r="I636" s="116"/>
      <c r="J636" s="66"/>
      <c r="K636" s="470"/>
      <c r="L636" s="116"/>
      <c r="M636" s="66"/>
      <c r="N636" s="118" t="s">
        <v>4698</v>
      </c>
      <c r="O636" s="66"/>
      <c r="P636" s="468">
        <v>26666.666666666668</v>
      </c>
    </row>
    <row r="637" spans="1:16" ht="12.75" customHeight="1">
      <c r="A637" s="780" t="s">
        <v>4699</v>
      </c>
      <c r="B637" s="184" t="s">
        <v>4700</v>
      </c>
      <c r="C637" s="749" t="s">
        <v>4701</v>
      </c>
      <c r="D637" s="75" t="s">
        <v>3788</v>
      </c>
      <c r="E637" s="184">
        <v>11</v>
      </c>
      <c r="F637" s="184" t="s">
        <v>4702</v>
      </c>
      <c r="G637" s="184"/>
      <c r="H637" s="184"/>
      <c r="I637" s="184">
        <v>31.5</v>
      </c>
      <c r="J637" s="75" t="s">
        <v>4703</v>
      </c>
      <c r="K637" s="470">
        <v>6017734</v>
      </c>
      <c r="L637" s="184">
        <v>1</v>
      </c>
      <c r="M637" s="75" t="s">
        <v>4345</v>
      </c>
      <c r="N637" s="183" t="s">
        <v>4704</v>
      </c>
      <c r="O637" s="75" t="s">
        <v>4658</v>
      </c>
      <c r="P637" s="468">
        <v>12100000</v>
      </c>
    </row>
    <row r="638" spans="1:16">
      <c r="A638" s="780" t="s">
        <v>4699</v>
      </c>
      <c r="B638" s="184"/>
      <c r="C638" s="749"/>
      <c r="D638" s="75"/>
      <c r="E638" s="184"/>
      <c r="F638" s="184"/>
      <c r="G638" s="184"/>
      <c r="H638" s="184"/>
      <c r="I638" s="184"/>
      <c r="J638" s="75"/>
      <c r="K638" s="470"/>
      <c r="L638" s="184"/>
      <c r="M638" s="75"/>
      <c r="N638" s="183" t="s">
        <v>4534</v>
      </c>
      <c r="O638" s="75"/>
      <c r="P638" s="468">
        <v>550000</v>
      </c>
    </row>
    <row r="639" spans="1:16">
      <c r="A639" s="780" t="s">
        <v>4699</v>
      </c>
      <c r="B639" s="184"/>
      <c r="C639" s="749"/>
      <c r="D639" s="75"/>
      <c r="E639" s="184"/>
      <c r="F639" s="184"/>
      <c r="G639" s="184"/>
      <c r="H639" s="184"/>
      <c r="I639" s="184"/>
      <c r="J639" s="75"/>
      <c r="K639" s="470"/>
      <c r="L639" s="184"/>
      <c r="M639" s="75"/>
      <c r="N639" s="183" t="s">
        <v>4534</v>
      </c>
      <c r="O639" s="75"/>
      <c r="P639" s="468">
        <v>498300</v>
      </c>
    </row>
    <row r="640" spans="1:16" ht="12.75" customHeight="1">
      <c r="A640" s="714" t="s">
        <v>4705</v>
      </c>
      <c r="B640" s="116" t="s">
        <v>4706</v>
      </c>
      <c r="C640" s="753" t="s">
        <v>4707</v>
      </c>
      <c r="D640" s="66" t="s">
        <v>3754</v>
      </c>
      <c r="E640" s="116">
        <v>4</v>
      </c>
      <c r="F640" s="116">
        <f>3.2+120+130</f>
        <v>253.2</v>
      </c>
      <c r="G640" s="116" t="s">
        <v>4708</v>
      </c>
      <c r="H640" s="66" t="s">
        <v>4709</v>
      </c>
      <c r="I640" s="116">
        <f>25+6+10</f>
        <v>41</v>
      </c>
      <c r="J640" s="66" t="s">
        <v>3756</v>
      </c>
      <c r="K640" s="470">
        <f>30000000+15000000+7000000</f>
        <v>52000000</v>
      </c>
      <c r="L640" s="116">
        <v>1</v>
      </c>
      <c r="M640" s="66" t="s">
        <v>4345</v>
      </c>
      <c r="N640" s="118" t="s">
        <v>4524</v>
      </c>
      <c r="O640" s="66" t="s">
        <v>4658</v>
      </c>
      <c r="P640" s="468">
        <v>3082069.411764706</v>
      </c>
    </row>
    <row r="641" spans="1:16" ht="19.5" customHeight="1">
      <c r="A641" s="714" t="s">
        <v>4705</v>
      </c>
      <c r="B641" s="116"/>
      <c r="C641" s="753"/>
      <c r="D641" s="66"/>
      <c r="E641" s="116"/>
      <c r="F641" s="116"/>
      <c r="G641" s="116"/>
      <c r="H641" s="66"/>
      <c r="I641" s="116"/>
      <c r="J641" s="66"/>
      <c r="K641" s="470"/>
      <c r="L641" s="116"/>
      <c r="M641" s="66"/>
      <c r="N641" s="118" t="s">
        <v>4524</v>
      </c>
      <c r="O641" s="66"/>
      <c r="P641" s="468">
        <v>2375717.6470588236</v>
      </c>
    </row>
    <row r="642" spans="1:16">
      <c r="A642" s="714" t="s">
        <v>4705</v>
      </c>
      <c r="B642" s="116"/>
      <c r="C642" s="753"/>
      <c r="D642" s="66"/>
      <c r="E642" s="116"/>
      <c r="F642" s="116"/>
      <c r="G642" s="116"/>
      <c r="H642" s="66"/>
      <c r="I642" s="116"/>
      <c r="J642" s="66"/>
      <c r="K642" s="470"/>
      <c r="L642" s="116"/>
      <c r="M642" s="66"/>
      <c r="N642" s="118" t="s">
        <v>4524</v>
      </c>
      <c r="O642" s="66"/>
      <c r="P642" s="468">
        <v>2969647.0588235296</v>
      </c>
    </row>
    <row r="643" spans="1:16" ht="33.75">
      <c r="A643" s="714" t="s">
        <v>4705</v>
      </c>
      <c r="B643" s="116"/>
      <c r="C643" s="753" t="s">
        <v>4710</v>
      </c>
      <c r="D643" s="66" t="s">
        <v>3891</v>
      </c>
      <c r="E643" s="116">
        <v>7</v>
      </c>
      <c r="F643" s="116">
        <v>242</v>
      </c>
      <c r="G643" s="116" t="s">
        <v>4708</v>
      </c>
      <c r="H643" s="119" t="s">
        <v>4709</v>
      </c>
      <c r="I643" s="116">
        <v>14.5</v>
      </c>
      <c r="J643" s="66" t="s">
        <v>3756</v>
      </c>
      <c r="K643" s="470">
        <v>9500000</v>
      </c>
      <c r="L643" s="116">
        <v>1</v>
      </c>
      <c r="M643" s="171" t="s">
        <v>4345</v>
      </c>
      <c r="N643" s="118" t="s">
        <v>4200</v>
      </c>
      <c r="O643" s="171" t="s">
        <v>4658</v>
      </c>
      <c r="P643" s="468">
        <v>406840</v>
      </c>
    </row>
    <row r="644" spans="1:16" ht="12.75" customHeight="1">
      <c r="A644" s="221" t="s">
        <v>135</v>
      </c>
      <c r="B644" s="116" t="s">
        <v>4711</v>
      </c>
      <c r="C644" s="753" t="s">
        <v>4712</v>
      </c>
      <c r="D644" s="66" t="s">
        <v>3778</v>
      </c>
      <c r="E644" s="116">
        <v>32</v>
      </c>
      <c r="F644" s="116">
        <v>28.75</v>
      </c>
      <c r="G644" s="66" t="s">
        <v>4713</v>
      </c>
      <c r="H644" s="116">
        <v>625000</v>
      </c>
      <c r="I644" s="116">
        <v>5.2</v>
      </c>
      <c r="J644" s="66" t="s">
        <v>4714</v>
      </c>
      <c r="K644" s="470">
        <v>27375000</v>
      </c>
      <c r="L644" s="116">
        <v>1</v>
      </c>
      <c r="M644" s="66" t="s">
        <v>4345</v>
      </c>
      <c r="N644" s="118" t="s">
        <v>4657</v>
      </c>
      <c r="O644" s="66" t="s">
        <v>4658</v>
      </c>
      <c r="P644" s="468">
        <v>10560000</v>
      </c>
    </row>
    <row r="645" spans="1:16">
      <c r="A645" s="221" t="s">
        <v>135</v>
      </c>
      <c r="B645" s="116"/>
      <c r="C645" s="753"/>
      <c r="D645" s="66"/>
      <c r="E645" s="116"/>
      <c r="F645" s="116"/>
      <c r="G645" s="66"/>
      <c r="H645" s="116"/>
      <c r="I645" s="116"/>
      <c r="J645" s="66"/>
      <c r="K645" s="470"/>
      <c r="L645" s="116"/>
      <c r="M645" s="66"/>
      <c r="N645" s="118" t="s">
        <v>4659</v>
      </c>
      <c r="O645" s="66"/>
      <c r="P645" s="468">
        <v>638673.6</v>
      </c>
    </row>
    <row r="646" spans="1:16">
      <c r="A646" s="221" t="s">
        <v>135</v>
      </c>
      <c r="B646" s="116"/>
      <c r="C646" s="753"/>
      <c r="D646" s="66"/>
      <c r="E646" s="116"/>
      <c r="F646" s="116"/>
      <c r="G646" s="66"/>
      <c r="H646" s="116"/>
      <c r="I646" s="116"/>
      <c r="J646" s="66"/>
      <c r="K646" s="470"/>
      <c r="L646" s="116"/>
      <c r="M646" s="66"/>
      <c r="N646" s="118" t="s">
        <v>4660</v>
      </c>
      <c r="O646" s="66"/>
      <c r="P646" s="468">
        <v>1072800</v>
      </c>
    </row>
    <row r="647" spans="1:16">
      <c r="A647" s="221" t="s">
        <v>135</v>
      </c>
      <c r="B647" s="116"/>
      <c r="C647" s="753"/>
      <c r="D647" s="66"/>
      <c r="E647" s="116"/>
      <c r="F647" s="116"/>
      <c r="G647" s="66"/>
      <c r="H647" s="116"/>
      <c r="I647" s="116"/>
      <c r="J647" s="66"/>
      <c r="K647" s="470"/>
      <c r="L647" s="116"/>
      <c r="M647" s="66"/>
      <c r="N647" s="118" t="s">
        <v>4661</v>
      </c>
      <c r="O647" s="66"/>
      <c r="P647" s="468">
        <v>1183680</v>
      </c>
    </row>
    <row r="648" spans="1:16">
      <c r="A648" s="221" t="s">
        <v>135</v>
      </c>
      <c r="B648" s="116"/>
      <c r="C648" s="753"/>
      <c r="D648" s="66"/>
      <c r="E648" s="116"/>
      <c r="F648" s="116"/>
      <c r="G648" s="66"/>
      <c r="H648" s="116"/>
      <c r="I648" s="116"/>
      <c r="J648" s="66"/>
      <c r="K648" s="470"/>
      <c r="L648" s="116"/>
      <c r="M648" s="66"/>
      <c r="N648" s="118" t="s">
        <v>4662</v>
      </c>
      <c r="O648" s="66"/>
      <c r="P648" s="468">
        <v>412560</v>
      </c>
    </row>
    <row r="649" spans="1:16">
      <c r="A649" s="221" t="s">
        <v>135</v>
      </c>
      <c r="B649" s="116"/>
      <c r="C649" s="753"/>
      <c r="D649" s="66"/>
      <c r="E649" s="116"/>
      <c r="F649" s="116"/>
      <c r="G649" s="66"/>
      <c r="H649" s="116"/>
      <c r="I649" s="116"/>
      <c r="J649" s="66"/>
      <c r="K649" s="470"/>
      <c r="L649" s="116"/>
      <c r="M649" s="66"/>
      <c r="N649" s="118" t="s">
        <v>4663</v>
      </c>
      <c r="O649" s="66"/>
      <c r="P649" s="468">
        <v>101916.32</v>
      </c>
    </row>
    <row r="650" spans="1:16">
      <c r="A650" s="221" t="s">
        <v>135</v>
      </c>
      <c r="B650" s="116"/>
      <c r="C650" s="753"/>
      <c r="D650" s="66"/>
      <c r="E650" s="116"/>
      <c r="F650" s="116"/>
      <c r="G650" s="66"/>
      <c r="H650" s="116"/>
      <c r="I650" s="116"/>
      <c r="J650" s="66"/>
      <c r="K650" s="470"/>
      <c r="L650" s="116"/>
      <c r="M650" s="66"/>
      <c r="N650" s="118" t="s">
        <v>4664</v>
      </c>
      <c r="O650" s="66"/>
      <c r="P650" s="468">
        <v>91168</v>
      </c>
    </row>
    <row r="651" spans="1:16">
      <c r="A651" s="221" t="s">
        <v>135</v>
      </c>
      <c r="B651" s="116"/>
      <c r="C651" s="753"/>
      <c r="D651" s="66"/>
      <c r="E651" s="116"/>
      <c r="F651" s="116"/>
      <c r="G651" s="66"/>
      <c r="H651" s="116"/>
      <c r="I651" s="116"/>
      <c r="J651" s="66"/>
      <c r="K651" s="470"/>
      <c r="L651" s="116"/>
      <c r="M651" s="66"/>
      <c r="N651" s="118" t="s">
        <v>4665</v>
      </c>
      <c r="O651" s="66"/>
      <c r="P651" s="468">
        <v>69504</v>
      </c>
    </row>
    <row r="652" spans="1:16">
      <c r="A652" s="221" t="s">
        <v>135</v>
      </c>
      <c r="B652" s="116"/>
      <c r="C652" s="753"/>
      <c r="D652" s="66"/>
      <c r="E652" s="116"/>
      <c r="F652" s="116"/>
      <c r="G652" s="66"/>
      <c r="H652" s="116"/>
      <c r="I652" s="116"/>
      <c r="J652" s="66"/>
      <c r="K652" s="470"/>
      <c r="L652" s="116"/>
      <c r="M652" s="66"/>
      <c r="N652" s="118" t="s">
        <v>4666</v>
      </c>
      <c r="O652" s="66"/>
      <c r="P652" s="468">
        <v>99344</v>
      </c>
    </row>
    <row r="653" spans="1:16">
      <c r="A653" s="221" t="s">
        <v>135</v>
      </c>
      <c r="B653" s="116"/>
      <c r="C653" s="753"/>
      <c r="D653" s="66"/>
      <c r="E653" s="116"/>
      <c r="F653" s="116"/>
      <c r="G653" s="66"/>
      <c r="H653" s="116"/>
      <c r="I653" s="116"/>
      <c r="J653" s="66"/>
      <c r="K653" s="470"/>
      <c r="L653" s="116"/>
      <c r="M653" s="66"/>
      <c r="N653" s="118" t="s">
        <v>4667</v>
      </c>
      <c r="O653" s="66"/>
      <c r="P653" s="468">
        <v>22779.68</v>
      </c>
    </row>
    <row r="654" spans="1:16">
      <c r="A654" s="221" t="s">
        <v>135</v>
      </c>
      <c r="B654" s="116"/>
      <c r="C654" s="753"/>
      <c r="D654" s="66"/>
      <c r="E654" s="116"/>
      <c r="F654" s="116"/>
      <c r="G654" s="66"/>
      <c r="H654" s="116"/>
      <c r="I654" s="116"/>
      <c r="J654" s="66"/>
      <c r="K654" s="470"/>
      <c r="L654" s="116"/>
      <c r="M654" s="66"/>
      <c r="N654" s="118" t="s">
        <v>4668</v>
      </c>
      <c r="O654" s="66"/>
      <c r="P654" s="468">
        <v>113136</v>
      </c>
    </row>
    <row r="655" spans="1:16">
      <c r="A655" s="221" t="s">
        <v>135</v>
      </c>
      <c r="B655" s="116"/>
      <c r="C655" s="753"/>
      <c r="D655" s="66"/>
      <c r="E655" s="116"/>
      <c r="F655" s="116"/>
      <c r="G655" s="66"/>
      <c r="H655" s="116"/>
      <c r="I655" s="116"/>
      <c r="J655" s="66"/>
      <c r="K655" s="470"/>
      <c r="L655" s="116"/>
      <c r="M655" s="66"/>
      <c r="N655" s="118" t="s">
        <v>4669</v>
      </c>
      <c r="O655" s="66"/>
      <c r="P655" s="468">
        <v>93728</v>
      </c>
    </row>
    <row r="656" spans="1:16" ht="12.75" customHeight="1">
      <c r="A656" s="221" t="s">
        <v>135</v>
      </c>
      <c r="B656" s="116"/>
      <c r="C656" s="753" t="s">
        <v>2089</v>
      </c>
      <c r="D656" s="66" t="s">
        <v>3824</v>
      </c>
      <c r="E656" s="116">
        <v>1</v>
      </c>
      <c r="F656" s="116"/>
      <c r="G656" s="116"/>
      <c r="H656" s="116"/>
      <c r="I656" s="116"/>
      <c r="J656" s="66" t="s">
        <v>4715</v>
      </c>
      <c r="K656" s="470">
        <v>300000</v>
      </c>
      <c r="L656" s="116">
        <v>1</v>
      </c>
      <c r="M656" s="66" t="s">
        <v>4345</v>
      </c>
      <c r="N656" s="118" t="s">
        <v>4534</v>
      </c>
      <c r="O656" s="66" t="s">
        <v>4658</v>
      </c>
      <c r="P656" s="468">
        <v>37200</v>
      </c>
    </row>
    <row r="657" spans="1:16">
      <c r="A657" s="221" t="s">
        <v>135</v>
      </c>
      <c r="B657" s="116"/>
      <c r="C657" s="753"/>
      <c r="D657" s="66"/>
      <c r="E657" s="116"/>
      <c r="F657" s="116"/>
      <c r="G657" s="116"/>
      <c r="H657" s="116"/>
      <c r="I657" s="116"/>
      <c r="J657" s="66"/>
      <c r="K657" s="470"/>
      <c r="L657" s="116"/>
      <c r="M657" s="66"/>
      <c r="N657" s="118" t="s">
        <v>4534</v>
      </c>
      <c r="O657" s="66"/>
      <c r="P657" s="468">
        <v>22400</v>
      </c>
    </row>
    <row r="658" spans="1:16" ht="58.5" customHeight="1">
      <c r="A658" s="221" t="s">
        <v>135</v>
      </c>
      <c r="B658" s="116"/>
      <c r="C658" s="749" t="s">
        <v>2089</v>
      </c>
      <c r="D658" s="75" t="s">
        <v>4716</v>
      </c>
      <c r="E658" s="184">
        <v>1</v>
      </c>
      <c r="F658" s="139"/>
      <c r="G658" s="139"/>
      <c r="H658" s="139"/>
      <c r="I658" s="184">
        <v>7.0000000000000007E-2</v>
      </c>
      <c r="J658" s="75" t="s">
        <v>4717</v>
      </c>
      <c r="K658" s="470">
        <v>225000</v>
      </c>
      <c r="L658" s="184"/>
      <c r="M658" s="185"/>
      <c r="N658" s="183"/>
      <c r="O658" s="185"/>
      <c r="P658" s="468"/>
    </row>
    <row r="659" spans="1:16" ht="12.75" customHeight="1">
      <c r="A659" s="221" t="s">
        <v>135</v>
      </c>
      <c r="B659" s="116"/>
      <c r="C659" s="753" t="s">
        <v>2089</v>
      </c>
      <c r="D659" s="66" t="s">
        <v>4718</v>
      </c>
      <c r="E659" s="116">
        <v>2</v>
      </c>
      <c r="F659" s="116"/>
      <c r="G659" s="116"/>
      <c r="H659" s="116"/>
      <c r="I659" s="116"/>
      <c r="J659" s="66" t="s">
        <v>4715</v>
      </c>
      <c r="K659" s="470">
        <v>190000</v>
      </c>
      <c r="L659" s="116">
        <v>1</v>
      </c>
      <c r="M659" s="66" t="s">
        <v>4345</v>
      </c>
      <c r="N659" s="118" t="s">
        <v>4534</v>
      </c>
      <c r="O659" s="66" t="s">
        <v>4658</v>
      </c>
      <c r="P659" s="468">
        <v>2583.1111111111113</v>
      </c>
    </row>
    <row r="660" spans="1:16">
      <c r="A660" s="221" t="s">
        <v>135</v>
      </c>
      <c r="B660" s="116"/>
      <c r="C660" s="753"/>
      <c r="D660" s="66"/>
      <c r="E660" s="116"/>
      <c r="F660" s="116"/>
      <c r="G660" s="116"/>
      <c r="H660" s="116"/>
      <c r="I660" s="116"/>
      <c r="J660" s="66"/>
      <c r="K660" s="470"/>
      <c r="L660" s="116"/>
      <c r="M660" s="66"/>
      <c r="N660" s="118" t="s">
        <v>4534</v>
      </c>
      <c r="O660" s="66"/>
      <c r="P660" s="468">
        <v>995.55555555555554</v>
      </c>
    </row>
    <row r="661" spans="1:16">
      <c r="A661" s="221" t="s">
        <v>135</v>
      </c>
      <c r="B661" s="116"/>
      <c r="C661" s="753"/>
      <c r="D661" s="66"/>
      <c r="E661" s="116"/>
      <c r="F661" s="116"/>
      <c r="G661" s="116"/>
      <c r="H661" s="116"/>
      <c r="I661" s="116"/>
      <c r="J661" s="66"/>
      <c r="K661" s="470"/>
      <c r="L661" s="116"/>
      <c r="M661" s="66"/>
      <c r="N661" s="118" t="s">
        <v>4534</v>
      </c>
      <c r="O661" s="66"/>
      <c r="P661" s="468">
        <v>1102.2222222222222</v>
      </c>
    </row>
    <row r="662" spans="1:16">
      <c r="A662" s="221" t="s">
        <v>135</v>
      </c>
      <c r="B662" s="116"/>
      <c r="C662" s="753"/>
      <c r="D662" s="66"/>
      <c r="E662" s="116"/>
      <c r="F662" s="116"/>
      <c r="G662" s="116"/>
      <c r="H662" s="116"/>
      <c r="I662" s="116"/>
      <c r="J662" s="66"/>
      <c r="K662" s="470"/>
      <c r="L662" s="116"/>
      <c r="M662" s="66"/>
      <c r="N662" s="118" t="s">
        <v>4698</v>
      </c>
      <c r="O662" s="66"/>
      <c r="P662" s="468">
        <v>53333.333333333336</v>
      </c>
    </row>
    <row r="663" spans="1:16" ht="12.6" customHeight="1">
      <c r="A663" s="221" t="s">
        <v>135</v>
      </c>
      <c r="B663" s="116"/>
      <c r="C663" s="753" t="s">
        <v>4719</v>
      </c>
      <c r="D663" s="66" t="s">
        <v>4720</v>
      </c>
      <c r="E663" s="116">
        <v>23</v>
      </c>
      <c r="F663" s="116">
        <v>22.38</v>
      </c>
      <c r="G663" s="66" t="s">
        <v>4721</v>
      </c>
      <c r="H663" s="116">
        <v>9286000</v>
      </c>
      <c r="I663" s="116">
        <v>3.9</v>
      </c>
      <c r="J663" s="66" t="s">
        <v>4722</v>
      </c>
      <c r="K663" s="470">
        <v>14609561</v>
      </c>
      <c r="L663" s="116">
        <v>1</v>
      </c>
      <c r="M663" s="66" t="s">
        <v>4345</v>
      </c>
      <c r="N663" s="118" t="s">
        <v>4534</v>
      </c>
      <c r="O663" s="66" t="s">
        <v>4658</v>
      </c>
      <c r="P663" s="468">
        <v>267352</v>
      </c>
    </row>
    <row r="664" spans="1:16" ht="19.5" customHeight="1">
      <c r="A664" s="221" t="s">
        <v>135</v>
      </c>
      <c r="B664" s="116"/>
      <c r="C664" s="753"/>
      <c r="D664" s="66"/>
      <c r="E664" s="116"/>
      <c r="F664" s="116"/>
      <c r="G664" s="66"/>
      <c r="H664" s="116"/>
      <c r="I664" s="116"/>
      <c r="J664" s="66"/>
      <c r="K664" s="470"/>
      <c r="L664" s="116"/>
      <c r="M664" s="66"/>
      <c r="N664" s="118" t="s">
        <v>4673</v>
      </c>
      <c r="O664" s="66"/>
      <c r="P664" s="468">
        <v>206080</v>
      </c>
    </row>
    <row r="665" spans="1:16">
      <c r="A665" s="221" t="s">
        <v>135</v>
      </c>
      <c r="B665" s="116"/>
      <c r="C665" s="753"/>
      <c r="D665" s="66"/>
      <c r="E665" s="116"/>
      <c r="F665" s="116"/>
      <c r="G665" s="66"/>
      <c r="H665" s="116"/>
      <c r="I665" s="116"/>
      <c r="J665" s="66"/>
      <c r="K665" s="470"/>
      <c r="L665" s="116"/>
      <c r="M665" s="66"/>
      <c r="N665" s="118" t="s">
        <v>4534</v>
      </c>
      <c r="O665" s="66"/>
      <c r="P665" s="468">
        <v>228160</v>
      </c>
    </row>
    <row r="666" spans="1:16" ht="17.45" customHeight="1">
      <c r="A666" s="221" t="s">
        <v>135</v>
      </c>
      <c r="B666" s="116"/>
      <c r="C666" s="753" t="s">
        <v>4723</v>
      </c>
      <c r="D666" s="66" t="s">
        <v>4724</v>
      </c>
      <c r="E666" s="116">
        <v>10</v>
      </c>
      <c r="F666" s="116">
        <v>4.5999999999999996</v>
      </c>
      <c r="G666" s="66"/>
      <c r="H666" s="116"/>
      <c r="I666" s="116">
        <v>11.8</v>
      </c>
      <c r="J666" s="66" t="s">
        <v>4725</v>
      </c>
      <c r="K666" s="470">
        <v>4610000</v>
      </c>
      <c r="L666" s="116">
        <v>1</v>
      </c>
      <c r="M666" s="66" t="s">
        <v>4345</v>
      </c>
      <c r="N666" s="118" t="s">
        <v>4534</v>
      </c>
      <c r="O666" s="66" t="s">
        <v>4658</v>
      </c>
      <c r="P666" s="468">
        <v>435900</v>
      </c>
    </row>
    <row r="667" spans="1:16" ht="26.45" customHeight="1">
      <c r="A667" s="221" t="s">
        <v>135</v>
      </c>
      <c r="B667" s="116"/>
      <c r="C667" s="753"/>
      <c r="D667" s="66"/>
      <c r="E667" s="116"/>
      <c r="F667" s="116"/>
      <c r="G667" s="66"/>
      <c r="H667" s="116"/>
      <c r="I667" s="116"/>
      <c r="J667" s="66"/>
      <c r="K667" s="470"/>
      <c r="L667" s="116"/>
      <c r="M667" s="66"/>
      <c r="N667" s="118" t="s">
        <v>4678</v>
      </c>
      <c r="O667" s="66"/>
      <c r="P667" s="468">
        <v>70000</v>
      </c>
    </row>
    <row r="668" spans="1:16" ht="12.75" customHeight="1">
      <c r="A668" s="221" t="s">
        <v>135</v>
      </c>
      <c r="B668" s="116" t="s">
        <v>4726</v>
      </c>
      <c r="C668" s="753" t="s">
        <v>1009</v>
      </c>
      <c r="D668" s="66" t="s">
        <v>4727</v>
      </c>
      <c r="E668" s="116">
        <v>1</v>
      </c>
      <c r="F668" s="116"/>
      <c r="G668" s="116"/>
      <c r="H668" s="116"/>
      <c r="I668" s="116">
        <v>0.2</v>
      </c>
      <c r="J668" s="66" t="s">
        <v>4728</v>
      </c>
      <c r="K668" s="470">
        <v>800000</v>
      </c>
      <c r="L668" s="116">
        <v>1</v>
      </c>
      <c r="M668" s="66" t="s">
        <v>4345</v>
      </c>
      <c r="N668" s="118" t="s">
        <v>4657</v>
      </c>
      <c r="O668" s="66" t="s">
        <v>4658</v>
      </c>
      <c r="P668" s="468">
        <v>330000</v>
      </c>
    </row>
    <row r="669" spans="1:16">
      <c r="A669" s="221" t="s">
        <v>135</v>
      </c>
      <c r="B669" s="116"/>
      <c r="C669" s="753"/>
      <c r="D669" s="66"/>
      <c r="E669" s="116"/>
      <c r="F669" s="116"/>
      <c r="G669" s="116"/>
      <c r="H669" s="116"/>
      <c r="I669" s="116"/>
      <c r="J669" s="66"/>
      <c r="K669" s="470"/>
      <c r="L669" s="116"/>
      <c r="M669" s="66"/>
      <c r="N669" s="118" t="s">
        <v>4659</v>
      </c>
      <c r="O669" s="66"/>
      <c r="P669" s="468">
        <v>19958.55</v>
      </c>
    </row>
    <row r="670" spans="1:16">
      <c r="A670" s="221" t="s">
        <v>135</v>
      </c>
      <c r="B670" s="116"/>
      <c r="C670" s="753"/>
      <c r="D670" s="66"/>
      <c r="E670" s="116"/>
      <c r="F670" s="116"/>
      <c r="G670" s="116"/>
      <c r="H670" s="116"/>
      <c r="I670" s="116"/>
      <c r="J670" s="66"/>
      <c r="K670" s="470"/>
      <c r="L670" s="116"/>
      <c r="M670" s="66"/>
      <c r="N670" s="118" t="s">
        <v>4660</v>
      </c>
      <c r="O670" s="66"/>
      <c r="P670" s="468">
        <v>33525</v>
      </c>
    </row>
    <row r="671" spans="1:16">
      <c r="A671" s="221" t="s">
        <v>135</v>
      </c>
      <c r="B671" s="116"/>
      <c r="C671" s="753"/>
      <c r="D671" s="66"/>
      <c r="E671" s="116"/>
      <c r="F671" s="116"/>
      <c r="G671" s="116"/>
      <c r="H671" s="116"/>
      <c r="I671" s="116"/>
      <c r="J671" s="66"/>
      <c r="K671" s="470"/>
      <c r="L671" s="116"/>
      <c r="M671" s="66"/>
      <c r="N671" s="118" t="s">
        <v>4661</v>
      </c>
      <c r="O671" s="66"/>
      <c r="P671" s="468">
        <v>36990</v>
      </c>
    </row>
    <row r="672" spans="1:16">
      <c r="A672" s="221" t="s">
        <v>135</v>
      </c>
      <c r="B672" s="116"/>
      <c r="C672" s="753"/>
      <c r="D672" s="66"/>
      <c r="E672" s="116"/>
      <c r="F672" s="116"/>
      <c r="G672" s="116"/>
      <c r="H672" s="116"/>
      <c r="I672" s="116"/>
      <c r="J672" s="66"/>
      <c r="K672" s="470"/>
      <c r="L672" s="116"/>
      <c r="M672" s="66"/>
      <c r="N672" s="118" t="s">
        <v>4662</v>
      </c>
      <c r="O672" s="66"/>
      <c r="P672" s="468">
        <v>12892.5</v>
      </c>
    </row>
    <row r="673" spans="1:16">
      <c r="A673" s="221" t="s">
        <v>135</v>
      </c>
      <c r="B673" s="116"/>
      <c r="C673" s="753"/>
      <c r="D673" s="66"/>
      <c r="E673" s="116"/>
      <c r="F673" s="116"/>
      <c r="G673" s="116"/>
      <c r="H673" s="116"/>
      <c r="I673" s="116"/>
      <c r="J673" s="66"/>
      <c r="K673" s="470"/>
      <c r="L673" s="116"/>
      <c r="M673" s="66"/>
      <c r="N673" s="118" t="s">
        <v>4663</v>
      </c>
      <c r="O673" s="66"/>
      <c r="P673" s="468">
        <v>3184.8850000000002</v>
      </c>
    </row>
    <row r="674" spans="1:16">
      <c r="A674" s="221" t="s">
        <v>135</v>
      </c>
      <c r="B674" s="116"/>
      <c r="C674" s="753"/>
      <c r="D674" s="66"/>
      <c r="E674" s="116"/>
      <c r="F674" s="116"/>
      <c r="G674" s="116"/>
      <c r="H674" s="116"/>
      <c r="I674" s="116"/>
      <c r="J674" s="66"/>
      <c r="K674" s="470"/>
      <c r="L674" s="116"/>
      <c r="M674" s="66"/>
      <c r="N674" s="118" t="s">
        <v>4664</v>
      </c>
      <c r="O674" s="66"/>
      <c r="P674" s="468">
        <v>2849</v>
      </c>
    </row>
    <row r="675" spans="1:16">
      <c r="A675" s="221" t="s">
        <v>135</v>
      </c>
      <c r="B675" s="116"/>
      <c r="C675" s="753"/>
      <c r="D675" s="66"/>
      <c r="E675" s="116"/>
      <c r="F675" s="116"/>
      <c r="G675" s="116"/>
      <c r="H675" s="116"/>
      <c r="I675" s="116"/>
      <c r="J675" s="66"/>
      <c r="K675" s="470"/>
      <c r="L675" s="116"/>
      <c r="M675" s="66"/>
      <c r="N675" s="118" t="s">
        <v>4665</v>
      </c>
      <c r="O675" s="66"/>
      <c r="P675" s="468">
        <v>2172</v>
      </c>
    </row>
    <row r="676" spans="1:16">
      <c r="A676" s="221" t="s">
        <v>135</v>
      </c>
      <c r="B676" s="116"/>
      <c r="C676" s="753"/>
      <c r="D676" s="66"/>
      <c r="E676" s="116"/>
      <c r="F676" s="116"/>
      <c r="G676" s="116"/>
      <c r="H676" s="116"/>
      <c r="I676" s="116"/>
      <c r="J676" s="66"/>
      <c r="K676" s="470"/>
      <c r="L676" s="116"/>
      <c r="M676" s="66"/>
      <c r="N676" s="118" t="s">
        <v>4666</v>
      </c>
      <c r="O676" s="66"/>
      <c r="P676" s="468">
        <v>3104.5</v>
      </c>
    </row>
    <row r="677" spans="1:16">
      <c r="A677" s="221" t="s">
        <v>135</v>
      </c>
      <c r="B677" s="116"/>
      <c r="C677" s="753"/>
      <c r="D677" s="66"/>
      <c r="E677" s="116"/>
      <c r="F677" s="116"/>
      <c r="G677" s="116"/>
      <c r="H677" s="116"/>
      <c r="I677" s="116"/>
      <c r="J677" s="66"/>
      <c r="K677" s="470"/>
      <c r="L677" s="116"/>
      <c r="M677" s="66"/>
      <c r="N677" s="118" t="s">
        <v>4667</v>
      </c>
      <c r="O677" s="66"/>
      <c r="P677" s="468">
        <v>711.86500000000001</v>
      </c>
    </row>
    <row r="678" spans="1:16">
      <c r="A678" s="221" t="s">
        <v>135</v>
      </c>
      <c r="B678" s="116"/>
      <c r="C678" s="753"/>
      <c r="D678" s="66"/>
      <c r="E678" s="116"/>
      <c r="F678" s="116"/>
      <c r="G678" s="116"/>
      <c r="H678" s="116"/>
      <c r="I678" s="116"/>
      <c r="J678" s="66"/>
      <c r="K678" s="470"/>
      <c r="L678" s="116"/>
      <c r="M678" s="66"/>
      <c r="N678" s="118" t="s">
        <v>4668</v>
      </c>
      <c r="O678" s="66"/>
      <c r="P678" s="468">
        <v>3535.5</v>
      </c>
    </row>
    <row r="679" spans="1:16">
      <c r="A679" s="221" t="s">
        <v>135</v>
      </c>
      <c r="B679" s="116"/>
      <c r="C679" s="753"/>
      <c r="D679" s="66"/>
      <c r="E679" s="116"/>
      <c r="F679" s="116"/>
      <c r="G679" s="116"/>
      <c r="H679" s="116"/>
      <c r="I679" s="116"/>
      <c r="J679" s="66"/>
      <c r="K679" s="470"/>
      <c r="L679" s="116"/>
      <c r="M679" s="66"/>
      <c r="N679" s="118" t="s">
        <v>4669</v>
      </c>
      <c r="O679" s="66"/>
      <c r="P679" s="468">
        <v>2929</v>
      </c>
    </row>
    <row r="680" spans="1:16" ht="12.75" customHeight="1">
      <c r="A680" s="714" t="s">
        <v>4729</v>
      </c>
      <c r="B680" s="116" t="s">
        <v>3319</v>
      </c>
      <c r="C680" s="753" t="s">
        <v>4730</v>
      </c>
      <c r="D680" s="66" t="s">
        <v>3867</v>
      </c>
      <c r="E680" s="116">
        <v>1</v>
      </c>
      <c r="F680" s="116">
        <v>15</v>
      </c>
      <c r="G680" s="116" t="s">
        <v>4708</v>
      </c>
      <c r="H680" s="66" t="s">
        <v>4731</v>
      </c>
      <c r="I680" s="116">
        <v>3.5</v>
      </c>
      <c r="J680" s="66" t="s">
        <v>3756</v>
      </c>
      <c r="K680" s="470">
        <v>22000000</v>
      </c>
      <c r="L680" s="116">
        <v>1</v>
      </c>
      <c r="M680" s="66" t="s">
        <v>4345</v>
      </c>
      <c r="N680" s="118" t="s">
        <v>4683</v>
      </c>
      <c r="O680" s="66" t="s">
        <v>4658</v>
      </c>
      <c r="P680" s="468">
        <v>85740</v>
      </c>
    </row>
    <row r="681" spans="1:16">
      <c r="A681" s="714" t="s">
        <v>4729</v>
      </c>
      <c r="B681" s="116"/>
      <c r="C681" s="753"/>
      <c r="D681" s="66"/>
      <c r="E681" s="116"/>
      <c r="F681" s="116"/>
      <c r="G681" s="116"/>
      <c r="H681" s="66"/>
      <c r="I681" s="116"/>
      <c r="J681" s="66"/>
      <c r="K681" s="470"/>
      <c r="L681" s="116"/>
      <c r="M681" s="66"/>
      <c r="N681" s="118" t="s">
        <v>4684</v>
      </c>
      <c r="O681" s="66"/>
      <c r="P681" s="468">
        <v>85920</v>
      </c>
    </row>
    <row r="682" spans="1:16">
      <c r="A682" s="714" t="s">
        <v>4729</v>
      </c>
      <c r="B682" s="116"/>
      <c r="C682" s="753"/>
      <c r="D682" s="66"/>
      <c r="E682" s="116"/>
      <c r="F682" s="116"/>
      <c r="G682" s="116"/>
      <c r="H682" s="66"/>
      <c r="I682" s="116"/>
      <c r="J682" s="66"/>
      <c r="K682" s="470"/>
      <c r="L682" s="116"/>
      <c r="M682" s="66"/>
      <c r="N682" s="118" t="s">
        <v>4685</v>
      </c>
      <c r="O682" s="66"/>
      <c r="P682" s="468">
        <v>28640</v>
      </c>
    </row>
    <row r="683" spans="1:16">
      <c r="A683" s="714" t="s">
        <v>4729</v>
      </c>
      <c r="B683" s="116"/>
      <c r="C683" s="753"/>
      <c r="D683" s="66"/>
      <c r="E683" s="116"/>
      <c r="F683" s="116"/>
      <c r="G683" s="116"/>
      <c r="H683" s="66"/>
      <c r="I683" s="116"/>
      <c r="J683" s="66"/>
      <c r="K683" s="470"/>
      <c r="L683" s="116"/>
      <c r="M683" s="66"/>
      <c r="N683" s="118" t="s">
        <v>4687</v>
      </c>
      <c r="O683" s="66"/>
      <c r="P683" s="468">
        <v>13500</v>
      </c>
    </row>
    <row r="684" spans="1:16">
      <c r="A684" s="714" t="s">
        <v>4729</v>
      </c>
      <c r="B684" s="116"/>
      <c r="C684" s="753"/>
      <c r="D684" s="66"/>
      <c r="E684" s="116"/>
      <c r="F684" s="116"/>
      <c r="G684" s="116"/>
      <c r="H684" s="66"/>
      <c r="I684" s="116"/>
      <c r="J684" s="66"/>
      <c r="K684" s="470"/>
      <c r="L684" s="116"/>
      <c r="M684" s="66"/>
      <c r="N684" s="118" t="s">
        <v>4688</v>
      </c>
      <c r="O684" s="66"/>
      <c r="P684" s="468">
        <v>15550</v>
      </c>
    </row>
    <row r="685" spans="1:16">
      <c r="A685" s="714" t="s">
        <v>4729</v>
      </c>
      <c r="B685" s="116"/>
      <c r="C685" s="753"/>
      <c r="D685" s="66"/>
      <c r="E685" s="116"/>
      <c r="F685" s="116"/>
      <c r="G685" s="116"/>
      <c r="H685" s="66"/>
      <c r="I685" s="116"/>
      <c r="J685" s="66"/>
      <c r="K685" s="470"/>
      <c r="L685" s="116"/>
      <c r="M685" s="66"/>
      <c r="N685" s="118" t="s">
        <v>4689</v>
      </c>
      <c r="O685" s="66"/>
      <c r="P685" s="468">
        <v>12300</v>
      </c>
    </row>
    <row r="686" spans="1:16">
      <c r="A686" s="714" t="s">
        <v>4729</v>
      </c>
      <c r="B686" s="116"/>
      <c r="C686" s="753"/>
      <c r="D686" s="66"/>
      <c r="E686" s="116"/>
      <c r="F686" s="116"/>
      <c r="G686" s="116"/>
      <c r="H686" s="66"/>
      <c r="I686" s="116"/>
      <c r="J686" s="66"/>
      <c r="K686" s="470"/>
      <c r="L686" s="116"/>
      <c r="M686" s="66"/>
      <c r="N686" s="118" t="s">
        <v>4690</v>
      </c>
      <c r="O686" s="66"/>
      <c r="P686" s="468">
        <v>4800</v>
      </c>
    </row>
    <row r="687" spans="1:16">
      <c r="A687" s="714" t="s">
        <v>4729</v>
      </c>
      <c r="B687" s="116"/>
      <c r="C687" s="753"/>
      <c r="D687" s="66"/>
      <c r="E687" s="116"/>
      <c r="F687" s="116"/>
      <c r="G687" s="116"/>
      <c r="H687" s="66"/>
      <c r="I687" s="116"/>
      <c r="J687" s="66"/>
      <c r="K687" s="470"/>
      <c r="L687" s="116"/>
      <c r="M687" s="66"/>
      <c r="N687" s="118" t="s">
        <v>4691</v>
      </c>
      <c r="O687" s="66"/>
      <c r="P687" s="468">
        <v>2000</v>
      </c>
    </row>
    <row r="688" spans="1:16">
      <c r="A688" s="714" t="s">
        <v>4729</v>
      </c>
      <c r="B688" s="116"/>
      <c r="C688" s="753"/>
      <c r="D688" s="66"/>
      <c r="E688" s="116"/>
      <c r="F688" s="116"/>
      <c r="G688" s="116"/>
      <c r="H688" s="66"/>
      <c r="I688" s="116"/>
      <c r="J688" s="66"/>
      <c r="K688" s="470"/>
      <c r="L688" s="116"/>
      <c r="M688" s="66"/>
      <c r="N688" s="118" t="s">
        <v>4692</v>
      </c>
      <c r="O688" s="66"/>
      <c r="P688" s="468">
        <v>6400</v>
      </c>
    </row>
    <row r="689" spans="1:16">
      <c r="A689" s="714" t="s">
        <v>4729</v>
      </c>
      <c r="B689" s="116"/>
      <c r="C689" s="753"/>
      <c r="D689" s="66"/>
      <c r="E689" s="116"/>
      <c r="F689" s="116"/>
      <c r="G689" s="116"/>
      <c r="H689" s="66"/>
      <c r="I689" s="116"/>
      <c r="J689" s="66"/>
      <c r="K689" s="470"/>
      <c r="L689" s="116"/>
      <c r="M689" s="66"/>
      <c r="N689" s="118" t="s">
        <v>4693</v>
      </c>
      <c r="O689" s="66"/>
      <c r="P689" s="468">
        <v>7200</v>
      </c>
    </row>
    <row r="690" spans="1:16">
      <c r="A690" s="714" t="s">
        <v>4729</v>
      </c>
      <c r="B690" s="116"/>
      <c r="C690" s="753"/>
      <c r="D690" s="66"/>
      <c r="E690" s="116"/>
      <c r="F690" s="116"/>
      <c r="G690" s="116"/>
      <c r="H690" s="66"/>
      <c r="I690" s="116"/>
      <c r="J690" s="66"/>
      <c r="K690" s="470"/>
      <c r="L690" s="116"/>
      <c r="M690" s="66"/>
      <c r="N690" s="118" t="s">
        <v>4694</v>
      </c>
      <c r="O690" s="66"/>
      <c r="P690" s="468">
        <v>10800</v>
      </c>
    </row>
    <row r="691" spans="1:16">
      <c r="A691" s="714" t="s">
        <v>4729</v>
      </c>
      <c r="B691" s="116"/>
      <c r="C691" s="753"/>
      <c r="D691" s="66"/>
      <c r="E691" s="116"/>
      <c r="F691" s="116"/>
      <c r="G691" s="116"/>
      <c r="H691" s="66"/>
      <c r="I691" s="116"/>
      <c r="J691" s="66"/>
      <c r="K691" s="470"/>
      <c r="L691" s="116"/>
      <c r="M691" s="66"/>
      <c r="N691" s="118" t="s">
        <v>4732</v>
      </c>
      <c r="O691" s="66"/>
      <c r="P691" s="468">
        <v>6500</v>
      </c>
    </row>
    <row r="692" spans="1:16" ht="31.5" customHeight="1">
      <c r="A692" s="714" t="s">
        <v>4729</v>
      </c>
      <c r="B692" s="116" t="s">
        <v>4733</v>
      </c>
      <c r="C692" s="753" t="s">
        <v>4734</v>
      </c>
      <c r="D692" s="66" t="s">
        <v>4110</v>
      </c>
      <c r="E692" s="116">
        <v>1</v>
      </c>
      <c r="F692" s="66" t="s">
        <v>4735</v>
      </c>
      <c r="G692" s="116" t="s">
        <v>4708</v>
      </c>
      <c r="H692" s="66" t="s">
        <v>4709</v>
      </c>
      <c r="I692" s="116">
        <v>0.75</v>
      </c>
      <c r="J692" s="66" t="s">
        <v>3756</v>
      </c>
      <c r="K692" s="470">
        <v>400000</v>
      </c>
      <c r="L692" s="116">
        <v>1</v>
      </c>
      <c r="M692" s="66" t="s">
        <v>4345</v>
      </c>
      <c r="N692" s="118" t="s">
        <v>4524</v>
      </c>
      <c r="O692" s="66" t="s">
        <v>4658</v>
      </c>
      <c r="P692" s="468">
        <v>15500</v>
      </c>
    </row>
    <row r="693" spans="1:16" ht="20.45" customHeight="1">
      <c r="A693" s="714" t="s">
        <v>4729</v>
      </c>
      <c r="B693" s="116"/>
      <c r="C693" s="753"/>
      <c r="D693" s="66"/>
      <c r="E693" s="116"/>
      <c r="F693" s="66"/>
      <c r="G693" s="116"/>
      <c r="H693" s="66"/>
      <c r="I693" s="116"/>
      <c r="J693" s="66"/>
      <c r="K693" s="470"/>
      <c r="L693" s="116"/>
      <c r="M693" s="66"/>
      <c r="N693" s="118" t="s">
        <v>4524</v>
      </c>
      <c r="O693" s="66"/>
      <c r="P693" s="468">
        <v>9437.5</v>
      </c>
    </row>
    <row r="694" spans="1:16" ht="12.75" customHeight="1">
      <c r="A694" s="714" t="s">
        <v>4729</v>
      </c>
      <c r="B694" s="116"/>
      <c r="C694" s="753" t="s">
        <v>4736</v>
      </c>
      <c r="D694" s="66" t="s">
        <v>3867</v>
      </c>
      <c r="E694" s="116">
        <v>4</v>
      </c>
      <c r="F694" s="116">
        <v>110</v>
      </c>
      <c r="G694" s="116" t="s">
        <v>4708</v>
      </c>
      <c r="H694" s="116" t="s">
        <v>4731</v>
      </c>
      <c r="I694" s="116">
        <v>11.5</v>
      </c>
      <c r="J694" s="66" t="s">
        <v>4737</v>
      </c>
      <c r="K694" s="470">
        <v>38000000</v>
      </c>
      <c r="L694" s="116">
        <v>1</v>
      </c>
      <c r="M694" s="66" t="s">
        <v>4345</v>
      </c>
      <c r="N694" s="118" t="s">
        <v>4683</v>
      </c>
      <c r="O694" s="66" t="s">
        <v>4658</v>
      </c>
      <c r="P694" s="468">
        <v>342960</v>
      </c>
    </row>
    <row r="695" spans="1:16">
      <c r="A695" s="714" t="s">
        <v>4729</v>
      </c>
      <c r="B695" s="116"/>
      <c r="C695" s="753"/>
      <c r="D695" s="66"/>
      <c r="E695" s="116"/>
      <c r="F695" s="116"/>
      <c r="G695" s="116" t="s">
        <v>4708</v>
      </c>
      <c r="H695" s="116" t="s">
        <v>4731</v>
      </c>
      <c r="I695" s="116"/>
      <c r="J695" s="66"/>
      <c r="K695" s="470"/>
      <c r="L695" s="116"/>
      <c r="M695" s="66"/>
      <c r="N695" s="118" t="s">
        <v>4684</v>
      </c>
      <c r="O695" s="66"/>
      <c r="P695" s="468">
        <v>343680</v>
      </c>
    </row>
    <row r="696" spans="1:16">
      <c r="A696" s="714" t="s">
        <v>4729</v>
      </c>
      <c r="B696" s="116"/>
      <c r="C696" s="753"/>
      <c r="D696" s="66"/>
      <c r="E696" s="116"/>
      <c r="F696" s="116"/>
      <c r="G696" s="116"/>
      <c r="H696" s="116"/>
      <c r="I696" s="116"/>
      <c r="J696" s="66"/>
      <c r="K696" s="470"/>
      <c r="L696" s="116"/>
      <c r="M696" s="66"/>
      <c r="N696" s="118" t="s">
        <v>4685</v>
      </c>
      <c r="O696" s="66"/>
      <c r="P696" s="468">
        <v>114560</v>
      </c>
    </row>
    <row r="697" spans="1:16">
      <c r="A697" s="714" t="s">
        <v>4729</v>
      </c>
      <c r="B697" s="116"/>
      <c r="C697" s="753"/>
      <c r="D697" s="66"/>
      <c r="E697" s="116"/>
      <c r="F697" s="116"/>
      <c r="G697" s="116"/>
      <c r="H697" s="116"/>
      <c r="I697" s="116"/>
      <c r="J697" s="66"/>
      <c r="K697" s="470"/>
      <c r="L697" s="116"/>
      <c r="M697" s="66"/>
      <c r="N697" s="118" t="s">
        <v>4687</v>
      </c>
      <c r="O697" s="66"/>
      <c r="P697" s="468">
        <v>54000</v>
      </c>
    </row>
    <row r="698" spans="1:16">
      <c r="A698" s="714" t="s">
        <v>4729</v>
      </c>
      <c r="B698" s="116"/>
      <c r="C698" s="753"/>
      <c r="D698" s="66"/>
      <c r="E698" s="116"/>
      <c r="F698" s="116"/>
      <c r="G698" s="116"/>
      <c r="H698" s="116"/>
      <c r="I698" s="116"/>
      <c r="J698" s="66"/>
      <c r="K698" s="470"/>
      <c r="L698" s="116"/>
      <c r="M698" s="66"/>
      <c r="N698" s="118" t="s">
        <v>4688</v>
      </c>
      <c r="O698" s="66"/>
      <c r="P698" s="468">
        <v>62200</v>
      </c>
    </row>
    <row r="699" spans="1:16">
      <c r="A699" s="714" t="s">
        <v>4729</v>
      </c>
      <c r="B699" s="116"/>
      <c r="C699" s="753"/>
      <c r="D699" s="66"/>
      <c r="E699" s="116"/>
      <c r="F699" s="116"/>
      <c r="G699" s="116"/>
      <c r="H699" s="116"/>
      <c r="I699" s="116"/>
      <c r="J699" s="66"/>
      <c r="K699" s="470"/>
      <c r="L699" s="116"/>
      <c r="M699" s="66"/>
      <c r="N699" s="118" t="s">
        <v>4689</v>
      </c>
      <c r="O699" s="66"/>
      <c r="P699" s="468">
        <v>49200</v>
      </c>
    </row>
    <row r="700" spans="1:16">
      <c r="A700" s="714" t="s">
        <v>4729</v>
      </c>
      <c r="B700" s="116"/>
      <c r="C700" s="753"/>
      <c r="D700" s="66"/>
      <c r="E700" s="116"/>
      <c r="F700" s="116"/>
      <c r="G700" s="116"/>
      <c r="H700" s="116"/>
      <c r="I700" s="116"/>
      <c r="J700" s="66"/>
      <c r="K700" s="470"/>
      <c r="L700" s="116"/>
      <c r="M700" s="66"/>
      <c r="N700" s="118" t="s">
        <v>4690</v>
      </c>
      <c r="O700" s="66"/>
      <c r="P700" s="468">
        <v>19200</v>
      </c>
    </row>
    <row r="701" spans="1:16">
      <c r="A701" s="714" t="s">
        <v>4729</v>
      </c>
      <c r="B701" s="116"/>
      <c r="C701" s="753"/>
      <c r="D701" s="66"/>
      <c r="E701" s="116"/>
      <c r="F701" s="116"/>
      <c r="G701" s="116"/>
      <c r="H701" s="116"/>
      <c r="I701" s="116"/>
      <c r="J701" s="66"/>
      <c r="K701" s="470"/>
      <c r="L701" s="116"/>
      <c r="M701" s="66"/>
      <c r="N701" s="118" t="s">
        <v>4691</v>
      </c>
      <c r="O701" s="66"/>
      <c r="P701" s="468">
        <v>8000</v>
      </c>
    </row>
    <row r="702" spans="1:16">
      <c r="A702" s="714" t="s">
        <v>4729</v>
      </c>
      <c r="B702" s="116"/>
      <c r="C702" s="753"/>
      <c r="D702" s="66"/>
      <c r="E702" s="116"/>
      <c r="F702" s="116"/>
      <c r="G702" s="116"/>
      <c r="H702" s="116"/>
      <c r="I702" s="116"/>
      <c r="J702" s="66"/>
      <c r="K702" s="470"/>
      <c r="L702" s="116"/>
      <c r="M702" s="66"/>
      <c r="N702" s="118" t="s">
        <v>4692</v>
      </c>
      <c r="O702" s="66"/>
      <c r="P702" s="468">
        <v>25600</v>
      </c>
    </row>
    <row r="703" spans="1:16">
      <c r="A703" s="714" t="s">
        <v>4729</v>
      </c>
      <c r="B703" s="116"/>
      <c r="C703" s="753"/>
      <c r="D703" s="66"/>
      <c r="E703" s="116"/>
      <c r="F703" s="116"/>
      <c r="G703" s="116"/>
      <c r="H703" s="116"/>
      <c r="I703" s="116"/>
      <c r="J703" s="66"/>
      <c r="K703" s="470"/>
      <c r="L703" s="116"/>
      <c r="M703" s="66"/>
      <c r="N703" s="118" t="s">
        <v>4693</v>
      </c>
      <c r="O703" s="66"/>
      <c r="P703" s="468">
        <v>28800</v>
      </c>
    </row>
    <row r="704" spans="1:16">
      <c r="A704" s="714" t="s">
        <v>4729</v>
      </c>
      <c r="B704" s="116"/>
      <c r="C704" s="753"/>
      <c r="D704" s="66"/>
      <c r="E704" s="116"/>
      <c r="F704" s="116"/>
      <c r="G704" s="116"/>
      <c r="H704" s="116"/>
      <c r="I704" s="116"/>
      <c r="J704" s="66"/>
      <c r="K704" s="470"/>
      <c r="L704" s="116"/>
      <c r="M704" s="66"/>
      <c r="N704" s="118" t="s">
        <v>4694</v>
      </c>
      <c r="O704" s="66"/>
      <c r="P704" s="468">
        <v>43200</v>
      </c>
    </row>
    <row r="705" spans="1:16">
      <c r="A705" s="714" t="s">
        <v>4729</v>
      </c>
      <c r="B705" s="116"/>
      <c r="C705" s="753"/>
      <c r="D705" s="66"/>
      <c r="E705" s="116"/>
      <c r="F705" s="116"/>
      <c r="G705" s="116"/>
      <c r="H705" s="116"/>
      <c r="I705" s="116"/>
      <c r="J705" s="66"/>
      <c r="K705" s="470"/>
      <c r="L705" s="116"/>
      <c r="M705" s="66"/>
      <c r="N705" s="118" t="s">
        <v>4732</v>
      </c>
      <c r="O705" s="66"/>
      <c r="P705" s="468">
        <v>26000</v>
      </c>
    </row>
    <row r="706" spans="1:16" ht="12.75" customHeight="1">
      <c r="A706" s="714" t="s">
        <v>4738</v>
      </c>
      <c r="B706" s="116" t="s">
        <v>4738</v>
      </c>
      <c r="C706" s="753" t="s">
        <v>4739</v>
      </c>
      <c r="D706" s="66" t="s">
        <v>3754</v>
      </c>
      <c r="E706" s="116">
        <v>17</v>
      </c>
      <c r="F706" s="116">
        <v>882</v>
      </c>
      <c r="G706" s="116"/>
      <c r="H706" s="116" t="s">
        <v>4186</v>
      </c>
      <c r="I706" s="116">
        <v>320.5</v>
      </c>
      <c r="J706" s="66" t="s">
        <v>4740</v>
      </c>
      <c r="K706" s="470">
        <v>105000000</v>
      </c>
      <c r="L706" s="116">
        <v>1</v>
      </c>
      <c r="M706" s="116" t="s">
        <v>4345</v>
      </c>
      <c r="N706" s="118" t="s">
        <v>4524</v>
      </c>
      <c r="O706" s="66" t="s">
        <v>4658</v>
      </c>
      <c r="P706" s="468">
        <v>13098795</v>
      </c>
    </row>
    <row r="707" spans="1:16">
      <c r="A707" s="714" t="s">
        <v>4738</v>
      </c>
      <c r="B707" s="116"/>
      <c r="C707" s="753"/>
      <c r="D707" s="66"/>
      <c r="E707" s="116"/>
      <c r="F707" s="116"/>
      <c r="G707" s="116"/>
      <c r="H707" s="116"/>
      <c r="I707" s="116"/>
      <c r="J707" s="66"/>
      <c r="K707" s="470"/>
      <c r="L707" s="116"/>
      <c r="M707" s="116"/>
      <c r="N707" s="118" t="s">
        <v>4524</v>
      </c>
      <c r="O707" s="66"/>
      <c r="P707" s="468">
        <v>10096800</v>
      </c>
    </row>
    <row r="708" spans="1:16">
      <c r="A708" s="714" t="s">
        <v>4738</v>
      </c>
      <c r="B708" s="116"/>
      <c r="C708" s="753"/>
      <c r="D708" s="66"/>
      <c r="E708" s="116"/>
      <c r="F708" s="116"/>
      <c r="G708" s="116"/>
      <c r="H708" s="116"/>
      <c r="I708" s="116"/>
      <c r="J708" s="66"/>
      <c r="K708" s="470"/>
      <c r="L708" s="116"/>
      <c r="M708" s="116"/>
      <c r="N708" s="118" t="s">
        <v>4524</v>
      </c>
      <c r="O708" s="66"/>
      <c r="P708" s="468">
        <v>12621000</v>
      </c>
    </row>
    <row r="709" spans="1:16" ht="12.75" customHeight="1">
      <c r="A709" s="714" t="s">
        <v>4738</v>
      </c>
      <c r="B709" s="116"/>
      <c r="C709" s="753" t="s">
        <v>4741</v>
      </c>
      <c r="D709" s="66" t="s">
        <v>4483</v>
      </c>
      <c r="E709" s="116">
        <v>3</v>
      </c>
      <c r="F709" s="116">
        <v>1.6</v>
      </c>
      <c r="G709" s="116"/>
      <c r="H709" s="66" t="s">
        <v>4742</v>
      </c>
      <c r="I709" s="116">
        <f>1.5+0.3</f>
        <v>1.8</v>
      </c>
      <c r="J709" s="66" t="s">
        <v>4303</v>
      </c>
      <c r="K709" s="470">
        <v>1150000</v>
      </c>
      <c r="L709" s="116">
        <v>1</v>
      </c>
      <c r="M709" s="116" t="s">
        <v>4345</v>
      </c>
      <c r="N709" s="118" t="s">
        <v>4534</v>
      </c>
      <c r="O709" s="66" t="s">
        <v>4658</v>
      </c>
      <c r="P709" s="468">
        <v>130770</v>
      </c>
    </row>
    <row r="710" spans="1:16">
      <c r="A710" s="714" t="s">
        <v>4738</v>
      </c>
      <c r="B710" s="116"/>
      <c r="C710" s="753"/>
      <c r="D710" s="66"/>
      <c r="E710" s="116"/>
      <c r="F710" s="116"/>
      <c r="G710" s="116"/>
      <c r="H710" s="66"/>
      <c r="I710" s="116"/>
      <c r="J710" s="66"/>
      <c r="K710" s="470"/>
      <c r="L710" s="116"/>
      <c r="M710" s="116"/>
      <c r="N710" s="118" t="s">
        <v>4678</v>
      </c>
      <c r="O710" s="66"/>
      <c r="P710" s="468">
        <v>21000</v>
      </c>
    </row>
    <row r="711" spans="1:16" ht="45">
      <c r="A711" s="714" t="s">
        <v>4738</v>
      </c>
      <c r="B711" s="116"/>
      <c r="C711" s="753" t="s">
        <v>4743</v>
      </c>
      <c r="D711" s="66" t="s">
        <v>4744</v>
      </c>
      <c r="E711" s="116">
        <v>1</v>
      </c>
      <c r="F711" s="119"/>
      <c r="G711" s="119"/>
      <c r="H711" s="119" t="s">
        <v>4745</v>
      </c>
      <c r="I711" s="116">
        <v>2.5</v>
      </c>
      <c r="J711" s="66" t="s">
        <v>4682</v>
      </c>
      <c r="K711" s="470">
        <v>18000000</v>
      </c>
      <c r="L711" s="116">
        <v>1</v>
      </c>
      <c r="M711" s="171" t="s">
        <v>4345</v>
      </c>
      <c r="N711" s="118" t="s">
        <v>4534</v>
      </c>
      <c r="O711" s="171" t="s">
        <v>4658</v>
      </c>
      <c r="P711" s="468">
        <v>58120</v>
      </c>
    </row>
    <row r="712" spans="1:16" ht="20.45" customHeight="1">
      <c r="A712" s="714" t="s">
        <v>4738</v>
      </c>
      <c r="B712" s="116"/>
      <c r="C712" s="753"/>
      <c r="D712" s="66" t="s">
        <v>3855</v>
      </c>
      <c r="E712" s="116">
        <v>62</v>
      </c>
      <c r="F712" s="116">
        <f>13462.4+200</f>
        <v>13662.4</v>
      </c>
      <c r="G712" s="116" t="s">
        <v>4746</v>
      </c>
      <c r="H712" s="116"/>
      <c r="I712" s="116">
        <v>2638.6999999999994</v>
      </c>
      <c r="J712" s="66" t="s">
        <v>4747</v>
      </c>
      <c r="K712" s="470">
        <v>1012134338.2</v>
      </c>
      <c r="L712" s="116">
        <v>1</v>
      </c>
      <c r="M712" s="66" t="s">
        <v>4345</v>
      </c>
      <c r="N712" s="118" t="s">
        <v>4748</v>
      </c>
      <c r="O712" s="66" t="s">
        <v>4658</v>
      </c>
      <c r="P712" s="468">
        <v>13950000</v>
      </c>
    </row>
    <row r="713" spans="1:16" ht="18" customHeight="1">
      <c r="A713" s="714" t="s">
        <v>4738</v>
      </c>
      <c r="B713" s="116"/>
      <c r="C713" s="753"/>
      <c r="D713" s="66"/>
      <c r="E713" s="116"/>
      <c r="F713" s="116"/>
      <c r="G713" s="116"/>
      <c r="H713" s="116"/>
      <c r="I713" s="116"/>
      <c r="J713" s="66"/>
      <c r="K713" s="470"/>
      <c r="L713" s="116"/>
      <c r="M713" s="66"/>
      <c r="N713" s="118" t="s">
        <v>4749</v>
      </c>
      <c r="O713" s="66"/>
      <c r="P713" s="468">
        <v>13950000</v>
      </c>
    </row>
    <row r="714" spans="1:16" ht="12.75" customHeight="1">
      <c r="A714" s="714" t="s">
        <v>4738</v>
      </c>
      <c r="B714" s="116"/>
      <c r="C714" s="749" t="s">
        <v>4750</v>
      </c>
      <c r="D714" s="75" t="s">
        <v>3855</v>
      </c>
      <c r="E714" s="184">
        <v>1</v>
      </c>
      <c r="F714" s="184">
        <v>69</v>
      </c>
      <c r="G714" s="184"/>
      <c r="H714" s="184" t="s">
        <v>4751</v>
      </c>
      <c r="I714" s="184">
        <v>30</v>
      </c>
      <c r="J714" s="75" t="s">
        <v>4752</v>
      </c>
      <c r="K714" s="470">
        <v>59766650</v>
      </c>
      <c r="L714" s="184">
        <v>1</v>
      </c>
      <c r="M714" s="75" t="s">
        <v>4345</v>
      </c>
      <c r="N714" s="183" t="s">
        <v>4748</v>
      </c>
      <c r="O714" s="75" t="s">
        <v>4658</v>
      </c>
      <c r="P714" s="468">
        <v>225000</v>
      </c>
    </row>
    <row r="715" spans="1:16">
      <c r="A715" s="714" t="s">
        <v>4738</v>
      </c>
      <c r="B715" s="116"/>
      <c r="C715" s="749"/>
      <c r="D715" s="75"/>
      <c r="E715" s="184"/>
      <c r="F715" s="184"/>
      <c r="G715" s="184"/>
      <c r="H715" s="184"/>
      <c r="I715" s="184"/>
      <c r="J715" s="75"/>
      <c r="K715" s="470"/>
      <c r="L715" s="184"/>
      <c r="M715" s="75"/>
      <c r="N715" s="183" t="s">
        <v>4749</v>
      </c>
      <c r="O715" s="75"/>
      <c r="P715" s="468">
        <v>225000</v>
      </c>
    </row>
    <row r="716" spans="1:16">
      <c r="A716" s="714" t="s">
        <v>4738</v>
      </c>
      <c r="B716" s="116"/>
      <c r="C716" s="749"/>
      <c r="D716" s="75"/>
      <c r="E716" s="184"/>
      <c r="F716" s="184"/>
      <c r="G716" s="184"/>
      <c r="H716" s="184"/>
      <c r="I716" s="184"/>
      <c r="J716" s="75"/>
      <c r="K716" s="470"/>
      <c r="L716" s="184"/>
      <c r="M716" s="75"/>
      <c r="N716" s="183" t="s">
        <v>4753</v>
      </c>
      <c r="O716" s="75"/>
      <c r="P716" s="468">
        <v>73600000</v>
      </c>
    </row>
    <row r="717" spans="1:16">
      <c r="A717" s="714" t="s">
        <v>4738</v>
      </c>
      <c r="B717" s="116"/>
      <c r="C717" s="749"/>
      <c r="D717" s="75"/>
      <c r="E717" s="184"/>
      <c r="F717" s="184"/>
      <c r="G717" s="184"/>
      <c r="H717" s="184"/>
      <c r="I717" s="184"/>
      <c r="J717" s="75"/>
      <c r="K717" s="470"/>
      <c r="L717" s="184"/>
      <c r="M717" s="75"/>
      <c r="N717" s="183" t="s">
        <v>4754</v>
      </c>
      <c r="O717" s="75"/>
      <c r="P717" s="468">
        <v>58000000</v>
      </c>
    </row>
    <row r="718" spans="1:16" ht="32.1" customHeight="1">
      <c r="A718" s="714" t="s">
        <v>4738</v>
      </c>
      <c r="B718" s="116"/>
      <c r="C718" s="753" t="s">
        <v>4755</v>
      </c>
      <c r="D718" s="66" t="s">
        <v>4679</v>
      </c>
      <c r="E718" s="116">
        <v>50</v>
      </c>
      <c r="F718" s="116">
        <v>2442</v>
      </c>
      <c r="G718" s="116"/>
      <c r="H718" s="171" t="s">
        <v>4756</v>
      </c>
      <c r="I718" s="116">
        <v>146.44999999999999</v>
      </c>
      <c r="J718" s="66" t="s">
        <v>4682</v>
      </c>
      <c r="K718" s="470">
        <v>702112130</v>
      </c>
      <c r="L718" s="116">
        <v>1</v>
      </c>
      <c r="M718" s="116" t="s">
        <v>4345</v>
      </c>
      <c r="N718" s="118" t="s">
        <v>4683</v>
      </c>
      <c r="O718" s="66" t="s">
        <v>4658</v>
      </c>
      <c r="P718" s="468">
        <v>4287000</v>
      </c>
    </row>
    <row r="719" spans="1:16" ht="29.45" customHeight="1">
      <c r="A719" s="714" t="s">
        <v>4738</v>
      </c>
      <c r="B719" s="116"/>
      <c r="C719" s="753"/>
      <c r="D719" s="66"/>
      <c r="E719" s="116"/>
      <c r="F719" s="116"/>
      <c r="G719" s="116"/>
      <c r="H719" s="171" t="s">
        <v>4756</v>
      </c>
      <c r="I719" s="116"/>
      <c r="J719" s="66" t="s">
        <v>4757</v>
      </c>
      <c r="K719" s="470"/>
      <c r="L719" s="116"/>
      <c r="M719" s="116"/>
      <c r="N719" s="118" t="s">
        <v>4684</v>
      </c>
      <c r="O719" s="66"/>
      <c r="P719" s="468">
        <v>4296000</v>
      </c>
    </row>
    <row r="720" spans="1:16" ht="30.6" customHeight="1">
      <c r="A720" s="714" t="s">
        <v>4738</v>
      </c>
      <c r="B720" s="116"/>
      <c r="C720" s="753"/>
      <c r="D720" s="66"/>
      <c r="E720" s="116"/>
      <c r="F720" s="116"/>
      <c r="G720" s="116"/>
      <c r="H720" s="171" t="s">
        <v>4758</v>
      </c>
      <c r="I720" s="116"/>
      <c r="J720" s="66" t="s">
        <v>4757</v>
      </c>
      <c r="K720" s="470"/>
      <c r="L720" s="116"/>
      <c r="M720" s="116"/>
      <c r="N720" s="118" t="s">
        <v>4685</v>
      </c>
      <c r="O720" s="66"/>
      <c r="P720" s="468">
        <v>1432000</v>
      </c>
    </row>
    <row r="721" spans="1:16" ht="27" customHeight="1">
      <c r="A721" s="714" t="s">
        <v>4738</v>
      </c>
      <c r="B721" s="116"/>
      <c r="C721" s="753"/>
      <c r="D721" s="66"/>
      <c r="E721" s="116"/>
      <c r="F721" s="116"/>
      <c r="G721" s="116"/>
      <c r="H721" s="171" t="s">
        <v>4756</v>
      </c>
      <c r="I721" s="116"/>
      <c r="J721" s="66" t="s">
        <v>4757</v>
      </c>
      <c r="K721" s="470"/>
      <c r="L721" s="116"/>
      <c r="M721" s="116"/>
      <c r="N721" s="118" t="s">
        <v>4687</v>
      </c>
      <c r="O721" s="66"/>
      <c r="P721" s="468">
        <v>675000</v>
      </c>
    </row>
    <row r="722" spans="1:16" ht="24.95" customHeight="1">
      <c r="A722" s="714" t="s">
        <v>4738</v>
      </c>
      <c r="B722" s="116"/>
      <c r="C722" s="753"/>
      <c r="D722" s="66"/>
      <c r="E722" s="116"/>
      <c r="F722" s="116"/>
      <c r="G722" s="116"/>
      <c r="H722" s="171" t="s">
        <v>4681</v>
      </c>
      <c r="I722" s="116"/>
      <c r="J722" s="66" t="s">
        <v>4757</v>
      </c>
      <c r="K722" s="470"/>
      <c r="L722" s="116"/>
      <c r="M722" s="116"/>
      <c r="N722" s="118" t="s">
        <v>4688</v>
      </c>
      <c r="O722" s="66"/>
      <c r="P722" s="468">
        <v>777500</v>
      </c>
    </row>
    <row r="723" spans="1:16" ht="24.6" customHeight="1">
      <c r="A723" s="714" t="s">
        <v>4738</v>
      </c>
      <c r="B723" s="116"/>
      <c r="C723" s="753"/>
      <c r="D723" s="66"/>
      <c r="E723" s="116"/>
      <c r="F723" s="116"/>
      <c r="G723" s="116"/>
      <c r="H723" s="66" t="s">
        <v>4756</v>
      </c>
      <c r="I723" s="116"/>
      <c r="J723" s="66" t="s">
        <v>4757</v>
      </c>
      <c r="K723" s="470"/>
      <c r="L723" s="116"/>
      <c r="M723" s="116"/>
      <c r="N723" s="118" t="s">
        <v>4689</v>
      </c>
      <c r="O723" s="66"/>
      <c r="P723" s="468">
        <v>615000</v>
      </c>
    </row>
    <row r="724" spans="1:16">
      <c r="A724" s="714" t="s">
        <v>4738</v>
      </c>
      <c r="B724" s="116"/>
      <c r="C724" s="753"/>
      <c r="D724" s="66"/>
      <c r="E724" s="116"/>
      <c r="F724" s="116"/>
      <c r="G724" s="116"/>
      <c r="H724" s="66"/>
      <c r="I724" s="116"/>
      <c r="J724" s="66"/>
      <c r="K724" s="470"/>
      <c r="L724" s="116"/>
      <c r="M724" s="116"/>
      <c r="N724" s="118" t="s">
        <v>4690</v>
      </c>
      <c r="O724" s="66"/>
      <c r="P724" s="468">
        <v>240000</v>
      </c>
    </row>
    <row r="725" spans="1:16">
      <c r="A725" s="714" t="s">
        <v>4738</v>
      </c>
      <c r="B725" s="116"/>
      <c r="C725" s="753"/>
      <c r="D725" s="66"/>
      <c r="E725" s="116"/>
      <c r="F725" s="116"/>
      <c r="G725" s="116"/>
      <c r="H725" s="66"/>
      <c r="I725" s="116"/>
      <c r="J725" s="66"/>
      <c r="K725" s="470"/>
      <c r="L725" s="116"/>
      <c r="M725" s="116"/>
      <c r="N725" s="118" t="s">
        <v>4691</v>
      </c>
      <c r="O725" s="66"/>
      <c r="P725" s="468">
        <v>100000</v>
      </c>
    </row>
    <row r="726" spans="1:16">
      <c r="A726" s="714" t="s">
        <v>4738</v>
      </c>
      <c r="B726" s="116"/>
      <c r="C726" s="753"/>
      <c r="D726" s="66"/>
      <c r="E726" s="116"/>
      <c r="F726" s="116"/>
      <c r="G726" s="116"/>
      <c r="H726" s="66"/>
      <c r="I726" s="116"/>
      <c r="J726" s="66"/>
      <c r="K726" s="470"/>
      <c r="L726" s="116"/>
      <c r="M726" s="116"/>
      <c r="N726" s="118" t="s">
        <v>4692</v>
      </c>
      <c r="O726" s="66"/>
      <c r="P726" s="468">
        <v>320000</v>
      </c>
    </row>
    <row r="727" spans="1:16">
      <c r="A727" s="714" t="s">
        <v>4738</v>
      </c>
      <c r="B727" s="116"/>
      <c r="C727" s="753"/>
      <c r="D727" s="66"/>
      <c r="E727" s="116"/>
      <c r="F727" s="116"/>
      <c r="G727" s="116"/>
      <c r="H727" s="66"/>
      <c r="I727" s="116"/>
      <c r="J727" s="66"/>
      <c r="K727" s="470"/>
      <c r="L727" s="116"/>
      <c r="M727" s="116"/>
      <c r="N727" s="118" t="s">
        <v>4693</v>
      </c>
      <c r="O727" s="66"/>
      <c r="P727" s="468">
        <v>360000</v>
      </c>
    </row>
    <row r="728" spans="1:16">
      <c r="A728" s="714" t="s">
        <v>4738</v>
      </c>
      <c r="B728" s="116"/>
      <c r="C728" s="753"/>
      <c r="D728" s="66"/>
      <c r="E728" s="116"/>
      <c r="F728" s="116"/>
      <c r="G728" s="116"/>
      <c r="H728" s="66"/>
      <c r="I728" s="116"/>
      <c r="J728" s="66"/>
      <c r="K728" s="470"/>
      <c r="L728" s="116"/>
      <c r="M728" s="116"/>
      <c r="N728" s="118" t="s">
        <v>4694</v>
      </c>
      <c r="O728" s="66"/>
      <c r="P728" s="468">
        <v>540000</v>
      </c>
    </row>
    <row r="729" spans="1:16">
      <c r="A729" s="714" t="s">
        <v>4738</v>
      </c>
      <c r="B729" s="116"/>
      <c r="C729" s="753"/>
      <c r="D729" s="66"/>
      <c r="E729" s="116"/>
      <c r="F729" s="116"/>
      <c r="G729" s="116"/>
      <c r="H729" s="66"/>
      <c r="I729" s="116"/>
      <c r="J729" s="66"/>
      <c r="K729" s="470"/>
      <c r="L729" s="116"/>
      <c r="M729" s="116"/>
      <c r="N729" s="118" t="s">
        <v>4732</v>
      </c>
      <c r="O729" s="66"/>
      <c r="P729" s="468">
        <v>325000</v>
      </c>
    </row>
    <row r="730" spans="1:16" ht="12.75" customHeight="1">
      <c r="A730" s="714" t="s">
        <v>4738</v>
      </c>
      <c r="B730" s="116"/>
      <c r="C730" s="753" t="s">
        <v>4759</v>
      </c>
      <c r="D730" s="66" t="s">
        <v>3867</v>
      </c>
      <c r="E730" s="116">
        <v>1</v>
      </c>
      <c r="F730" s="116"/>
      <c r="G730" s="116"/>
      <c r="H730" s="116"/>
      <c r="I730" s="116"/>
      <c r="J730" s="66"/>
      <c r="K730" s="470"/>
      <c r="L730" s="116">
        <v>1</v>
      </c>
      <c r="M730" s="116" t="s">
        <v>4345</v>
      </c>
      <c r="N730" s="118" t="s">
        <v>4686</v>
      </c>
      <c r="O730" s="66" t="s">
        <v>4658</v>
      </c>
      <c r="P730" s="468">
        <v>58000000</v>
      </c>
    </row>
    <row r="731" spans="1:16">
      <c r="A731" s="714" t="s">
        <v>4738</v>
      </c>
      <c r="B731" s="116"/>
      <c r="C731" s="753"/>
      <c r="D731" s="66"/>
      <c r="E731" s="116"/>
      <c r="F731" s="116"/>
      <c r="G731" s="116"/>
      <c r="H731" s="116"/>
      <c r="I731" s="116"/>
      <c r="J731" s="66"/>
      <c r="K731" s="470"/>
      <c r="L731" s="116"/>
      <c r="M731" s="116"/>
      <c r="N731" s="118" t="s">
        <v>4611</v>
      </c>
      <c r="O731" s="66"/>
      <c r="P731" s="468">
        <v>65000000</v>
      </c>
    </row>
    <row r="732" spans="1:16" ht="22.5" customHeight="1">
      <c r="A732" s="714" t="s">
        <v>4738</v>
      </c>
      <c r="B732" s="116"/>
      <c r="C732" s="753" t="s">
        <v>4760</v>
      </c>
      <c r="D732" s="66" t="s">
        <v>4761</v>
      </c>
      <c r="E732" s="116">
        <v>12</v>
      </c>
      <c r="F732" s="116">
        <v>47.199999999999996</v>
      </c>
      <c r="G732" s="119" t="s">
        <v>4762</v>
      </c>
      <c r="H732" s="119"/>
      <c r="I732" s="116">
        <v>19.75</v>
      </c>
      <c r="J732" s="66" t="s">
        <v>4757</v>
      </c>
      <c r="K732" s="470">
        <v>14914000</v>
      </c>
      <c r="L732" s="116">
        <v>1</v>
      </c>
      <c r="M732" s="116" t="s">
        <v>4345</v>
      </c>
      <c r="N732" s="118" t="s">
        <v>4534</v>
      </c>
      <c r="O732" s="66" t="s">
        <v>4658</v>
      </c>
      <c r="P732" s="468">
        <v>15498.666666666668</v>
      </c>
    </row>
    <row r="733" spans="1:16" ht="22.5">
      <c r="A733" s="714" t="s">
        <v>4738</v>
      </c>
      <c r="B733" s="116"/>
      <c r="C733" s="753"/>
      <c r="D733" s="66"/>
      <c r="E733" s="116"/>
      <c r="F733" s="116"/>
      <c r="G733" s="119"/>
      <c r="H733" s="119" t="s">
        <v>4763</v>
      </c>
      <c r="I733" s="116"/>
      <c r="J733" s="66" t="s">
        <v>4764</v>
      </c>
      <c r="K733" s="470"/>
      <c r="L733" s="116"/>
      <c r="M733" s="116"/>
      <c r="N733" s="118" t="s">
        <v>4534</v>
      </c>
      <c r="O733" s="66"/>
      <c r="P733" s="468">
        <v>5973.333333333333</v>
      </c>
    </row>
    <row r="734" spans="1:16" ht="20.100000000000001" customHeight="1">
      <c r="A734" s="714" t="s">
        <v>4738</v>
      </c>
      <c r="B734" s="116"/>
      <c r="C734" s="753"/>
      <c r="D734" s="66"/>
      <c r="E734" s="116"/>
      <c r="F734" s="116"/>
      <c r="G734" s="119" t="s">
        <v>4765</v>
      </c>
      <c r="H734" s="119" t="s">
        <v>4763</v>
      </c>
      <c r="I734" s="116"/>
      <c r="J734" s="66" t="s">
        <v>4757</v>
      </c>
      <c r="K734" s="470"/>
      <c r="L734" s="116"/>
      <c r="M734" s="116"/>
      <c r="N734" s="118" t="s">
        <v>4534</v>
      </c>
      <c r="O734" s="66"/>
      <c r="P734" s="468">
        <v>6613.333333333333</v>
      </c>
    </row>
    <row r="735" spans="1:16">
      <c r="A735" s="714" t="s">
        <v>4738</v>
      </c>
      <c r="B735" s="116"/>
      <c r="C735" s="753"/>
      <c r="D735" s="66"/>
      <c r="E735" s="116"/>
      <c r="F735" s="116"/>
      <c r="G735" s="119"/>
      <c r="H735" s="119" t="s">
        <v>4766</v>
      </c>
      <c r="I735" s="116"/>
      <c r="J735" s="66"/>
      <c r="K735" s="470"/>
      <c r="L735" s="116"/>
      <c r="M735" s="116"/>
      <c r="N735" s="118" t="s">
        <v>4698</v>
      </c>
      <c r="O735" s="66"/>
      <c r="P735" s="468">
        <v>320000</v>
      </c>
    </row>
    <row r="736" spans="1:16" ht="22.5">
      <c r="A736" s="714" t="s">
        <v>4738</v>
      </c>
      <c r="B736" s="116"/>
      <c r="C736" s="753" t="s">
        <v>4767</v>
      </c>
      <c r="D736" s="66" t="s">
        <v>3891</v>
      </c>
      <c r="E736" s="116">
        <v>8</v>
      </c>
      <c r="F736" s="116">
        <v>64.5</v>
      </c>
      <c r="G736" s="119"/>
      <c r="H736" s="119" t="s">
        <v>4768</v>
      </c>
      <c r="I736" s="116">
        <v>21.5</v>
      </c>
      <c r="J736" s="66" t="s">
        <v>4757</v>
      </c>
      <c r="K736" s="470">
        <v>10410000</v>
      </c>
      <c r="L736" s="116"/>
      <c r="M736" s="171"/>
      <c r="N736" s="118" t="s">
        <v>4200</v>
      </c>
      <c r="O736" s="171"/>
      <c r="P736" s="468">
        <v>464960</v>
      </c>
    </row>
    <row r="737" spans="1:16">
      <c r="A737" s="714" t="s">
        <v>4738</v>
      </c>
      <c r="B737" s="116"/>
      <c r="C737" s="749" t="s">
        <v>3199</v>
      </c>
      <c r="D737" s="75" t="s">
        <v>4769</v>
      </c>
      <c r="E737" s="184">
        <v>1</v>
      </c>
      <c r="F737" s="139">
        <v>32.4</v>
      </c>
      <c r="G737" s="139"/>
      <c r="H737" s="139" t="s">
        <v>4770</v>
      </c>
      <c r="I737" s="184">
        <v>3</v>
      </c>
      <c r="J737" s="75" t="s">
        <v>4771</v>
      </c>
      <c r="K737" s="470">
        <v>200000000</v>
      </c>
      <c r="L737" s="184"/>
      <c r="M737" s="185"/>
      <c r="N737" s="183"/>
      <c r="O737" s="185"/>
      <c r="P737" s="468"/>
    </row>
    <row r="738" spans="1:16">
      <c r="A738" s="714" t="s">
        <v>4738</v>
      </c>
      <c r="B738" s="116"/>
      <c r="C738" s="749" t="s">
        <v>891</v>
      </c>
      <c r="D738" s="75" t="s">
        <v>3767</v>
      </c>
      <c r="E738" s="184">
        <v>1</v>
      </c>
      <c r="F738" s="139">
        <v>3</v>
      </c>
      <c r="G738" s="139"/>
      <c r="H738" s="139"/>
      <c r="I738" s="184">
        <v>0.5</v>
      </c>
      <c r="J738" s="75" t="s">
        <v>4271</v>
      </c>
      <c r="K738" s="470">
        <v>435000</v>
      </c>
      <c r="L738" s="184"/>
      <c r="M738" s="185"/>
      <c r="N738" s="183"/>
      <c r="O738" s="185"/>
      <c r="P738" s="468"/>
    </row>
    <row r="739" spans="1:16" ht="12.75" customHeight="1">
      <c r="A739" s="714" t="s">
        <v>4738</v>
      </c>
      <c r="B739" s="116"/>
      <c r="C739" s="753" t="s">
        <v>1697</v>
      </c>
      <c r="D739" s="66" t="s">
        <v>3778</v>
      </c>
      <c r="E739" s="116">
        <v>15</v>
      </c>
      <c r="F739" s="116">
        <v>121.85000000000001</v>
      </c>
      <c r="G739" s="116">
        <v>1150</v>
      </c>
      <c r="H739" s="66" t="s">
        <v>4772</v>
      </c>
      <c r="I739" s="116">
        <v>40.4</v>
      </c>
      <c r="J739" s="66" t="s">
        <v>4773</v>
      </c>
      <c r="K739" s="470">
        <v>50220000</v>
      </c>
      <c r="L739" s="116">
        <v>1</v>
      </c>
      <c r="M739" s="116" t="s">
        <v>4345</v>
      </c>
      <c r="N739" s="118" t="s">
        <v>4657</v>
      </c>
      <c r="O739" s="66" t="s">
        <v>4658</v>
      </c>
      <c r="P739" s="468">
        <v>4950000</v>
      </c>
    </row>
    <row r="740" spans="1:16">
      <c r="A740" s="714" t="s">
        <v>4738</v>
      </c>
      <c r="B740" s="116"/>
      <c r="C740" s="753"/>
      <c r="D740" s="66"/>
      <c r="E740" s="116"/>
      <c r="F740" s="116"/>
      <c r="G740" s="116"/>
      <c r="H740" s="66"/>
      <c r="I740" s="116"/>
      <c r="J740" s="66"/>
      <c r="K740" s="470"/>
      <c r="L740" s="116"/>
      <c r="M740" s="116"/>
      <c r="N740" s="118" t="s">
        <v>4659</v>
      </c>
      <c r="O740" s="66"/>
      <c r="P740" s="468">
        <v>299378.25</v>
      </c>
    </row>
    <row r="741" spans="1:16">
      <c r="A741" s="714" t="s">
        <v>4738</v>
      </c>
      <c r="B741" s="116"/>
      <c r="C741" s="753"/>
      <c r="D741" s="66"/>
      <c r="E741" s="116"/>
      <c r="F741" s="116"/>
      <c r="G741" s="116"/>
      <c r="H741" s="66"/>
      <c r="I741" s="116"/>
      <c r="J741" s="66"/>
      <c r="K741" s="470"/>
      <c r="L741" s="116"/>
      <c r="M741" s="116"/>
      <c r="N741" s="118" t="s">
        <v>4660</v>
      </c>
      <c r="O741" s="66"/>
      <c r="P741" s="468">
        <v>502875</v>
      </c>
    </row>
    <row r="742" spans="1:16">
      <c r="A742" s="714" t="s">
        <v>4738</v>
      </c>
      <c r="B742" s="116"/>
      <c r="C742" s="753"/>
      <c r="D742" s="66"/>
      <c r="E742" s="116"/>
      <c r="F742" s="116"/>
      <c r="G742" s="116"/>
      <c r="H742" s="66"/>
      <c r="I742" s="116"/>
      <c r="J742" s="66"/>
      <c r="K742" s="470"/>
      <c r="L742" s="116"/>
      <c r="M742" s="116"/>
      <c r="N742" s="118" t="s">
        <v>4661</v>
      </c>
      <c r="O742" s="66"/>
      <c r="P742" s="468">
        <v>554850</v>
      </c>
    </row>
    <row r="743" spans="1:16">
      <c r="A743" s="714" t="s">
        <v>4738</v>
      </c>
      <c r="B743" s="116"/>
      <c r="C743" s="753"/>
      <c r="D743" s="66"/>
      <c r="E743" s="116"/>
      <c r="F743" s="116"/>
      <c r="G743" s="116"/>
      <c r="H743" s="66"/>
      <c r="I743" s="116"/>
      <c r="J743" s="66"/>
      <c r="K743" s="470"/>
      <c r="L743" s="116"/>
      <c r="M743" s="116"/>
      <c r="N743" s="118" t="s">
        <v>4662</v>
      </c>
      <c r="O743" s="66"/>
      <c r="P743" s="468">
        <v>193387.5</v>
      </c>
    </row>
    <row r="744" spans="1:16">
      <c r="A744" s="714" t="s">
        <v>4738</v>
      </c>
      <c r="B744" s="116"/>
      <c r="C744" s="753"/>
      <c r="D744" s="66"/>
      <c r="E744" s="116"/>
      <c r="F744" s="116"/>
      <c r="G744" s="116"/>
      <c r="H744" s="66"/>
      <c r="I744" s="116"/>
      <c r="J744" s="66"/>
      <c r="K744" s="470"/>
      <c r="L744" s="116"/>
      <c r="M744" s="116"/>
      <c r="N744" s="118" t="s">
        <v>4663</v>
      </c>
      <c r="O744" s="66"/>
      <c r="P744" s="468">
        <v>47773.275000000001</v>
      </c>
    </row>
    <row r="745" spans="1:16">
      <c r="A745" s="714" t="s">
        <v>4738</v>
      </c>
      <c r="B745" s="116"/>
      <c r="C745" s="753"/>
      <c r="D745" s="66"/>
      <c r="E745" s="116"/>
      <c r="F745" s="116"/>
      <c r="G745" s="116"/>
      <c r="H745" s="66"/>
      <c r="I745" s="116"/>
      <c r="J745" s="66"/>
      <c r="K745" s="470"/>
      <c r="L745" s="116"/>
      <c r="M745" s="116"/>
      <c r="N745" s="118" t="s">
        <v>4664</v>
      </c>
      <c r="O745" s="66"/>
      <c r="P745" s="468">
        <v>42735</v>
      </c>
    </row>
    <row r="746" spans="1:16">
      <c r="A746" s="714" t="s">
        <v>4738</v>
      </c>
      <c r="B746" s="116"/>
      <c r="C746" s="753"/>
      <c r="D746" s="66"/>
      <c r="E746" s="116"/>
      <c r="F746" s="116"/>
      <c r="G746" s="116"/>
      <c r="H746" s="66"/>
      <c r="I746" s="116"/>
      <c r="J746" s="66"/>
      <c r="K746" s="470"/>
      <c r="L746" s="116"/>
      <c r="M746" s="116"/>
      <c r="N746" s="118" t="s">
        <v>4665</v>
      </c>
      <c r="O746" s="66"/>
      <c r="P746" s="468">
        <v>32580</v>
      </c>
    </row>
    <row r="747" spans="1:16">
      <c r="A747" s="714" t="s">
        <v>4738</v>
      </c>
      <c r="B747" s="116"/>
      <c r="C747" s="753"/>
      <c r="D747" s="66"/>
      <c r="E747" s="116"/>
      <c r="F747" s="116"/>
      <c r="G747" s="116"/>
      <c r="H747" s="66"/>
      <c r="I747" s="116"/>
      <c r="J747" s="66"/>
      <c r="K747" s="470"/>
      <c r="L747" s="116"/>
      <c r="M747" s="116"/>
      <c r="N747" s="118" t="s">
        <v>4666</v>
      </c>
      <c r="O747" s="66"/>
      <c r="P747" s="468">
        <v>46567.5</v>
      </c>
    </row>
    <row r="748" spans="1:16">
      <c r="A748" s="714" t="s">
        <v>4738</v>
      </c>
      <c r="B748" s="116"/>
      <c r="C748" s="753"/>
      <c r="D748" s="66"/>
      <c r="E748" s="116"/>
      <c r="F748" s="116"/>
      <c r="G748" s="116"/>
      <c r="H748" s="66"/>
      <c r="I748" s="116"/>
      <c r="J748" s="66"/>
      <c r="K748" s="470"/>
      <c r="L748" s="116"/>
      <c r="M748" s="116"/>
      <c r="N748" s="118" t="s">
        <v>4667</v>
      </c>
      <c r="O748" s="66"/>
      <c r="P748" s="468">
        <v>10677.975</v>
      </c>
    </row>
    <row r="749" spans="1:16">
      <c r="A749" s="714" t="s">
        <v>4738</v>
      </c>
      <c r="B749" s="116"/>
      <c r="C749" s="753"/>
      <c r="D749" s="66"/>
      <c r="E749" s="116"/>
      <c r="F749" s="116"/>
      <c r="G749" s="116"/>
      <c r="H749" s="66"/>
      <c r="I749" s="116"/>
      <c r="J749" s="66"/>
      <c r="K749" s="470"/>
      <c r="L749" s="116"/>
      <c r="M749" s="116"/>
      <c r="N749" s="118" t="s">
        <v>4668</v>
      </c>
      <c r="O749" s="66"/>
      <c r="P749" s="468">
        <v>53032.5</v>
      </c>
    </row>
    <row r="750" spans="1:16">
      <c r="A750" s="714" t="s">
        <v>4738</v>
      </c>
      <c r="B750" s="116"/>
      <c r="C750" s="753"/>
      <c r="D750" s="66"/>
      <c r="E750" s="116"/>
      <c r="F750" s="116"/>
      <c r="G750" s="116"/>
      <c r="H750" s="66"/>
      <c r="I750" s="116"/>
      <c r="J750" s="66"/>
      <c r="K750" s="470"/>
      <c r="L750" s="116"/>
      <c r="M750" s="116"/>
      <c r="N750" s="118" t="s">
        <v>4669</v>
      </c>
      <c r="O750" s="66"/>
      <c r="P750" s="468">
        <v>43935</v>
      </c>
    </row>
    <row r="751" spans="1:16" ht="12.75" customHeight="1">
      <c r="A751" s="714" t="s">
        <v>4738</v>
      </c>
      <c r="B751" s="116"/>
      <c r="C751" s="753" t="s">
        <v>4774</v>
      </c>
      <c r="D751" s="66" t="s">
        <v>4477</v>
      </c>
      <c r="E751" s="116">
        <v>2</v>
      </c>
      <c r="F751" s="116" t="s">
        <v>4775</v>
      </c>
      <c r="G751" s="116"/>
      <c r="H751" s="116" t="s">
        <v>4776</v>
      </c>
      <c r="I751" s="116">
        <v>0.8</v>
      </c>
      <c r="J751" s="66" t="s">
        <v>4777</v>
      </c>
      <c r="K751" s="470">
        <v>98000</v>
      </c>
      <c r="L751" s="116">
        <v>1</v>
      </c>
      <c r="M751" s="116" t="s">
        <v>4345</v>
      </c>
      <c r="N751" s="118" t="s">
        <v>4534</v>
      </c>
      <c r="O751" s="66" t="s">
        <v>4658</v>
      </c>
      <c r="P751" s="468">
        <v>87180</v>
      </c>
    </row>
    <row r="752" spans="1:16">
      <c r="A752" s="714" t="s">
        <v>4738</v>
      </c>
      <c r="B752" s="116"/>
      <c r="C752" s="753"/>
      <c r="D752" s="66"/>
      <c r="E752" s="116"/>
      <c r="F752" s="116"/>
      <c r="G752" s="116"/>
      <c r="H752" s="116"/>
      <c r="I752" s="116"/>
      <c r="J752" s="66"/>
      <c r="K752" s="470"/>
      <c r="L752" s="116"/>
      <c r="M752" s="116"/>
      <c r="N752" s="118" t="s">
        <v>4678</v>
      </c>
      <c r="O752" s="66"/>
      <c r="P752" s="468">
        <v>14000</v>
      </c>
    </row>
    <row r="753" spans="1:16">
      <c r="A753" s="781" t="s">
        <v>4778</v>
      </c>
      <c r="B753" s="139" t="s">
        <v>4779</v>
      </c>
      <c r="C753" s="749" t="s">
        <v>1667</v>
      </c>
      <c r="D753" s="75" t="s">
        <v>4594</v>
      </c>
      <c r="E753" s="184">
        <v>1</v>
      </c>
      <c r="F753" s="139">
        <v>10</v>
      </c>
      <c r="G753" s="139"/>
      <c r="H753" s="139">
        <v>653375</v>
      </c>
      <c r="I753" s="184">
        <v>1</v>
      </c>
      <c r="J753" s="75" t="s">
        <v>4780</v>
      </c>
      <c r="K753" s="470">
        <v>1769000</v>
      </c>
      <c r="L753" s="184"/>
      <c r="M753" s="139"/>
      <c r="N753" s="183"/>
      <c r="O753" s="185"/>
      <c r="P753" s="468"/>
    </row>
    <row r="754" spans="1:16" ht="99.6" customHeight="1">
      <c r="A754" s="714" t="s">
        <v>110</v>
      </c>
      <c r="B754" s="116" t="s">
        <v>4781</v>
      </c>
      <c r="C754" s="753" t="s">
        <v>4782</v>
      </c>
      <c r="D754" s="66" t="s">
        <v>3778</v>
      </c>
      <c r="E754" s="116">
        <v>114</v>
      </c>
      <c r="F754" s="116">
        <v>176.01249999999999</v>
      </c>
      <c r="G754" s="119">
        <v>630000</v>
      </c>
      <c r="H754" s="119"/>
      <c r="I754" s="116">
        <v>24.52</v>
      </c>
      <c r="J754" s="66" t="s">
        <v>4783</v>
      </c>
      <c r="K754" s="470">
        <v>149737500</v>
      </c>
      <c r="L754" s="116">
        <v>1</v>
      </c>
      <c r="M754" s="116" t="s">
        <v>4345</v>
      </c>
      <c r="N754" s="118" t="s">
        <v>4657</v>
      </c>
      <c r="O754" s="66" t="s">
        <v>4658</v>
      </c>
      <c r="P754" s="468">
        <v>37620000</v>
      </c>
    </row>
    <row r="755" spans="1:16" ht="123.75">
      <c r="A755" s="714" t="s">
        <v>110</v>
      </c>
      <c r="B755" s="116"/>
      <c r="C755" s="753"/>
      <c r="D755" s="66"/>
      <c r="E755" s="116"/>
      <c r="F755" s="116"/>
      <c r="G755" s="171" t="s">
        <v>4784</v>
      </c>
      <c r="H755" s="119"/>
      <c r="I755" s="116"/>
      <c r="J755" s="66"/>
      <c r="K755" s="470"/>
      <c r="L755" s="116"/>
      <c r="M755" s="116"/>
      <c r="N755" s="118" t="s">
        <v>4659</v>
      </c>
      <c r="O755" s="66"/>
      <c r="P755" s="468">
        <v>2275274.6999999997</v>
      </c>
    </row>
    <row r="756" spans="1:16" ht="73.5" customHeight="1">
      <c r="A756" s="714" t="s">
        <v>110</v>
      </c>
      <c r="B756" s="116"/>
      <c r="C756" s="753"/>
      <c r="D756" s="66"/>
      <c r="E756" s="116"/>
      <c r="F756" s="116"/>
      <c r="G756" s="119">
        <v>1080000</v>
      </c>
      <c r="H756" s="119"/>
      <c r="I756" s="116"/>
      <c r="J756" s="66" t="s">
        <v>4785</v>
      </c>
      <c r="K756" s="470"/>
      <c r="L756" s="116"/>
      <c r="M756" s="116"/>
      <c r="N756" s="118" t="s">
        <v>4660</v>
      </c>
      <c r="O756" s="66"/>
      <c r="P756" s="468">
        <v>3821850</v>
      </c>
    </row>
    <row r="757" spans="1:16">
      <c r="A757" s="714" t="s">
        <v>110</v>
      </c>
      <c r="B757" s="116"/>
      <c r="C757" s="753"/>
      <c r="D757" s="66"/>
      <c r="E757" s="116"/>
      <c r="F757" s="116"/>
      <c r="G757" s="119"/>
      <c r="H757" s="119"/>
      <c r="I757" s="116"/>
      <c r="J757" s="66"/>
      <c r="K757" s="470"/>
      <c r="L757" s="116"/>
      <c r="M757" s="116"/>
      <c r="N757" s="118" t="s">
        <v>4661</v>
      </c>
      <c r="O757" s="66"/>
      <c r="P757" s="468">
        <v>4216860</v>
      </c>
    </row>
    <row r="758" spans="1:16" ht="56.25">
      <c r="A758" s="714" t="s">
        <v>110</v>
      </c>
      <c r="B758" s="116"/>
      <c r="C758" s="753"/>
      <c r="D758" s="66"/>
      <c r="E758" s="116"/>
      <c r="F758" s="116"/>
      <c r="G758" s="119">
        <v>900000</v>
      </c>
      <c r="H758" s="119" t="s">
        <v>4786</v>
      </c>
      <c r="I758" s="116"/>
      <c r="J758" s="66" t="s">
        <v>4787</v>
      </c>
      <c r="K758" s="470"/>
      <c r="L758" s="116"/>
      <c r="M758" s="116"/>
      <c r="N758" s="118" t="s">
        <v>4662</v>
      </c>
      <c r="O758" s="66"/>
      <c r="P758" s="468">
        <v>1469745</v>
      </c>
    </row>
    <row r="759" spans="1:16" ht="22.5">
      <c r="A759" s="714" t="s">
        <v>110</v>
      </c>
      <c r="B759" s="116"/>
      <c r="C759" s="753"/>
      <c r="D759" s="66"/>
      <c r="E759" s="116"/>
      <c r="F759" s="116"/>
      <c r="G759" s="119"/>
      <c r="H759" s="119"/>
      <c r="I759" s="116"/>
      <c r="J759" s="66" t="s">
        <v>4788</v>
      </c>
      <c r="K759" s="470"/>
      <c r="L759" s="116"/>
      <c r="M759" s="116"/>
      <c r="N759" s="118" t="s">
        <v>4663</v>
      </c>
      <c r="O759" s="66"/>
      <c r="P759" s="468">
        <v>363076.89</v>
      </c>
    </row>
    <row r="760" spans="1:16">
      <c r="A760" s="714" t="s">
        <v>110</v>
      </c>
      <c r="B760" s="116"/>
      <c r="C760" s="753"/>
      <c r="D760" s="66"/>
      <c r="E760" s="116"/>
      <c r="F760" s="116"/>
      <c r="G760" s="119"/>
      <c r="H760" s="119"/>
      <c r="I760" s="116"/>
      <c r="J760" s="66" t="s">
        <v>4789</v>
      </c>
      <c r="K760" s="470"/>
      <c r="L760" s="116"/>
      <c r="M760" s="116"/>
      <c r="N760" s="118" t="s">
        <v>4664</v>
      </c>
      <c r="O760" s="66"/>
      <c r="P760" s="468">
        <v>324786</v>
      </c>
    </row>
    <row r="761" spans="1:16">
      <c r="A761" s="714" t="s">
        <v>110</v>
      </c>
      <c r="B761" s="116"/>
      <c r="C761" s="753"/>
      <c r="D761" s="66"/>
      <c r="E761" s="116"/>
      <c r="F761" s="116"/>
      <c r="G761" s="119"/>
      <c r="H761" s="119"/>
      <c r="I761" s="116"/>
      <c r="J761" s="66" t="s">
        <v>4790</v>
      </c>
      <c r="K761" s="470"/>
      <c r="L761" s="116"/>
      <c r="M761" s="116"/>
      <c r="N761" s="118" t="s">
        <v>4665</v>
      </c>
      <c r="O761" s="66"/>
      <c r="P761" s="468">
        <v>247608</v>
      </c>
    </row>
    <row r="762" spans="1:16">
      <c r="A762" s="714" t="s">
        <v>110</v>
      </c>
      <c r="B762" s="116"/>
      <c r="C762" s="753"/>
      <c r="D762" s="66"/>
      <c r="E762" s="116"/>
      <c r="F762" s="116"/>
      <c r="G762" s="119"/>
      <c r="H762" s="119"/>
      <c r="I762" s="116"/>
      <c r="J762" s="66"/>
      <c r="K762" s="470"/>
      <c r="L762" s="116"/>
      <c r="M762" s="116"/>
      <c r="N762" s="118" t="s">
        <v>4666</v>
      </c>
      <c r="O762" s="66"/>
      <c r="P762" s="468">
        <v>353913</v>
      </c>
    </row>
    <row r="763" spans="1:16">
      <c r="A763" s="714" t="s">
        <v>110</v>
      </c>
      <c r="B763" s="116"/>
      <c r="C763" s="753"/>
      <c r="D763" s="66"/>
      <c r="E763" s="116"/>
      <c r="F763" s="116"/>
      <c r="G763" s="119"/>
      <c r="H763" s="119"/>
      <c r="I763" s="116"/>
      <c r="J763" s="66"/>
      <c r="K763" s="470"/>
      <c r="L763" s="116"/>
      <c r="M763" s="116"/>
      <c r="N763" s="118" t="s">
        <v>4667</v>
      </c>
      <c r="O763" s="66"/>
      <c r="P763" s="468">
        <v>81152.61</v>
      </c>
    </row>
    <row r="764" spans="1:16">
      <c r="A764" s="714" t="s">
        <v>110</v>
      </c>
      <c r="B764" s="116"/>
      <c r="C764" s="753"/>
      <c r="D764" s="66"/>
      <c r="E764" s="116"/>
      <c r="F764" s="116"/>
      <c r="G764" s="119"/>
      <c r="H764" s="119"/>
      <c r="I764" s="116"/>
      <c r="J764" s="66"/>
      <c r="K764" s="470"/>
      <c r="L764" s="116"/>
      <c r="M764" s="116"/>
      <c r="N764" s="118" t="s">
        <v>4668</v>
      </c>
      <c r="O764" s="66"/>
      <c r="P764" s="468">
        <v>403047</v>
      </c>
    </row>
    <row r="765" spans="1:16">
      <c r="A765" s="714" t="s">
        <v>110</v>
      </c>
      <c r="B765" s="116"/>
      <c r="C765" s="753"/>
      <c r="D765" s="66"/>
      <c r="E765" s="116"/>
      <c r="F765" s="116"/>
      <c r="G765" s="119"/>
      <c r="H765" s="119"/>
      <c r="I765" s="116"/>
      <c r="J765" s="66"/>
      <c r="K765" s="470"/>
      <c r="L765" s="116"/>
      <c r="M765" s="116"/>
      <c r="N765" s="118" t="s">
        <v>4669</v>
      </c>
      <c r="O765" s="66"/>
      <c r="P765" s="468">
        <v>333906</v>
      </c>
    </row>
    <row r="766" spans="1:16" ht="12.75" customHeight="1">
      <c r="A766" s="714" t="s">
        <v>110</v>
      </c>
      <c r="B766" s="116"/>
      <c r="C766" s="753" t="s">
        <v>4791</v>
      </c>
      <c r="D766" s="66" t="s">
        <v>3824</v>
      </c>
      <c r="E766" s="116">
        <v>4</v>
      </c>
      <c r="F766" s="116"/>
      <c r="G766" s="116"/>
      <c r="H766" s="116"/>
      <c r="I766" s="116">
        <v>2.7</v>
      </c>
      <c r="J766" s="66" t="s">
        <v>4792</v>
      </c>
      <c r="K766" s="470">
        <v>455000</v>
      </c>
      <c r="L766" s="116">
        <v>1</v>
      </c>
      <c r="M766" s="116" t="s">
        <v>4345</v>
      </c>
      <c r="N766" s="118" t="s">
        <v>4534</v>
      </c>
      <c r="O766" s="66" t="s">
        <v>4658</v>
      </c>
      <c r="P766" s="468">
        <v>148800</v>
      </c>
    </row>
    <row r="767" spans="1:16">
      <c r="A767" s="714" t="s">
        <v>110</v>
      </c>
      <c r="B767" s="116"/>
      <c r="C767" s="753"/>
      <c r="D767" s="66"/>
      <c r="E767" s="116"/>
      <c r="F767" s="116"/>
      <c r="G767" s="116"/>
      <c r="H767" s="116"/>
      <c r="I767" s="116"/>
      <c r="J767" s="66"/>
      <c r="K767" s="470"/>
      <c r="L767" s="116"/>
      <c r="M767" s="116"/>
      <c r="N767" s="118" t="s">
        <v>4534</v>
      </c>
      <c r="O767" s="66"/>
      <c r="P767" s="468">
        <v>89600</v>
      </c>
    </row>
    <row r="768" spans="1:16" ht="18.600000000000001" customHeight="1">
      <c r="A768" s="714" t="s">
        <v>110</v>
      </c>
      <c r="B768" s="116"/>
      <c r="C768" s="753" t="s">
        <v>4793</v>
      </c>
      <c r="D768" s="66" t="s">
        <v>4724</v>
      </c>
      <c r="E768" s="116">
        <v>15</v>
      </c>
      <c r="F768" s="116">
        <v>6</v>
      </c>
      <c r="G768" s="116"/>
      <c r="H768" s="116"/>
      <c r="I768" s="116">
        <v>9.9</v>
      </c>
      <c r="J768" s="66" t="s">
        <v>4794</v>
      </c>
      <c r="K768" s="470">
        <v>3500000</v>
      </c>
      <c r="L768" s="116">
        <v>1</v>
      </c>
      <c r="M768" s="116" t="s">
        <v>4345</v>
      </c>
      <c r="N768" s="118" t="s">
        <v>4534</v>
      </c>
      <c r="O768" s="66" t="s">
        <v>4658</v>
      </c>
      <c r="P768" s="468">
        <v>653850</v>
      </c>
    </row>
    <row r="769" spans="1:16" ht="27.95" customHeight="1">
      <c r="A769" s="714" t="s">
        <v>110</v>
      </c>
      <c r="B769" s="116"/>
      <c r="C769" s="753"/>
      <c r="D769" s="66"/>
      <c r="E769" s="116"/>
      <c r="F769" s="116"/>
      <c r="G769" s="116"/>
      <c r="H769" s="116"/>
      <c r="I769" s="116"/>
      <c r="J769" s="66"/>
      <c r="K769" s="470"/>
      <c r="L769" s="116"/>
      <c r="M769" s="116"/>
      <c r="N769" s="118" t="s">
        <v>4678</v>
      </c>
      <c r="O769" s="66"/>
      <c r="P769" s="468">
        <v>105000</v>
      </c>
    </row>
    <row r="770" spans="1:16" ht="20.100000000000001" customHeight="1">
      <c r="A770" s="714" t="s">
        <v>110</v>
      </c>
      <c r="B770" s="116"/>
      <c r="C770" s="753" t="s">
        <v>4795</v>
      </c>
      <c r="D770" s="66" t="s">
        <v>4796</v>
      </c>
      <c r="E770" s="116">
        <v>43</v>
      </c>
      <c r="F770" s="116">
        <v>17.990000000000002</v>
      </c>
      <c r="G770" s="119">
        <v>100000</v>
      </c>
      <c r="H770" s="119"/>
      <c r="I770" s="116">
        <v>4.1899999999999995</v>
      </c>
      <c r="J770" s="66" t="s">
        <v>4797</v>
      </c>
      <c r="K770" s="470">
        <v>38626439</v>
      </c>
      <c r="L770" s="116">
        <v>1</v>
      </c>
      <c r="M770" s="116" t="s">
        <v>4345</v>
      </c>
      <c r="N770" s="118" t="s">
        <v>4534</v>
      </c>
      <c r="O770" s="66" t="s">
        <v>4658</v>
      </c>
      <c r="P770" s="468">
        <v>499832</v>
      </c>
    </row>
    <row r="771" spans="1:16" ht="45">
      <c r="A771" s="714" t="s">
        <v>110</v>
      </c>
      <c r="B771" s="116"/>
      <c r="C771" s="753"/>
      <c r="D771" s="66"/>
      <c r="E771" s="116"/>
      <c r="F771" s="116"/>
      <c r="G771" s="119"/>
      <c r="H771" s="119"/>
      <c r="I771" s="116"/>
      <c r="J771" s="66" t="s">
        <v>4798</v>
      </c>
      <c r="K771" s="470"/>
      <c r="L771" s="116"/>
      <c r="M771" s="116"/>
      <c r="N771" s="118" t="s">
        <v>4673</v>
      </c>
      <c r="O771" s="66"/>
      <c r="P771" s="468">
        <v>385280</v>
      </c>
    </row>
    <row r="772" spans="1:16">
      <c r="A772" s="714" t="s">
        <v>110</v>
      </c>
      <c r="B772" s="116"/>
      <c r="C772" s="753"/>
      <c r="D772" s="66"/>
      <c r="E772" s="116"/>
      <c r="F772" s="116"/>
      <c r="G772" s="119"/>
      <c r="H772" s="119"/>
      <c r="I772" s="116"/>
      <c r="J772" s="66"/>
      <c r="K772" s="470"/>
      <c r="L772" s="116"/>
      <c r="M772" s="116"/>
      <c r="N772" s="118" t="s">
        <v>4534</v>
      </c>
      <c r="O772" s="66"/>
      <c r="P772" s="468">
        <v>426560</v>
      </c>
    </row>
    <row r="773" spans="1:16" ht="12.75" customHeight="1">
      <c r="A773" s="714" t="s">
        <v>110</v>
      </c>
      <c r="B773" s="116" t="s">
        <v>4799</v>
      </c>
      <c r="C773" s="753" t="s">
        <v>4800</v>
      </c>
      <c r="D773" s="66" t="s">
        <v>3754</v>
      </c>
      <c r="E773" s="116">
        <v>4</v>
      </c>
      <c r="F773" s="116">
        <v>383</v>
      </c>
      <c r="G773" s="116" t="s">
        <v>4801</v>
      </c>
      <c r="H773" s="116">
        <v>64800000</v>
      </c>
      <c r="I773" s="116">
        <v>108</v>
      </c>
      <c r="J773" s="66" t="s">
        <v>4802</v>
      </c>
      <c r="K773" s="470">
        <v>162000000</v>
      </c>
      <c r="L773" s="116">
        <v>1</v>
      </c>
      <c r="M773" s="116" t="s">
        <v>4345</v>
      </c>
      <c r="N773" s="118" t="s">
        <v>4524</v>
      </c>
      <c r="O773" s="66" t="s">
        <v>4658</v>
      </c>
      <c r="P773" s="468">
        <v>3082069.411764706</v>
      </c>
    </row>
    <row r="774" spans="1:16">
      <c r="A774" s="714" t="s">
        <v>110</v>
      </c>
      <c r="B774" s="116"/>
      <c r="C774" s="753"/>
      <c r="D774" s="66"/>
      <c r="E774" s="116"/>
      <c r="F774" s="116"/>
      <c r="G774" s="116"/>
      <c r="H774" s="116"/>
      <c r="I774" s="116"/>
      <c r="J774" s="66"/>
      <c r="K774" s="470"/>
      <c r="L774" s="116"/>
      <c r="M774" s="116"/>
      <c r="N774" s="118" t="s">
        <v>4524</v>
      </c>
      <c r="O774" s="66"/>
      <c r="P774" s="468">
        <v>2375717.6470588236</v>
      </c>
    </row>
    <row r="775" spans="1:16">
      <c r="A775" s="714" t="s">
        <v>110</v>
      </c>
      <c r="B775" s="116"/>
      <c r="C775" s="753"/>
      <c r="D775" s="66"/>
      <c r="E775" s="116"/>
      <c r="F775" s="116"/>
      <c r="G775" s="116"/>
      <c r="H775" s="116"/>
      <c r="I775" s="116"/>
      <c r="J775" s="66"/>
      <c r="K775" s="470"/>
      <c r="L775" s="116"/>
      <c r="M775" s="116"/>
      <c r="N775" s="118" t="s">
        <v>4524</v>
      </c>
      <c r="O775" s="66"/>
      <c r="P775" s="468">
        <v>2969647.0588235296</v>
      </c>
    </row>
    <row r="776" spans="1:16" ht="12.75" customHeight="1">
      <c r="A776" s="714" t="s">
        <v>110</v>
      </c>
      <c r="B776" s="116"/>
      <c r="C776" s="753" t="s">
        <v>4803</v>
      </c>
      <c r="D776" s="66" t="s">
        <v>3843</v>
      </c>
      <c r="E776" s="116">
        <v>2</v>
      </c>
      <c r="F776" s="116">
        <v>1.6</v>
      </c>
      <c r="G776" s="116" t="s">
        <v>4801</v>
      </c>
      <c r="H776" s="116">
        <v>50000</v>
      </c>
      <c r="I776" s="116">
        <v>2</v>
      </c>
      <c r="J776" s="66" t="s">
        <v>4804</v>
      </c>
      <c r="K776" s="470">
        <v>120000</v>
      </c>
      <c r="L776" s="116">
        <v>1</v>
      </c>
      <c r="M776" s="116" t="s">
        <v>4345</v>
      </c>
      <c r="N776" s="118" t="s">
        <v>4534</v>
      </c>
      <c r="O776" s="66" t="s">
        <v>4658</v>
      </c>
      <c r="P776" s="468">
        <v>87180</v>
      </c>
    </row>
    <row r="777" spans="1:16">
      <c r="A777" s="714" t="s">
        <v>110</v>
      </c>
      <c r="B777" s="116"/>
      <c r="C777" s="753"/>
      <c r="D777" s="66"/>
      <c r="E777" s="116"/>
      <c r="F777" s="116"/>
      <c r="G777" s="116"/>
      <c r="H777" s="116"/>
      <c r="I777" s="116"/>
      <c r="J777" s="66"/>
      <c r="K777" s="470"/>
      <c r="L777" s="116"/>
      <c r="M777" s="116"/>
      <c r="N777" s="118" t="s">
        <v>4678</v>
      </c>
      <c r="O777" s="66"/>
      <c r="P777" s="468">
        <v>14000</v>
      </c>
    </row>
    <row r="778" spans="1:16" ht="12.75" customHeight="1">
      <c r="A778" s="714" t="s">
        <v>110</v>
      </c>
      <c r="B778" s="116"/>
      <c r="C778" s="753" t="s">
        <v>4803</v>
      </c>
      <c r="D778" s="66" t="s">
        <v>3867</v>
      </c>
      <c r="E778" s="116">
        <v>2</v>
      </c>
      <c r="F778" s="116">
        <v>800</v>
      </c>
      <c r="G778" s="116" t="s">
        <v>4801</v>
      </c>
      <c r="H778" s="116">
        <v>4800000</v>
      </c>
      <c r="I778" s="116">
        <v>8</v>
      </c>
      <c r="J778" s="66" t="s">
        <v>4804</v>
      </c>
      <c r="K778" s="470">
        <v>17400000</v>
      </c>
      <c r="L778" s="116">
        <v>1</v>
      </c>
      <c r="M778" s="116" t="s">
        <v>4345</v>
      </c>
      <c r="N778" s="118" t="s">
        <v>4683</v>
      </c>
      <c r="O778" s="66" t="s">
        <v>4658</v>
      </c>
      <c r="P778" s="468">
        <v>171480</v>
      </c>
    </row>
    <row r="779" spans="1:16">
      <c r="A779" s="714" t="s">
        <v>110</v>
      </c>
      <c r="B779" s="116"/>
      <c r="C779" s="753"/>
      <c r="D779" s="66"/>
      <c r="E779" s="116"/>
      <c r="F779" s="116"/>
      <c r="G779" s="116"/>
      <c r="H779" s="116"/>
      <c r="I779" s="116"/>
      <c r="J779" s="66"/>
      <c r="K779" s="470"/>
      <c r="L779" s="116"/>
      <c r="M779" s="116"/>
      <c r="N779" s="118" t="s">
        <v>4684</v>
      </c>
      <c r="O779" s="66"/>
      <c r="P779" s="468">
        <v>171840</v>
      </c>
    </row>
    <row r="780" spans="1:16">
      <c r="A780" s="714" t="s">
        <v>110</v>
      </c>
      <c r="B780" s="116"/>
      <c r="C780" s="753"/>
      <c r="D780" s="66"/>
      <c r="E780" s="116"/>
      <c r="F780" s="116"/>
      <c r="G780" s="116"/>
      <c r="H780" s="116"/>
      <c r="I780" s="116"/>
      <c r="J780" s="66"/>
      <c r="K780" s="470"/>
      <c r="L780" s="116"/>
      <c r="M780" s="116"/>
      <c r="N780" s="118" t="s">
        <v>4685</v>
      </c>
      <c r="O780" s="66"/>
      <c r="P780" s="468">
        <v>57280</v>
      </c>
    </row>
    <row r="781" spans="1:16">
      <c r="A781" s="714" t="s">
        <v>110</v>
      </c>
      <c r="B781" s="116"/>
      <c r="C781" s="753"/>
      <c r="D781" s="66"/>
      <c r="E781" s="116"/>
      <c r="F781" s="116"/>
      <c r="G781" s="116"/>
      <c r="H781" s="116"/>
      <c r="I781" s="116"/>
      <c r="J781" s="66"/>
      <c r="K781" s="470"/>
      <c r="L781" s="116"/>
      <c r="M781" s="116"/>
      <c r="N781" s="118" t="s">
        <v>4687</v>
      </c>
      <c r="O781" s="66"/>
      <c r="P781" s="468">
        <v>27000</v>
      </c>
    </row>
    <row r="782" spans="1:16">
      <c r="A782" s="714" t="s">
        <v>110</v>
      </c>
      <c r="B782" s="116"/>
      <c r="C782" s="753"/>
      <c r="D782" s="66"/>
      <c r="E782" s="116"/>
      <c r="F782" s="116"/>
      <c r="G782" s="116"/>
      <c r="H782" s="116"/>
      <c r="I782" s="116"/>
      <c r="J782" s="66"/>
      <c r="K782" s="470"/>
      <c r="L782" s="116"/>
      <c r="M782" s="116"/>
      <c r="N782" s="118" t="s">
        <v>4688</v>
      </c>
      <c r="O782" s="66"/>
      <c r="P782" s="468">
        <v>31100</v>
      </c>
    </row>
    <row r="783" spans="1:16">
      <c r="A783" s="714" t="s">
        <v>110</v>
      </c>
      <c r="B783" s="116"/>
      <c r="C783" s="753"/>
      <c r="D783" s="66"/>
      <c r="E783" s="116"/>
      <c r="F783" s="116"/>
      <c r="G783" s="116"/>
      <c r="H783" s="116"/>
      <c r="I783" s="116"/>
      <c r="J783" s="66"/>
      <c r="K783" s="470"/>
      <c r="L783" s="116"/>
      <c r="M783" s="116"/>
      <c r="N783" s="118" t="s">
        <v>4689</v>
      </c>
      <c r="O783" s="66"/>
      <c r="P783" s="468">
        <v>24600</v>
      </c>
    </row>
    <row r="784" spans="1:16">
      <c r="A784" s="714" t="s">
        <v>110</v>
      </c>
      <c r="B784" s="116"/>
      <c r="C784" s="753"/>
      <c r="D784" s="66"/>
      <c r="E784" s="116"/>
      <c r="F784" s="116"/>
      <c r="G784" s="116"/>
      <c r="H784" s="116"/>
      <c r="I784" s="116"/>
      <c r="J784" s="66"/>
      <c r="K784" s="470"/>
      <c r="L784" s="116"/>
      <c r="M784" s="116"/>
      <c r="N784" s="118" t="s">
        <v>4690</v>
      </c>
      <c r="O784" s="66"/>
      <c r="P784" s="468">
        <v>9600</v>
      </c>
    </row>
    <row r="785" spans="1:16">
      <c r="A785" s="714" t="s">
        <v>110</v>
      </c>
      <c r="B785" s="116"/>
      <c r="C785" s="753"/>
      <c r="D785" s="66"/>
      <c r="E785" s="116"/>
      <c r="F785" s="116"/>
      <c r="G785" s="116"/>
      <c r="H785" s="116"/>
      <c r="I785" s="116"/>
      <c r="J785" s="66"/>
      <c r="K785" s="470"/>
      <c r="L785" s="116"/>
      <c r="M785" s="116"/>
      <c r="N785" s="118" t="s">
        <v>4691</v>
      </c>
      <c r="O785" s="66"/>
      <c r="P785" s="468">
        <v>4000</v>
      </c>
    </row>
    <row r="786" spans="1:16">
      <c r="A786" s="714" t="s">
        <v>110</v>
      </c>
      <c r="B786" s="116"/>
      <c r="C786" s="753"/>
      <c r="D786" s="66"/>
      <c r="E786" s="116"/>
      <c r="F786" s="116"/>
      <c r="G786" s="116"/>
      <c r="H786" s="116"/>
      <c r="I786" s="116"/>
      <c r="J786" s="66"/>
      <c r="K786" s="470"/>
      <c r="L786" s="116"/>
      <c r="M786" s="116"/>
      <c r="N786" s="118" t="s">
        <v>4692</v>
      </c>
      <c r="O786" s="66"/>
      <c r="P786" s="468">
        <v>12800</v>
      </c>
    </row>
    <row r="787" spans="1:16">
      <c r="A787" s="714" t="s">
        <v>110</v>
      </c>
      <c r="B787" s="116"/>
      <c r="C787" s="753"/>
      <c r="D787" s="66"/>
      <c r="E787" s="116"/>
      <c r="F787" s="116"/>
      <c r="G787" s="116"/>
      <c r="H787" s="116"/>
      <c r="I787" s="116"/>
      <c r="J787" s="66"/>
      <c r="K787" s="470"/>
      <c r="L787" s="116"/>
      <c r="M787" s="116"/>
      <c r="N787" s="118" t="s">
        <v>4693</v>
      </c>
      <c r="O787" s="66"/>
      <c r="P787" s="468">
        <v>14400</v>
      </c>
    </row>
    <row r="788" spans="1:16">
      <c r="A788" s="714" t="s">
        <v>110</v>
      </c>
      <c r="B788" s="116"/>
      <c r="C788" s="753"/>
      <c r="D788" s="66"/>
      <c r="E788" s="116"/>
      <c r="F788" s="116"/>
      <c r="G788" s="116"/>
      <c r="H788" s="116"/>
      <c r="I788" s="116"/>
      <c r="J788" s="66"/>
      <c r="K788" s="470"/>
      <c r="L788" s="116"/>
      <c r="M788" s="116"/>
      <c r="N788" s="118" t="s">
        <v>4694</v>
      </c>
      <c r="O788" s="66"/>
      <c r="P788" s="468">
        <v>21600</v>
      </c>
    </row>
    <row r="789" spans="1:16">
      <c r="A789" s="714" t="s">
        <v>110</v>
      </c>
      <c r="B789" s="116"/>
      <c r="C789" s="753"/>
      <c r="D789" s="66"/>
      <c r="E789" s="116"/>
      <c r="F789" s="116"/>
      <c r="G789" s="116"/>
      <c r="H789" s="116"/>
      <c r="I789" s="116"/>
      <c r="J789" s="66"/>
      <c r="K789" s="470"/>
      <c r="L789" s="116"/>
      <c r="M789" s="116"/>
      <c r="N789" s="118" t="s">
        <v>4732</v>
      </c>
      <c r="O789" s="66"/>
      <c r="P789" s="468">
        <v>13000</v>
      </c>
    </row>
    <row r="790" spans="1:16" ht="12.75" customHeight="1">
      <c r="A790" s="714" t="s">
        <v>110</v>
      </c>
      <c r="B790" s="116"/>
      <c r="C790" s="753" t="s">
        <v>4805</v>
      </c>
      <c r="D790" s="66" t="s">
        <v>4695</v>
      </c>
      <c r="E790" s="116">
        <v>2</v>
      </c>
      <c r="F790" s="116">
        <v>15.25</v>
      </c>
      <c r="G790" s="116" t="s">
        <v>4801</v>
      </c>
      <c r="H790" s="116">
        <v>3000000</v>
      </c>
      <c r="I790" s="116">
        <v>2.0499999999999998</v>
      </c>
      <c r="J790" s="66" t="s">
        <v>4804</v>
      </c>
      <c r="K790" s="470">
        <v>3000000</v>
      </c>
      <c r="L790" s="116">
        <v>1</v>
      </c>
      <c r="M790" s="116" t="s">
        <v>4345</v>
      </c>
      <c r="N790" s="118" t="s">
        <v>4534</v>
      </c>
      <c r="O790" s="66" t="s">
        <v>4658</v>
      </c>
      <c r="P790" s="468">
        <v>2583.1111111111113</v>
      </c>
    </row>
    <row r="791" spans="1:16">
      <c r="A791" s="714" t="s">
        <v>110</v>
      </c>
      <c r="B791" s="116"/>
      <c r="C791" s="753"/>
      <c r="D791" s="66"/>
      <c r="E791" s="116"/>
      <c r="F791" s="116"/>
      <c r="G791" s="116"/>
      <c r="H791" s="116"/>
      <c r="I791" s="116"/>
      <c r="J791" s="66"/>
      <c r="K791" s="470"/>
      <c r="L791" s="116"/>
      <c r="M791" s="116"/>
      <c r="N791" s="118" t="s">
        <v>4534</v>
      </c>
      <c r="O791" s="66"/>
      <c r="P791" s="468">
        <v>995.55555555555554</v>
      </c>
    </row>
    <row r="792" spans="1:16">
      <c r="A792" s="714" t="s">
        <v>110</v>
      </c>
      <c r="B792" s="116"/>
      <c r="C792" s="753"/>
      <c r="D792" s="66"/>
      <c r="E792" s="116"/>
      <c r="F792" s="116"/>
      <c r="G792" s="116"/>
      <c r="H792" s="116"/>
      <c r="I792" s="116"/>
      <c r="J792" s="66"/>
      <c r="K792" s="470"/>
      <c r="L792" s="116"/>
      <c r="M792" s="116"/>
      <c r="N792" s="118" t="s">
        <v>4534</v>
      </c>
      <c r="O792" s="66"/>
      <c r="P792" s="468">
        <v>1102.2222222222222</v>
      </c>
    </row>
    <row r="793" spans="1:16">
      <c r="A793" s="714" t="s">
        <v>110</v>
      </c>
      <c r="B793" s="116"/>
      <c r="C793" s="753"/>
      <c r="D793" s="66"/>
      <c r="E793" s="116"/>
      <c r="F793" s="116"/>
      <c r="G793" s="116"/>
      <c r="H793" s="116"/>
      <c r="I793" s="116"/>
      <c r="J793" s="66"/>
      <c r="K793" s="470"/>
      <c r="L793" s="116"/>
      <c r="M793" s="116"/>
      <c r="N793" s="118" t="s">
        <v>4698</v>
      </c>
      <c r="O793" s="66"/>
      <c r="P793" s="468">
        <v>53333.333333333336</v>
      </c>
    </row>
    <row r="794" spans="1:16" ht="12.75" customHeight="1">
      <c r="A794" s="714" t="s">
        <v>110</v>
      </c>
      <c r="B794" s="116" t="s">
        <v>703</v>
      </c>
      <c r="C794" s="753" t="s">
        <v>4806</v>
      </c>
      <c r="D794" s="66" t="s">
        <v>4807</v>
      </c>
      <c r="E794" s="116">
        <v>8</v>
      </c>
      <c r="F794" s="116"/>
      <c r="G794" s="66" t="s">
        <v>4808</v>
      </c>
      <c r="H794" s="116"/>
      <c r="I794" s="116">
        <v>0.35</v>
      </c>
      <c r="J794" s="66" t="s">
        <v>4809</v>
      </c>
      <c r="K794" s="470">
        <v>1470000</v>
      </c>
      <c r="L794" s="116">
        <v>1</v>
      </c>
      <c r="M794" s="116" t="s">
        <v>4345</v>
      </c>
      <c r="N794" s="118" t="s">
        <v>4534</v>
      </c>
      <c r="O794" s="66" t="s">
        <v>4658</v>
      </c>
      <c r="P794" s="468">
        <v>92992</v>
      </c>
    </row>
    <row r="795" spans="1:16">
      <c r="A795" s="714" t="s">
        <v>110</v>
      </c>
      <c r="B795" s="116"/>
      <c r="C795" s="753"/>
      <c r="D795" s="66"/>
      <c r="E795" s="116"/>
      <c r="F795" s="116"/>
      <c r="G795" s="66"/>
      <c r="H795" s="116"/>
      <c r="I795" s="116"/>
      <c r="J795" s="66"/>
      <c r="K795" s="470"/>
      <c r="L795" s="116"/>
      <c r="M795" s="116"/>
      <c r="N795" s="118" t="s">
        <v>4673</v>
      </c>
      <c r="O795" s="66"/>
      <c r="P795" s="468">
        <v>71680</v>
      </c>
    </row>
    <row r="796" spans="1:16">
      <c r="A796" s="714" t="s">
        <v>110</v>
      </c>
      <c r="B796" s="116"/>
      <c r="C796" s="753"/>
      <c r="D796" s="66"/>
      <c r="E796" s="116"/>
      <c r="F796" s="116"/>
      <c r="G796" s="66"/>
      <c r="H796" s="116"/>
      <c r="I796" s="116"/>
      <c r="J796" s="66"/>
      <c r="K796" s="470"/>
      <c r="L796" s="116"/>
      <c r="M796" s="116"/>
      <c r="N796" s="118" t="s">
        <v>4534</v>
      </c>
      <c r="O796" s="66"/>
      <c r="P796" s="468">
        <v>79360</v>
      </c>
    </row>
    <row r="797" spans="1:16" ht="12.75" customHeight="1">
      <c r="A797" s="714" t="s">
        <v>110</v>
      </c>
      <c r="B797" s="116"/>
      <c r="C797" s="753" t="s">
        <v>4810</v>
      </c>
      <c r="D797" s="66" t="s">
        <v>4811</v>
      </c>
      <c r="E797" s="116">
        <v>3</v>
      </c>
      <c r="F797" s="116">
        <v>0.8</v>
      </c>
      <c r="G797" s="116"/>
      <c r="H797" s="116"/>
      <c r="I797" s="116">
        <v>1.5</v>
      </c>
      <c r="J797" s="66" t="s">
        <v>4284</v>
      </c>
      <c r="K797" s="470">
        <v>400000</v>
      </c>
      <c r="L797" s="116">
        <v>1</v>
      </c>
      <c r="M797" s="116" t="s">
        <v>4345</v>
      </c>
      <c r="N797" s="118" t="s">
        <v>4534</v>
      </c>
      <c r="O797" s="66" t="s">
        <v>4658</v>
      </c>
      <c r="P797" s="468">
        <v>130770</v>
      </c>
    </row>
    <row r="798" spans="1:16">
      <c r="A798" s="714" t="s">
        <v>110</v>
      </c>
      <c r="B798" s="116"/>
      <c r="C798" s="753"/>
      <c r="D798" s="66"/>
      <c r="E798" s="116"/>
      <c r="F798" s="116"/>
      <c r="G798" s="116"/>
      <c r="H798" s="116"/>
      <c r="I798" s="116"/>
      <c r="J798" s="66"/>
      <c r="K798" s="470"/>
      <c r="L798" s="116"/>
      <c r="M798" s="116"/>
      <c r="N798" s="118" t="s">
        <v>4678</v>
      </c>
      <c r="O798" s="66"/>
      <c r="P798" s="468">
        <v>21000</v>
      </c>
    </row>
    <row r="799" spans="1:16" ht="12.75" customHeight="1">
      <c r="A799" s="714" t="s">
        <v>110</v>
      </c>
      <c r="B799" s="116"/>
      <c r="C799" s="753" t="s">
        <v>1249</v>
      </c>
      <c r="D799" s="66" t="s">
        <v>3874</v>
      </c>
      <c r="E799" s="116">
        <v>1</v>
      </c>
      <c r="F799" s="116"/>
      <c r="G799" s="116"/>
      <c r="H799" s="116"/>
      <c r="I799" s="116">
        <v>0.25</v>
      </c>
      <c r="J799" s="66"/>
      <c r="K799" s="470">
        <v>300000</v>
      </c>
      <c r="L799" s="116">
        <v>1</v>
      </c>
      <c r="M799" s="116" t="s">
        <v>4345</v>
      </c>
      <c r="N799" s="118" t="s">
        <v>4534</v>
      </c>
      <c r="O799" s="66" t="s">
        <v>4658</v>
      </c>
      <c r="P799" s="468">
        <v>1291.5555555555557</v>
      </c>
    </row>
    <row r="800" spans="1:16">
      <c r="A800" s="714" t="s">
        <v>110</v>
      </c>
      <c r="B800" s="116"/>
      <c r="C800" s="753"/>
      <c r="D800" s="66"/>
      <c r="E800" s="116"/>
      <c r="F800" s="116"/>
      <c r="G800" s="116"/>
      <c r="H800" s="116"/>
      <c r="I800" s="116"/>
      <c r="J800" s="66"/>
      <c r="K800" s="470"/>
      <c r="L800" s="116"/>
      <c r="M800" s="116"/>
      <c r="N800" s="118" t="s">
        <v>4534</v>
      </c>
      <c r="O800" s="66"/>
      <c r="P800" s="468">
        <v>497.77777777777777</v>
      </c>
    </row>
    <row r="801" spans="1:16">
      <c r="A801" s="714" t="s">
        <v>110</v>
      </c>
      <c r="B801" s="116"/>
      <c r="C801" s="753"/>
      <c r="D801" s="66"/>
      <c r="E801" s="116"/>
      <c r="F801" s="116"/>
      <c r="G801" s="116"/>
      <c r="H801" s="116"/>
      <c r="I801" s="116"/>
      <c r="J801" s="66"/>
      <c r="K801" s="470"/>
      <c r="L801" s="116"/>
      <c r="M801" s="116"/>
      <c r="N801" s="118" t="s">
        <v>4534</v>
      </c>
      <c r="O801" s="66"/>
      <c r="P801" s="468">
        <v>551.11111111111109</v>
      </c>
    </row>
    <row r="802" spans="1:16">
      <c r="A802" s="714" t="s">
        <v>110</v>
      </c>
      <c r="B802" s="116"/>
      <c r="C802" s="753"/>
      <c r="D802" s="66"/>
      <c r="E802" s="116"/>
      <c r="F802" s="116"/>
      <c r="G802" s="116"/>
      <c r="H802" s="116"/>
      <c r="I802" s="116"/>
      <c r="J802" s="66"/>
      <c r="K802" s="470"/>
      <c r="L802" s="116"/>
      <c r="M802" s="116"/>
      <c r="N802" s="118" t="s">
        <v>4698</v>
      </c>
      <c r="O802" s="66"/>
      <c r="P802" s="468">
        <v>26666.666666666668</v>
      </c>
    </row>
    <row r="803" spans="1:16" ht="12.75" customHeight="1">
      <c r="A803" s="714" t="s">
        <v>110</v>
      </c>
      <c r="B803" s="116" t="s">
        <v>700</v>
      </c>
      <c r="C803" s="753" t="s">
        <v>4812</v>
      </c>
      <c r="D803" s="66" t="s">
        <v>4813</v>
      </c>
      <c r="E803" s="116">
        <v>1</v>
      </c>
      <c r="F803" s="116">
        <v>25</v>
      </c>
      <c r="G803" s="116" t="s">
        <v>4814</v>
      </c>
      <c r="H803" s="116"/>
      <c r="I803" s="116"/>
      <c r="J803" s="66" t="s">
        <v>4303</v>
      </c>
      <c r="K803" s="470">
        <v>32185500</v>
      </c>
      <c r="L803" s="116">
        <v>1</v>
      </c>
      <c r="M803" s="116" t="s">
        <v>4345</v>
      </c>
      <c r="N803" s="118" t="s">
        <v>4524</v>
      </c>
      <c r="O803" s="66" t="s">
        <v>4658</v>
      </c>
      <c r="P803" s="468">
        <v>770517.3529411765</v>
      </c>
    </row>
    <row r="804" spans="1:16">
      <c r="A804" s="714" t="s">
        <v>110</v>
      </c>
      <c r="B804" s="116"/>
      <c r="C804" s="753"/>
      <c r="D804" s="66"/>
      <c r="E804" s="116"/>
      <c r="F804" s="116"/>
      <c r="G804" s="116"/>
      <c r="H804" s="116"/>
      <c r="I804" s="116"/>
      <c r="J804" s="66"/>
      <c r="K804" s="470"/>
      <c r="L804" s="116"/>
      <c r="M804" s="116"/>
      <c r="N804" s="118" t="s">
        <v>4524</v>
      </c>
      <c r="O804" s="66"/>
      <c r="P804" s="468">
        <v>593929.4117647059</v>
      </c>
    </row>
    <row r="805" spans="1:16">
      <c r="A805" s="714" t="s">
        <v>110</v>
      </c>
      <c r="B805" s="116"/>
      <c r="C805" s="753"/>
      <c r="D805" s="66"/>
      <c r="E805" s="116"/>
      <c r="F805" s="116"/>
      <c r="G805" s="116"/>
      <c r="H805" s="116"/>
      <c r="I805" s="116"/>
      <c r="J805" s="66"/>
      <c r="K805" s="470"/>
      <c r="L805" s="116"/>
      <c r="M805" s="116"/>
      <c r="N805" s="118" t="s">
        <v>4524</v>
      </c>
      <c r="O805" s="66"/>
      <c r="P805" s="468">
        <v>742411.76470588241</v>
      </c>
    </row>
    <row r="806" spans="1:16" ht="33.75">
      <c r="A806" s="714" t="s">
        <v>110</v>
      </c>
      <c r="B806" s="119" t="s">
        <v>4815</v>
      </c>
      <c r="C806" s="753" t="s">
        <v>4816</v>
      </c>
      <c r="D806" s="66" t="s">
        <v>3891</v>
      </c>
      <c r="E806" s="116">
        <v>6</v>
      </c>
      <c r="F806" s="119">
        <v>371.3</v>
      </c>
      <c r="G806" s="119" t="s">
        <v>4801</v>
      </c>
      <c r="H806" s="119">
        <v>6600000</v>
      </c>
      <c r="I806" s="116">
        <v>11</v>
      </c>
      <c r="J806" s="66" t="s">
        <v>4045</v>
      </c>
      <c r="K806" s="470">
        <v>39600000</v>
      </c>
      <c r="L806" s="116">
        <v>1</v>
      </c>
      <c r="M806" s="119" t="s">
        <v>4345</v>
      </c>
      <c r="N806" s="118" t="s">
        <v>4200</v>
      </c>
      <c r="O806" s="171" t="s">
        <v>4658</v>
      </c>
      <c r="P806" s="468">
        <v>348720</v>
      </c>
    </row>
    <row r="807" spans="1:16" ht="12.75" customHeight="1">
      <c r="A807" s="714" t="s">
        <v>110</v>
      </c>
      <c r="B807" s="116" t="s">
        <v>702</v>
      </c>
      <c r="C807" s="753" t="s">
        <v>702</v>
      </c>
      <c r="D807" s="66" t="s">
        <v>4817</v>
      </c>
      <c r="E807" s="66">
        <v>45</v>
      </c>
      <c r="F807" s="66">
        <v>123.375</v>
      </c>
      <c r="G807" s="66" t="s">
        <v>4818</v>
      </c>
      <c r="H807" s="66" t="s">
        <v>4819</v>
      </c>
      <c r="I807" s="66">
        <v>48</v>
      </c>
      <c r="J807" s="66" t="s">
        <v>4820</v>
      </c>
      <c r="K807" s="470">
        <v>30446048</v>
      </c>
      <c r="L807" s="116">
        <v>1</v>
      </c>
      <c r="M807" s="116" t="s">
        <v>4345</v>
      </c>
      <c r="N807" s="118" t="s">
        <v>4657</v>
      </c>
      <c r="O807" s="66" t="s">
        <v>4658</v>
      </c>
      <c r="P807" s="468">
        <v>14850000</v>
      </c>
    </row>
    <row r="808" spans="1:16">
      <c r="A808" s="714" t="s">
        <v>110</v>
      </c>
      <c r="B808" s="116"/>
      <c r="C808" s="753"/>
      <c r="D808" s="66"/>
      <c r="E808" s="66"/>
      <c r="F808" s="66"/>
      <c r="G808" s="66"/>
      <c r="H808" s="66"/>
      <c r="I808" s="66"/>
      <c r="J808" s="66"/>
      <c r="K808" s="470"/>
      <c r="L808" s="116"/>
      <c r="M808" s="116"/>
      <c r="N808" s="118" t="s">
        <v>4659</v>
      </c>
      <c r="O808" s="66"/>
      <c r="P808" s="468">
        <v>898134.75</v>
      </c>
    </row>
    <row r="809" spans="1:16">
      <c r="A809" s="714" t="s">
        <v>110</v>
      </c>
      <c r="B809" s="116"/>
      <c r="C809" s="753"/>
      <c r="D809" s="66"/>
      <c r="E809" s="66"/>
      <c r="F809" s="66"/>
      <c r="G809" s="66"/>
      <c r="H809" s="66"/>
      <c r="I809" s="66"/>
      <c r="J809" s="66"/>
      <c r="K809" s="470"/>
      <c r="L809" s="116"/>
      <c r="M809" s="116"/>
      <c r="N809" s="118" t="s">
        <v>4660</v>
      </c>
      <c r="O809" s="66"/>
      <c r="P809" s="468">
        <v>1508625</v>
      </c>
    </row>
    <row r="810" spans="1:16">
      <c r="A810" s="714" t="s">
        <v>110</v>
      </c>
      <c r="B810" s="116"/>
      <c r="C810" s="753"/>
      <c r="D810" s="66"/>
      <c r="E810" s="66"/>
      <c r="F810" s="66"/>
      <c r="G810" s="66"/>
      <c r="H810" s="66"/>
      <c r="I810" s="66"/>
      <c r="J810" s="66"/>
      <c r="K810" s="470"/>
      <c r="L810" s="116"/>
      <c r="M810" s="116"/>
      <c r="N810" s="118" t="s">
        <v>4661</v>
      </c>
      <c r="O810" s="66"/>
      <c r="P810" s="468">
        <v>1664550</v>
      </c>
    </row>
    <row r="811" spans="1:16">
      <c r="A811" s="714" t="s">
        <v>110</v>
      </c>
      <c r="B811" s="116"/>
      <c r="C811" s="753"/>
      <c r="D811" s="66"/>
      <c r="E811" s="66"/>
      <c r="F811" s="66"/>
      <c r="G811" s="66"/>
      <c r="H811" s="66"/>
      <c r="I811" s="66"/>
      <c r="J811" s="66"/>
      <c r="K811" s="470"/>
      <c r="L811" s="116"/>
      <c r="M811" s="116"/>
      <c r="N811" s="118" t="s">
        <v>4662</v>
      </c>
      <c r="O811" s="66"/>
      <c r="P811" s="468">
        <v>580162.5</v>
      </c>
    </row>
    <row r="812" spans="1:16">
      <c r="A812" s="714" t="s">
        <v>110</v>
      </c>
      <c r="B812" s="116"/>
      <c r="C812" s="753"/>
      <c r="D812" s="66"/>
      <c r="E812" s="66"/>
      <c r="F812" s="66"/>
      <c r="G812" s="66"/>
      <c r="H812" s="66"/>
      <c r="I812" s="66"/>
      <c r="J812" s="66"/>
      <c r="K812" s="470"/>
      <c r="L812" s="116"/>
      <c r="M812" s="116"/>
      <c r="N812" s="118" t="s">
        <v>4663</v>
      </c>
      <c r="O812" s="66"/>
      <c r="P812" s="468">
        <v>143319.82500000001</v>
      </c>
    </row>
    <row r="813" spans="1:16">
      <c r="A813" s="714" t="s">
        <v>110</v>
      </c>
      <c r="B813" s="116"/>
      <c r="C813" s="753"/>
      <c r="D813" s="66"/>
      <c r="E813" s="66"/>
      <c r="F813" s="66"/>
      <c r="G813" s="66"/>
      <c r="H813" s="66"/>
      <c r="I813" s="66"/>
      <c r="J813" s="66"/>
      <c r="K813" s="470"/>
      <c r="L813" s="116"/>
      <c r="M813" s="116"/>
      <c r="N813" s="118" t="s">
        <v>4664</v>
      </c>
      <c r="O813" s="66"/>
      <c r="P813" s="468">
        <v>128205</v>
      </c>
    </row>
    <row r="814" spans="1:16">
      <c r="A814" s="714" t="s">
        <v>110</v>
      </c>
      <c r="B814" s="116"/>
      <c r="C814" s="753"/>
      <c r="D814" s="66"/>
      <c r="E814" s="66"/>
      <c r="F814" s="66"/>
      <c r="G814" s="66"/>
      <c r="H814" s="66"/>
      <c r="I814" s="66"/>
      <c r="J814" s="66"/>
      <c r="K814" s="470"/>
      <c r="L814" s="116"/>
      <c r="M814" s="116"/>
      <c r="N814" s="118" t="s">
        <v>4665</v>
      </c>
      <c r="O814" s="66"/>
      <c r="P814" s="468">
        <v>97740</v>
      </c>
    </row>
    <row r="815" spans="1:16">
      <c r="A815" s="714" t="s">
        <v>110</v>
      </c>
      <c r="B815" s="116"/>
      <c r="C815" s="753"/>
      <c r="D815" s="66"/>
      <c r="E815" s="66"/>
      <c r="F815" s="66"/>
      <c r="G815" s="66"/>
      <c r="H815" s="66"/>
      <c r="I815" s="66"/>
      <c r="J815" s="66"/>
      <c r="K815" s="470"/>
      <c r="L815" s="116"/>
      <c r="M815" s="116"/>
      <c r="N815" s="118" t="s">
        <v>4666</v>
      </c>
      <c r="O815" s="66"/>
      <c r="P815" s="468">
        <v>139702.5</v>
      </c>
    </row>
    <row r="816" spans="1:16">
      <c r="A816" s="714" t="s">
        <v>110</v>
      </c>
      <c r="B816" s="116"/>
      <c r="C816" s="753"/>
      <c r="D816" s="66"/>
      <c r="E816" s="66"/>
      <c r="F816" s="66"/>
      <c r="G816" s="66"/>
      <c r="H816" s="66"/>
      <c r="I816" s="66"/>
      <c r="J816" s="66"/>
      <c r="K816" s="470"/>
      <c r="L816" s="116"/>
      <c r="M816" s="116"/>
      <c r="N816" s="118" t="s">
        <v>4667</v>
      </c>
      <c r="O816" s="66"/>
      <c r="P816" s="468">
        <v>32033.924999999999</v>
      </c>
    </row>
    <row r="817" spans="1:16">
      <c r="A817" s="714" t="s">
        <v>110</v>
      </c>
      <c r="B817" s="116"/>
      <c r="C817" s="753"/>
      <c r="D817" s="66"/>
      <c r="E817" s="66"/>
      <c r="F817" s="66"/>
      <c r="G817" s="66"/>
      <c r="H817" s="66"/>
      <c r="I817" s="66"/>
      <c r="J817" s="66"/>
      <c r="K817" s="470"/>
      <c r="L817" s="116"/>
      <c r="M817" s="116"/>
      <c r="N817" s="118" t="s">
        <v>4668</v>
      </c>
      <c r="O817" s="66"/>
      <c r="P817" s="468">
        <v>159097.5</v>
      </c>
    </row>
    <row r="818" spans="1:16">
      <c r="A818" s="714" t="s">
        <v>110</v>
      </c>
      <c r="B818" s="116"/>
      <c r="C818" s="753"/>
      <c r="D818" s="66"/>
      <c r="E818" s="66"/>
      <c r="F818" s="66"/>
      <c r="G818" s="66"/>
      <c r="H818" s="66"/>
      <c r="I818" s="66"/>
      <c r="J818" s="66"/>
      <c r="K818" s="470"/>
      <c r="L818" s="116"/>
      <c r="M818" s="116"/>
      <c r="N818" s="118" t="s">
        <v>4669</v>
      </c>
      <c r="O818" s="66"/>
      <c r="P818" s="468">
        <v>131805</v>
      </c>
    </row>
    <row r="819" spans="1:16" ht="12.75" customHeight="1">
      <c r="A819" s="714" t="s">
        <v>110</v>
      </c>
      <c r="B819" s="116"/>
      <c r="C819" s="753" t="s">
        <v>702</v>
      </c>
      <c r="D819" s="66" t="s">
        <v>3834</v>
      </c>
      <c r="E819" s="66">
        <v>11</v>
      </c>
      <c r="F819" s="66"/>
      <c r="G819" s="66" t="s">
        <v>4821</v>
      </c>
      <c r="H819" s="66" t="s">
        <v>4822</v>
      </c>
      <c r="I819" s="66">
        <v>4.7</v>
      </c>
      <c r="J819" s="66" t="s">
        <v>4823</v>
      </c>
      <c r="K819" s="470">
        <v>16600026</v>
      </c>
      <c r="L819" s="116">
        <v>1</v>
      </c>
      <c r="M819" s="116" t="s">
        <v>4345</v>
      </c>
      <c r="N819" s="118" t="s">
        <v>4534</v>
      </c>
      <c r="O819" s="66" t="s">
        <v>4658</v>
      </c>
      <c r="P819" s="468">
        <v>127864</v>
      </c>
    </row>
    <row r="820" spans="1:16">
      <c r="A820" s="714" t="s">
        <v>110</v>
      </c>
      <c r="B820" s="116"/>
      <c r="C820" s="753"/>
      <c r="D820" s="66"/>
      <c r="E820" s="66"/>
      <c r="F820" s="66"/>
      <c r="G820" s="66"/>
      <c r="H820" s="66"/>
      <c r="I820" s="66"/>
      <c r="J820" s="66"/>
      <c r="K820" s="470"/>
      <c r="L820" s="116"/>
      <c r="M820" s="116"/>
      <c r="N820" s="118" t="s">
        <v>4673</v>
      </c>
      <c r="O820" s="66"/>
      <c r="P820" s="468">
        <v>98560</v>
      </c>
    </row>
    <row r="821" spans="1:16" ht="73.5" customHeight="1">
      <c r="A821" s="714" t="s">
        <v>110</v>
      </c>
      <c r="B821" s="116"/>
      <c r="C821" s="753"/>
      <c r="D821" s="66"/>
      <c r="E821" s="66"/>
      <c r="F821" s="66"/>
      <c r="G821" s="66"/>
      <c r="H821" s="66"/>
      <c r="I821" s="66"/>
      <c r="J821" s="66"/>
      <c r="K821" s="470"/>
      <c r="L821" s="116"/>
      <c r="M821" s="116"/>
      <c r="N821" s="118" t="s">
        <v>4534</v>
      </c>
      <c r="O821" s="66"/>
      <c r="P821" s="468">
        <v>109120</v>
      </c>
    </row>
    <row r="822" spans="1:16" ht="12.75" customHeight="1">
      <c r="A822" s="714" t="s">
        <v>110</v>
      </c>
      <c r="B822" s="116"/>
      <c r="C822" s="753" t="s">
        <v>4824</v>
      </c>
      <c r="D822" s="66" t="s">
        <v>3754</v>
      </c>
      <c r="E822" s="116">
        <v>1</v>
      </c>
      <c r="F822" s="116"/>
      <c r="G822" s="116"/>
      <c r="H822" s="66" t="s">
        <v>4825</v>
      </c>
      <c r="I822" s="116">
        <v>0.2</v>
      </c>
      <c r="J822" s="66" t="s">
        <v>4826</v>
      </c>
      <c r="K822" s="470">
        <v>125000</v>
      </c>
      <c r="L822" s="116">
        <v>1</v>
      </c>
      <c r="M822" s="116" t="s">
        <v>4345</v>
      </c>
      <c r="N822" s="118" t="s">
        <v>4524</v>
      </c>
      <c r="O822" s="66" t="s">
        <v>4658</v>
      </c>
      <c r="P822" s="468">
        <v>770517.3529411765</v>
      </c>
    </row>
    <row r="823" spans="1:16">
      <c r="A823" s="714" t="s">
        <v>110</v>
      </c>
      <c r="B823" s="116"/>
      <c r="C823" s="753"/>
      <c r="D823" s="66"/>
      <c r="E823" s="116"/>
      <c r="F823" s="116"/>
      <c r="G823" s="116"/>
      <c r="H823" s="66"/>
      <c r="I823" s="116"/>
      <c r="J823" s="66"/>
      <c r="K823" s="470"/>
      <c r="L823" s="116"/>
      <c r="M823" s="116"/>
      <c r="N823" s="118" t="s">
        <v>4524</v>
      </c>
      <c r="O823" s="66"/>
      <c r="P823" s="468">
        <v>593929.4117647059</v>
      </c>
    </row>
    <row r="824" spans="1:16">
      <c r="A824" s="714" t="s">
        <v>110</v>
      </c>
      <c r="B824" s="116"/>
      <c r="C824" s="753"/>
      <c r="D824" s="66"/>
      <c r="E824" s="116"/>
      <c r="F824" s="116"/>
      <c r="G824" s="116"/>
      <c r="H824" s="66"/>
      <c r="I824" s="116"/>
      <c r="J824" s="66"/>
      <c r="K824" s="470"/>
      <c r="L824" s="116"/>
      <c r="M824" s="116"/>
      <c r="N824" s="118" t="s">
        <v>4524</v>
      </c>
      <c r="O824" s="66"/>
      <c r="P824" s="468">
        <v>742411.76470588241</v>
      </c>
    </row>
    <row r="825" spans="1:16" ht="33.75">
      <c r="A825" s="714" t="s">
        <v>110</v>
      </c>
      <c r="B825" s="116"/>
      <c r="C825" s="749" t="s">
        <v>701</v>
      </c>
      <c r="D825" s="75" t="s">
        <v>3767</v>
      </c>
      <c r="E825" s="184">
        <v>1</v>
      </c>
      <c r="F825" s="139"/>
      <c r="G825" s="139"/>
      <c r="H825" s="139" t="s">
        <v>4827</v>
      </c>
      <c r="I825" s="184">
        <v>0.75</v>
      </c>
      <c r="J825" s="75" t="s">
        <v>4828</v>
      </c>
      <c r="K825" s="470">
        <v>450000</v>
      </c>
      <c r="L825" s="184"/>
      <c r="M825" s="139"/>
      <c r="N825" s="183"/>
      <c r="O825" s="185"/>
      <c r="P825" s="468"/>
    </row>
    <row r="826" spans="1:16" ht="12.75" customHeight="1">
      <c r="A826" s="714" t="s">
        <v>110</v>
      </c>
      <c r="B826" s="116"/>
      <c r="C826" s="753" t="s">
        <v>4829</v>
      </c>
      <c r="D826" s="66" t="s">
        <v>4619</v>
      </c>
      <c r="E826" s="116">
        <v>3</v>
      </c>
      <c r="F826" s="116">
        <v>5.5</v>
      </c>
      <c r="G826" s="116"/>
      <c r="H826" s="116"/>
      <c r="I826" s="116">
        <v>0.05</v>
      </c>
      <c r="J826" s="66" t="s">
        <v>4830</v>
      </c>
      <c r="K826" s="470">
        <f>1200000+370000</f>
        <v>1570000</v>
      </c>
      <c r="L826" s="116">
        <v>1</v>
      </c>
      <c r="M826" s="116" t="s">
        <v>4345</v>
      </c>
      <c r="N826" s="118" t="s">
        <v>4534</v>
      </c>
      <c r="O826" s="66" t="s">
        <v>4658</v>
      </c>
      <c r="P826" s="468">
        <v>148800</v>
      </c>
    </row>
    <row r="827" spans="1:16">
      <c r="A827" s="714" t="s">
        <v>110</v>
      </c>
      <c r="B827" s="116"/>
      <c r="C827" s="753"/>
      <c r="D827" s="66"/>
      <c r="E827" s="116"/>
      <c r="F827" s="116"/>
      <c r="G827" s="116"/>
      <c r="H827" s="116"/>
      <c r="I827" s="116"/>
      <c r="J827" s="66"/>
      <c r="K827" s="470"/>
      <c r="L827" s="116"/>
      <c r="M827" s="116"/>
      <c r="N827" s="118" t="s">
        <v>4534</v>
      </c>
      <c r="O827" s="66"/>
      <c r="P827" s="468">
        <v>174360</v>
      </c>
    </row>
    <row r="828" spans="1:16" ht="12.75" customHeight="1">
      <c r="A828" s="714" t="s">
        <v>110</v>
      </c>
      <c r="B828" s="116"/>
      <c r="C828" s="753" t="s">
        <v>4824</v>
      </c>
      <c r="D828" s="66" t="s">
        <v>4477</v>
      </c>
      <c r="E828" s="116">
        <v>2</v>
      </c>
      <c r="F828" s="116"/>
      <c r="G828" s="116"/>
      <c r="H828" s="66" t="s">
        <v>4825</v>
      </c>
      <c r="I828" s="116">
        <v>1.6</v>
      </c>
      <c r="J828" s="66" t="s">
        <v>4831</v>
      </c>
      <c r="K828" s="470">
        <v>575000</v>
      </c>
      <c r="L828" s="116"/>
      <c r="M828" s="116"/>
      <c r="N828" s="118" t="s">
        <v>4534</v>
      </c>
      <c r="O828" s="66"/>
      <c r="P828" s="468">
        <v>87180</v>
      </c>
    </row>
    <row r="829" spans="1:16" ht="21" customHeight="1">
      <c r="A829" s="714" t="s">
        <v>110</v>
      </c>
      <c r="B829" s="116"/>
      <c r="C829" s="753"/>
      <c r="D829" s="66"/>
      <c r="E829" s="116"/>
      <c r="F829" s="116"/>
      <c r="G829" s="116"/>
      <c r="H829" s="66"/>
      <c r="I829" s="116"/>
      <c r="J829" s="66"/>
      <c r="K829" s="470"/>
      <c r="L829" s="116"/>
      <c r="M829" s="116"/>
      <c r="N829" s="118" t="s">
        <v>4678</v>
      </c>
      <c r="O829" s="66"/>
      <c r="P829" s="468">
        <v>14000</v>
      </c>
    </row>
    <row r="830" spans="1:16" ht="12.75" customHeight="1">
      <c r="A830" s="714" t="s">
        <v>110</v>
      </c>
      <c r="B830" s="116"/>
      <c r="C830" s="753" t="s">
        <v>701</v>
      </c>
      <c r="D830" s="66" t="s">
        <v>4625</v>
      </c>
      <c r="E830" s="116">
        <v>1</v>
      </c>
      <c r="F830" s="116"/>
      <c r="G830" s="116"/>
      <c r="H830" s="116" t="s">
        <v>4832</v>
      </c>
      <c r="I830" s="116">
        <v>4</v>
      </c>
      <c r="J830" s="66" t="s">
        <v>4833</v>
      </c>
      <c r="K830" s="470">
        <v>3000000</v>
      </c>
      <c r="L830" s="116">
        <v>1</v>
      </c>
      <c r="M830" s="116" t="s">
        <v>4345</v>
      </c>
      <c r="N830" s="118" t="s">
        <v>4834</v>
      </c>
      <c r="O830" s="66" t="s">
        <v>4658</v>
      </c>
      <c r="P830" s="468">
        <v>31680</v>
      </c>
    </row>
    <row r="831" spans="1:16">
      <c r="A831" s="714" t="s">
        <v>110</v>
      </c>
      <c r="B831" s="116"/>
      <c r="C831" s="753"/>
      <c r="D831" s="66"/>
      <c r="E831" s="116"/>
      <c r="F831" s="116"/>
      <c r="G831" s="116"/>
      <c r="H831" s="116"/>
      <c r="I831" s="116"/>
      <c r="J831" s="66"/>
      <c r="K831" s="470"/>
      <c r="L831" s="116"/>
      <c r="M831" s="116"/>
      <c r="N831" s="118" t="s">
        <v>4835</v>
      </c>
      <c r="O831" s="66"/>
      <c r="P831" s="468">
        <v>14000</v>
      </c>
    </row>
    <row r="832" spans="1:16">
      <c r="A832" s="714" t="s">
        <v>110</v>
      </c>
      <c r="B832" s="116"/>
      <c r="C832" s="753"/>
      <c r="D832" s="66"/>
      <c r="E832" s="116"/>
      <c r="F832" s="116"/>
      <c r="G832" s="116"/>
      <c r="H832" s="116"/>
      <c r="I832" s="116"/>
      <c r="J832" s="66"/>
      <c r="K832" s="470"/>
      <c r="L832" s="116"/>
      <c r="M832" s="116"/>
      <c r="N832" s="118" t="s">
        <v>4836</v>
      </c>
      <c r="O832" s="66"/>
      <c r="P832" s="468">
        <v>28800</v>
      </c>
    </row>
    <row r="833" spans="1:16">
      <c r="A833" s="714" t="s">
        <v>110</v>
      </c>
      <c r="B833" s="116"/>
      <c r="C833" s="753"/>
      <c r="D833" s="66"/>
      <c r="E833" s="116"/>
      <c r="F833" s="116"/>
      <c r="G833" s="116"/>
      <c r="H833" s="116"/>
      <c r="I833" s="116"/>
      <c r="J833" s="66"/>
      <c r="K833" s="470"/>
      <c r="L833" s="116"/>
      <c r="M833" s="116"/>
      <c r="N833" s="118" t="s">
        <v>4837</v>
      </c>
      <c r="O833" s="66"/>
      <c r="P833" s="468">
        <v>32500</v>
      </c>
    </row>
    <row r="834" spans="1:16" ht="12.75" customHeight="1">
      <c r="A834" s="714" t="s">
        <v>110</v>
      </c>
      <c r="B834" s="116"/>
      <c r="C834" s="753" t="s">
        <v>4838</v>
      </c>
      <c r="D834" s="66" t="s">
        <v>3867</v>
      </c>
      <c r="E834" s="66">
        <v>4</v>
      </c>
      <c r="F834" s="66">
        <v>13</v>
      </c>
      <c r="G834" s="66"/>
      <c r="H834" s="66" t="s">
        <v>4839</v>
      </c>
      <c r="I834" s="66">
        <v>2.5</v>
      </c>
      <c r="J834" s="66" t="s">
        <v>4840</v>
      </c>
      <c r="K834" s="470">
        <v>2200000</v>
      </c>
      <c r="L834" s="116">
        <v>1</v>
      </c>
      <c r="M834" s="116" t="s">
        <v>4345</v>
      </c>
      <c r="N834" s="118" t="s">
        <v>4683</v>
      </c>
      <c r="O834" s="66" t="s">
        <v>4658</v>
      </c>
      <c r="P834" s="468">
        <v>342960</v>
      </c>
    </row>
    <row r="835" spans="1:16">
      <c r="A835" s="714" t="s">
        <v>110</v>
      </c>
      <c r="B835" s="116"/>
      <c r="C835" s="753"/>
      <c r="D835" s="66"/>
      <c r="E835" s="66"/>
      <c r="F835" s="66"/>
      <c r="G835" s="66"/>
      <c r="H835" s="66"/>
      <c r="I835" s="66"/>
      <c r="J835" s="66"/>
      <c r="K835" s="470"/>
      <c r="L835" s="116"/>
      <c r="M835" s="116"/>
      <c r="N835" s="118" t="s">
        <v>4684</v>
      </c>
      <c r="O835" s="66"/>
      <c r="P835" s="468">
        <v>343680</v>
      </c>
    </row>
    <row r="836" spans="1:16">
      <c r="A836" s="714" t="s">
        <v>110</v>
      </c>
      <c r="B836" s="116"/>
      <c r="C836" s="753"/>
      <c r="D836" s="66"/>
      <c r="E836" s="66"/>
      <c r="F836" s="66"/>
      <c r="G836" s="66"/>
      <c r="H836" s="66"/>
      <c r="I836" s="66"/>
      <c r="J836" s="66"/>
      <c r="K836" s="470"/>
      <c r="L836" s="116"/>
      <c r="M836" s="116"/>
      <c r="N836" s="118" t="s">
        <v>4685</v>
      </c>
      <c r="O836" s="66"/>
      <c r="P836" s="468">
        <v>114560</v>
      </c>
    </row>
    <row r="837" spans="1:16">
      <c r="A837" s="714" t="s">
        <v>110</v>
      </c>
      <c r="B837" s="116"/>
      <c r="C837" s="753"/>
      <c r="D837" s="66"/>
      <c r="E837" s="66"/>
      <c r="F837" s="66"/>
      <c r="G837" s="66"/>
      <c r="H837" s="66"/>
      <c r="I837" s="66"/>
      <c r="J837" s="66"/>
      <c r="K837" s="470"/>
      <c r="L837" s="116"/>
      <c r="M837" s="116"/>
      <c r="N837" s="118" t="s">
        <v>4687</v>
      </c>
      <c r="O837" s="66"/>
      <c r="P837" s="468">
        <v>54000</v>
      </c>
    </row>
    <row r="838" spans="1:16">
      <c r="A838" s="714" t="s">
        <v>110</v>
      </c>
      <c r="B838" s="116"/>
      <c r="C838" s="753"/>
      <c r="D838" s="66"/>
      <c r="E838" s="66"/>
      <c r="F838" s="66"/>
      <c r="G838" s="66"/>
      <c r="H838" s="66"/>
      <c r="I838" s="66"/>
      <c r="J838" s="66"/>
      <c r="K838" s="470"/>
      <c r="L838" s="116"/>
      <c r="M838" s="116"/>
      <c r="N838" s="118" t="s">
        <v>4688</v>
      </c>
      <c r="O838" s="66"/>
      <c r="P838" s="468">
        <v>62200</v>
      </c>
    </row>
    <row r="839" spans="1:16">
      <c r="A839" s="714" t="s">
        <v>110</v>
      </c>
      <c r="B839" s="116"/>
      <c r="C839" s="753"/>
      <c r="D839" s="66"/>
      <c r="E839" s="66"/>
      <c r="F839" s="66"/>
      <c r="G839" s="66"/>
      <c r="H839" s="66"/>
      <c r="I839" s="66"/>
      <c r="J839" s="66"/>
      <c r="K839" s="470"/>
      <c r="L839" s="116"/>
      <c r="M839" s="116"/>
      <c r="N839" s="118" t="s">
        <v>4689</v>
      </c>
      <c r="O839" s="66"/>
      <c r="P839" s="468">
        <v>49200</v>
      </c>
    </row>
    <row r="840" spans="1:16">
      <c r="A840" s="714" t="s">
        <v>110</v>
      </c>
      <c r="B840" s="116"/>
      <c r="C840" s="753"/>
      <c r="D840" s="66"/>
      <c r="E840" s="66"/>
      <c r="F840" s="66"/>
      <c r="G840" s="66"/>
      <c r="H840" s="66"/>
      <c r="I840" s="66"/>
      <c r="J840" s="66"/>
      <c r="K840" s="470"/>
      <c r="L840" s="116"/>
      <c r="M840" s="116"/>
      <c r="N840" s="118" t="s">
        <v>4690</v>
      </c>
      <c r="O840" s="66"/>
      <c r="P840" s="468">
        <v>19200</v>
      </c>
    </row>
    <row r="841" spans="1:16">
      <c r="A841" s="714" t="s">
        <v>110</v>
      </c>
      <c r="B841" s="116"/>
      <c r="C841" s="753"/>
      <c r="D841" s="66"/>
      <c r="E841" s="66"/>
      <c r="F841" s="66"/>
      <c r="G841" s="66"/>
      <c r="H841" s="66"/>
      <c r="I841" s="66"/>
      <c r="J841" s="66"/>
      <c r="K841" s="470"/>
      <c r="L841" s="116"/>
      <c r="M841" s="116"/>
      <c r="N841" s="118" t="s">
        <v>4691</v>
      </c>
      <c r="O841" s="66"/>
      <c r="P841" s="468">
        <v>8000</v>
      </c>
    </row>
    <row r="842" spans="1:16">
      <c r="A842" s="714" t="s">
        <v>110</v>
      </c>
      <c r="B842" s="116"/>
      <c r="C842" s="753"/>
      <c r="D842" s="66"/>
      <c r="E842" s="66"/>
      <c r="F842" s="66"/>
      <c r="G842" s="66"/>
      <c r="H842" s="66"/>
      <c r="I842" s="66"/>
      <c r="J842" s="66"/>
      <c r="K842" s="470"/>
      <c r="L842" s="116"/>
      <c r="M842" s="116"/>
      <c r="N842" s="118" t="s">
        <v>4692</v>
      </c>
      <c r="O842" s="66"/>
      <c r="P842" s="468">
        <v>25600</v>
      </c>
    </row>
    <row r="843" spans="1:16">
      <c r="A843" s="714" t="s">
        <v>110</v>
      </c>
      <c r="B843" s="116"/>
      <c r="C843" s="753"/>
      <c r="D843" s="66"/>
      <c r="E843" s="66"/>
      <c r="F843" s="66"/>
      <c r="G843" s="66"/>
      <c r="H843" s="66"/>
      <c r="I843" s="66"/>
      <c r="J843" s="66"/>
      <c r="K843" s="470"/>
      <c r="L843" s="116"/>
      <c r="M843" s="116"/>
      <c r="N843" s="118" t="s">
        <v>4693</v>
      </c>
      <c r="O843" s="66"/>
      <c r="P843" s="468">
        <v>28800</v>
      </c>
    </row>
    <row r="844" spans="1:16">
      <c r="A844" s="714" t="s">
        <v>110</v>
      </c>
      <c r="B844" s="116"/>
      <c r="C844" s="753"/>
      <c r="D844" s="66"/>
      <c r="E844" s="66"/>
      <c r="F844" s="66"/>
      <c r="G844" s="66"/>
      <c r="H844" s="66"/>
      <c r="I844" s="66"/>
      <c r="J844" s="66"/>
      <c r="K844" s="470"/>
      <c r="L844" s="116"/>
      <c r="M844" s="116"/>
      <c r="N844" s="118" t="s">
        <v>4694</v>
      </c>
      <c r="O844" s="66"/>
      <c r="P844" s="468">
        <v>43200</v>
      </c>
    </row>
    <row r="845" spans="1:16">
      <c r="A845" s="714" t="s">
        <v>110</v>
      </c>
      <c r="B845" s="116"/>
      <c r="C845" s="753"/>
      <c r="D845" s="66"/>
      <c r="E845" s="66"/>
      <c r="F845" s="66"/>
      <c r="G845" s="66"/>
      <c r="H845" s="66"/>
      <c r="I845" s="66"/>
      <c r="J845" s="66"/>
      <c r="K845" s="470"/>
      <c r="L845" s="116"/>
      <c r="M845" s="116"/>
      <c r="N845" s="118" t="s">
        <v>4732</v>
      </c>
      <c r="O845" s="66"/>
      <c r="P845" s="468">
        <v>26000</v>
      </c>
    </row>
    <row r="846" spans="1:16" ht="12.75" customHeight="1">
      <c r="A846" s="714" t="s">
        <v>110</v>
      </c>
      <c r="B846" s="116"/>
      <c r="C846" s="753" t="s">
        <v>4838</v>
      </c>
      <c r="D846" s="66" t="s">
        <v>4695</v>
      </c>
      <c r="E846" s="116">
        <v>2</v>
      </c>
      <c r="F846" s="116">
        <v>0.5</v>
      </c>
      <c r="G846" s="116"/>
      <c r="H846" s="66" t="s">
        <v>4825</v>
      </c>
      <c r="I846" s="66">
        <v>1</v>
      </c>
      <c r="J846" s="66" t="s">
        <v>4841</v>
      </c>
      <c r="K846" s="470">
        <f>75000+150000</f>
        <v>225000</v>
      </c>
      <c r="L846" s="116">
        <v>1</v>
      </c>
      <c r="M846" s="116" t="s">
        <v>4345</v>
      </c>
      <c r="N846" s="118" t="s">
        <v>4534</v>
      </c>
      <c r="O846" s="66" t="s">
        <v>4658</v>
      </c>
      <c r="P846" s="468">
        <v>2583.1111111111113</v>
      </c>
    </row>
    <row r="847" spans="1:16">
      <c r="A847" s="714" t="s">
        <v>110</v>
      </c>
      <c r="B847" s="116"/>
      <c r="C847" s="753"/>
      <c r="D847" s="66"/>
      <c r="E847" s="116"/>
      <c r="F847" s="116"/>
      <c r="G847" s="116"/>
      <c r="H847" s="66"/>
      <c r="I847" s="66"/>
      <c r="J847" s="66"/>
      <c r="K847" s="470"/>
      <c r="L847" s="116"/>
      <c r="M847" s="116"/>
      <c r="N847" s="118" t="s">
        <v>4534</v>
      </c>
      <c r="O847" s="66"/>
      <c r="P847" s="468">
        <v>995.55555555555554</v>
      </c>
    </row>
    <row r="848" spans="1:16">
      <c r="A848" s="714" t="s">
        <v>110</v>
      </c>
      <c r="B848" s="116"/>
      <c r="C848" s="753"/>
      <c r="D848" s="66"/>
      <c r="E848" s="116"/>
      <c r="F848" s="116"/>
      <c r="G848" s="116"/>
      <c r="H848" s="66"/>
      <c r="I848" s="66"/>
      <c r="J848" s="66"/>
      <c r="K848" s="470"/>
      <c r="L848" s="116"/>
      <c r="M848" s="116"/>
      <c r="N848" s="118" t="s">
        <v>4534</v>
      </c>
      <c r="O848" s="66"/>
      <c r="P848" s="468">
        <v>1102.2222222222222</v>
      </c>
    </row>
    <row r="849" spans="1:16">
      <c r="A849" s="714" t="s">
        <v>110</v>
      </c>
      <c r="B849" s="116"/>
      <c r="C849" s="753"/>
      <c r="D849" s="66"/>
      <c r="E849" s="116"/>
      <c r="F849" s="116"/>
      <c r="G849" s="116"/>
      <c r="H849" s="66"/>
      <c r="I849" s="66"/>
      <c r="J849" s="66"/>
      <c r="K849" s="470"/>
      <c r="L849" s="116"/>
      <c r="M849" s="116"/>
      <c r="N849" s="118" t="s">
        <v>4698</v>
      </c>
      <c r="O849" s="66"/>
      <c r="P849" s="468">
        <v>53333.333333333336</v>
      </c>
    </row>
    <row r="850" spans="1:16" ht="12.75" customHeight="1">
      <c r="A850" s="714" t="s">
        <v>110</v>
      </c>
      <c r="B850" s="116" t="s">
        <v>4587</v>
      </c>
      <c r="C850" s="753" t="s">
        <v>4842</v>
      </c>
      <c r="D850" s="66" t="s">
        <v>4625</v>
      </c>
      <c r="E850" s="116">
        <v>1</v>
      </c>
      <c r="F850" s="116">
        <v>15.6</v>
      </c>
      <c r="G850" s="116" t="s">
        <v>4801</v>
      </c>
      <c r="H850" s="116">
        <v>2000000</v>
      </c>
      <c r="I850" s="116">
        <v>1</v>
      </c>
      <c r="J850" s="66" t="s">
        <v>4045</v>
      </c>
      <c r="K850" s="470">
        <v>2000000</v>
      </c>
      <c r="L850" s="116">
        <v>1</v>
      </c>
      <c r="M850" s="116" t="s">
        <v>4345</v>
      </c>
      <c r="N850" s="118" t="s">
        <v>4834</v>
      </c>
      <c r="O850" s="66" t="s">
        <v>4658</v>
      </c>
      <c r="P850" s="468">
        <v>31680</v>
      </c>
    </row>
    <row r="851" spans="1:16">
      <c r="A851" s="714" t="s">
        <v>110</v>
      </c>
      <c r="B851" s="116"/>
      <c r="C851" s="753"/>
      <c r="D851" s="66"/>
      <c r="E851" s="116"/>
      <c r="F851" s="116"/>
      <c r="G851" s="116"/>
      <c r="H851" s="116"/>
      <c r="I851" s="116"/>
      <c r="J851" s="66"/>
      <c r="K851" s="470"/>
      <c r="L851" s="116"/>
      <c r="M851" s="116"/>
      <c r="N851" s="118" t="s">
        <v>4835</v>
      </c>
      <c r="O851" s="66"/>
      <c r="P851" s="468">
        <v>14000</v>
      </c>
    </row>
    <row r="852" spans="1:16">
      <c r="A852" s="714" t="s">
        <v>110</v>
      </c>
      <c r="B852" s="116"/>
      <c r="C852" s="753"/>
      <c r="D852" s="66"/>
      <c r="E852" s="116"/>
      <c r="F852" s="116"/>
      <c r="G852" s="116"/>
      <c r="H852" s="116"/>
      <c r="I852" s="116"/>
      <c r="J852" s="66"/>
      <c r="K852" s="470"/>
      <c r="L852" s="116"/>
      <c r="M852" s="116"/>
      <c r="N852" s="118" t="s">
        <v>4836</v>
      </c>
      <c r="O852" s="66"/>
      <c r="P852" s="468">
        <v>28800</v>
      </c>
    </row>
    <row r="853" spans="1:16">
      <c r="A853" s="714" t="s">
        <v>110</v>
      </c>
      <c r="B853" s="116"/>
      <c r="C853" s="753"/>
      <c r="D853" s="66"/>
      <c r="E853" s="116"/>
      <c r="F853" s="116"/>
      <c r="G853" s="116"/>
      <c r="H853" s="116"/>
      <c r="I853" s="116"/>
      <c r="J853" s="66"/>
      <c r="K853" s="470"/>
      <c r="L853" s="116"/>
      <c r="M853" s="116"/>
      <c r="N853" s="118" t="s">
        <v>4837</v>
      </c>
      <c r="O853" s="66"/>
      <c r="P853" s="468">
        <v>32500</v>
      </c>
    </row>
    <row r="854" spans="1:16" ht="12.75" customHeight="1">
      <c r="A854" s="714" t="s">
        <v>4346</v>
      </c>
      <c r="B854" s="116" t="s">
        <v>4358</v>
      </c>
      <c r="C854" s="753" t="s">
        <v>4843</v>
      </c>
      <c r="D854" s="66" t="s">
        <v>4844</v>
      </c>
      <c r="E854" s="116">
        <v>1</v>
      </c>
      <c r="F854" s="116"/>
      <c r="G854" s="116"/>
      <c r="H854" s="116"/>
      <c r="I854" s="116">
        <v>4</v>
      </c>
      <c r="J854" s="66" t="s">
        <v>4845</v>
      </c>
      <c r="K854" s="470">
        <v>2500000</v>
      </c>
      <c r="L854" s="116">
        <v>1</v>
      </c>
      <c r="M854" s="116" t="s">
        <v>4345</v>
      </c>
      <c r="N854" s="118" t="s">
        <v>4524</v>
      </c>
      <c r="O854" s="66" t="s">
        <v>4658</v>
      </c>
      <c r="P854" s="468">
        <v>770517.3529411765</v>
      </c>
    </row>
    <row r="855" spans="1:16">
      <c r="A855" s="714" t="s">
        <v>4346</v>
      </c>
      <c r="B855" s="116"/>
      <c r="C855" s="753"/>
      <c r="D855" s="66"/>
      <c r="E855" s="116"/>
      <c r="F855" s="116"/>
      <c r="G855" s="116"/>
      <c r="H855" s="116"/>
      <c r="I855" s="116"/>
      <c r="J855" s="66"/>
      <c r="K855" s="470"/>
      <c r="L855" s="116"/>
      <c r="M855" s="116"/>
      <c r="N855" s="118" t="s">
        <v>4524</v>
      </c>
      <c r="O855" s="66"/>
      <c r="P855" s="468">
        <v>593929.4117647059</v>
      </c>
    </row>
    <row r="856" spans="1:16">
      <c r="A856" s="714" t="s">
        <v>4346</v>
      </c>
      <c r="B856" s="116"/>
      <c r="C856" s="753"/>
      <c r="D856" s="66"/>
      <c r="E856" s="116"/>
      <c r="F856" s="116"/>
      <c r="G856" s="116"/>
      <c r="H856" s="116"/>
      <c r="I856" s="116"/>
      <c r="J856" s="66"/>
      <c r="K856" s="470"/>
      <c r="L856" s="116"/>
      <c r="M856" s="116"/>
      <c r="N856" s="118" t="s">
        <v>4524</v>
      </c>
      <c r="O856" s="66"/>
      <c r="P856" s="468">
        <v>742411.76470588241</v>
      </c>
    </row>
    <row r="857" spans="1:16" ht="12.75" customHeight="1">
      <c r="A857" s="714" t="s">
        <v>4346</v>
      </c>
      <c r="B857" s="116" t="s">
        <v>2377</v>
      </c>
      <c r="C857" s="753" t="s">
        <v>2377</v>
      </c>
      <c r="D857" s="66" t="s">
        <v>4679</v>
      </c>
      <c r="E857" s="116">
        <v>3</v>
      </c>
      <c r="F857" s="116">
        <v>24.4</v>
      </c>
      <c r="G857" s="116"/>
      <c r="H857" s="116" t="s">
        <v>4681</v>
      </c>
      <c r="I857" s="116">
        <v>6</v>
      </c>
      <c r="J857" s="66" t="s">
        <v>4682</v>
      </c>
      <c r="K857" s="470"/>
      <c r="L857" s="116">
        <v>1</v>
      </c>
      <c r="M857" s="116" t="s">
        <v>4345</v>
      </c>
      <c r="N857" s="118" t="s">
        <v>4683</v>
      </c>
      <c r="O857" s="66" t="s">
        <v>4658</v>
      </c>
      <c r="P857" s="468">
        <v>257220</v>
      </c>
    </row>
    <row r="858" spans="1:16">
      <c r="A858" s="714" t="s">
        <v>4346</v>
      </c>
      <c r="B858" s="116"/>
      <c r="C858" s="753"/>
      <c r="D858" s="66"/>
      <c r="E858" s="116"/>
      <c r="F858" s="116"/>
      <c r="G858" s="116"/>
      <c r="H858" s="116"/>
      <c r="I858" s="116"/>
      <c r="J858" s="66"/>
      <c r="K858" s="470"/>
      <c r="L858" s="116"/>
      <c r="M858" s="116"/>
      <c r="N858" s="118" t="s">
        <v>4684</v>
      </c>
      <c r="O858" s="66"/>
      <c r="P858" s="468">
        <v>257760</v>
      </c>
    </row>
    <row r="859" spans="1:16">
      <c r="A859" s="714" t="s">
        <v>4346</v>
      </c>
      <c r="B859" s="116"/>
      <c r="C859" s="753"/>
      <c r="D859" s="66"/>
      <c r="E859" s="116"/>
      <c r="F859" s="116"/>
      <c r="G859" s="116"/>
      <c r="H859" s="116"/>
      <c r="I859" s="116"/>
      <c r="J859" s="66"/>
      <c r="K859" s="470"/>
      <c r="L859" s="116"/>
      <c r="M859" s="116"/>
      <c r="N859" s="118" t="s">
        <v>4685</v>
      </c>
      <c r="O859" s="66"/>
      <c r="P859" s="468">
        <v>85920</v>
      </c>
    </row>
    <row r="860" spans="1:16">
      <c r="A860" s="714" t="s">
        <v>4346</v>
      </c>
      <c r="B860" s="116"/>
      <c r="C860" s="753"/>
      <c r="D860" s="66"/>
      <c r="E860" s="116"/>
      <c r="F860" s="116"/>
      <c r="G860" s="116"/>
      <c r="H860" s="116"/>
      <c r="I860" s="116"/>
      <c r="J860" s="66"/>
      <c r="K860" s="470"/>
      <c r="L860" s="116"/>
      <c r="M860" s="116"/>
      <c r="N860" s="118" t="s">
        <v>4687</v>
      </c>
      <c r="O860" s="66"/>
      <c r="P860" s="468">
        <v>40500</v>
      </c>
    </row>
    <row r="861" spans="1:16">
      <c r="A861" s="714" t="s">
        <v>4346</v>
      </c>
      <c r="B861" s="116"/>
      <c r="C861" s="753"/>
      <c r="D861" s="66"/>
      <c r="E861" s="116"/>
      <c r="F861" s="116"/>
      <c r="G861" s="116"/>
      <c r="H861" s="116"/>
      <c r="I861" s="116"/>
      <c r="J861" s="66"/>
      <c r="K861" s="470"/>
      <c r="L861" s="116"/>
      <c r="M861" s="116"/>
      <c r="N861" s="118" t="s">
        <v>4688</v>
      </c>
      <c r="O861" s="66"/>
      <c r="P861" s="468">
        <v>46650</v>
      </c>
    </row>
    <row r="862" spans="1:16">
      <c r="A862" s="714" t="s">
        <v>4346</v>
      </c>
      <c r="B862" s="116"/>
      <c r="C862" s="753"/>
      <c r="D862" s="66"/>
      <c r="E862" s="116"/>
      <c r="F862" s="116"/>
      <c r="G862" s="116"/>
      <c r="H862" s="116"/>
      <c r="I862" s="116"/>
      <c r="J862" s="66"/>
      <c r="K862" s="470"/>
      <c r="L862" s="116"/>
      <c r="M862" s="116"/>
      <c r="N862" s="118" t="s">
        <v>4689</v>
      </c>
      <c r="O862" s="66"/>
      <c r="P862" s="468">
        <v>36900</v>
      </c>
    </row>
    <row r="863" spans="1:16">
      <c r="A863" s="714" t="s">
        <v>4346</v>
      </c>
      <c r="B863" s="116"/>
      <c r="C863" s="753"/>
      <c r="D863" s="66"/>
      <c r="E863" s="116"/>
      <c r="F863" s="116"/>
      <c r="G863" s="116"/>
      <c r="H863" s="116"/>
      <c r="I863" s="116"/>
      <c r="J863" s="66"/>
      <c r="K863" s="470"/>
      <c r="L863" s="116"/>
      <c r="M863" s="116"/>
      <c r="N863" s="118" t="s">
        <v>4690</v>
      </c>
      <c r="O863" s="66"/>
      <c r="P863" s="468">
        <v>14400</v>
      </c>
    </row>
    <row r="864" spans="1:16">
      <c r="A864" s="714" t="s">
        <v>4346</v>
      </c>
      <c r="B864" s="116"/>
      <c r="C864" s="753"/>
      <c r="D864" s="66"/>
      <c r="E864" s="116"/>
      <c r="F864" s="116"/>
      <c r="G864" s="116"/>
      <c r="H864" s="116"/>
      <c r="I864" s="116"/>
      <c r="J864" s="66"/>
      <c r="K864" s="470"/>
      <c r="L864" s="116"/>
      <c r="M864" s="116"/>
      <c r="N864" s="118" t="s">
        <v>4691</v>
      </c>
      <c r="O864" s="66"/>
      <c r="P864" s="468">
        <v>6000</v>
      </c>
    </row>
    <row r="865" spans="1:16">
      <c r="A865" s="714" t="s">
        <v>4346</v>
      </c>
      <c r="B865" s="116"/>
      <c r="C865" s="753"/>
      <c r="D865" s="66"/>
      <c r="E865" s="116"/>
      <c r="F865" s="116"/>
      <c r="G865" s="116"/>
      <c r="H865" s="116"/>
      <c r="I865" s="116"/>
      <c r="J865" s="66"/>
      <c r="K865" s="470"/>
      <c r="L865" s="116"/>
      <c r="M865" s="116"/>
      <c r="N865" s="118" t="s">
        <v>4692</v>
      </c>
      <c r="O865" s="66"/>
      <c r="P865" s="468">
        <v>19200</v>
      </c>
    </row>
    <row r="866" spans="1:16">
      <c r="A866" s="714" t="s">
        <v>4346</v>
      </c>
      <c r="B866" s="116"/>
      <c r="C866" s="753"/>
      <c r="D866" s="66"/>
      <c r="E866" s="116"/>
      <c r="F866" s="116"/>
      <c r="G866" s="116"/>
      <c r="H866" s="116"/>
      <c r="I866" s="116"/>
      <c r="J866" s="66"/>
      <c r="K866" s="470"/>
      <c r="L866" s="116"/>
      <c r="M866" s="116"/>
      <c r="N866" s="118" t="s">
        <v>4693</v>
      </c>
      <c r="O866" s="66"/>
      <c r="P866" s="468">
        <v>21600</v>
      </c>
    </row>
    <row r="867" spans="1:16">
      <c r="A867" s="714" t="s">
        <v>4346</v>
      </c>
      <c r="B867" s="116"/>
      <c r="C867" s="753"/>
      <c r="D867" s="66"/>
      <c r="E867" s="116"/>
      <c r="F867" s="116"/>
      <c r="G867" s="116"/>
      <c r="H867" s="116"/>
      <c r="I867" s="116"/>
      <c r="J867" s="66"/>
      <c r="K867" s="470"/>
      <c r="L867" s="116"/>
      <c r="M867" s="116"/>
      <c r="N867" s="118" t="s">
        <v>4694</v>
      </c>
      <c r="O867" s="66"/>
      <c r="P867" s="468">
        <v>32400</v>
      </c>
    </row>
    <row r="868" spans="1:16">
      <c r="A868" s="714" t="s">
        <v>4346</v>
      </c>
      <c r="B868" s="116"/>
      <c r="C868" s="753"/>
      <c r="D868" s="66"/>
      <c r="E868" s="116"/>
      <c r="F868" s="116"/>
      <c r="G868" s="116"/>
      <c r="H868" s="116"/>
      <c r="I868" s="116"/>
      <c r="J868" s="66"/>
      <c r="K868" s="470"/>
      <c r="L868" s="116"/>
      <c r="M868" s="116"/>
      <c r="N868" s="118" t="s">
        <v>4732</v>
      </c>
      <c r="O868" s="66"/>
      <c r="P868" s="468">
        <v>19500</v>
      </c>
    </row>
    <row r="869" spans="1:16" ht="12.75" customHeight="1">
      <c r="A869" s="714" t="s">
        <v>4346</v>
      </c>
      <c r="B869" s="116"/>
      <c r="C869" s="753" t="s">
        <v>2377</v>
      </c>
      <c r="D869" s="66" t="s">
        <v>4761</v>
      </c>
      <c r="E869" s="116">
        <v>4</v>
      </c>
      <c r="F869" s="116">
        <v>24.4</v>
      </c>
      <c r="G869" s="116"/>
      <c r="H869" s="116" t="s">
        <v>4846</v>
      </c>
      <c r="I869" s="116">
        <v>5</v>
      </c>
      <c r="J869" s="66" t="s">
        <v>4682</v>
      </c>
      <c r="K869" s="470">
        <v>2290000</v>
      </c>
      <c r="L869" s="116">
        <v>1</v>
      </c>
      <c r="M869" s="116" t="s">
        <v>4345</v>
      </c>
      <c r="N869" s="118" t="s">
        <v>4534</v>
      </c>
      <c r="O869" s="66" t="s">
        <v>4658</v>
      </c>
      <c r="P869" s="468">
        <v>5166.2222222222226</v>
      </c>
    </row>
    <row r="870" spans="1:16">
      <c r="A870" s="714" t="s">
        <v>4346</v>
      </c>
      <c r="B870" s="116"/>
      <c r="C870" s="753"/>
      <c r="D870" s="66"/>
      <c r="E870" s="116"/>
      <c r="F870" s="116"/>
      <c r="G870" s="116"/>
      <c r="H870" s="116"/>
      <c r="I870" s="116"/>
      <c r="J870" s="66"/>
      <c r="K870" s="470"/>
      <c r="L870" s="116"/>
      <c r="M870" s="116"/>
      <c r="N870" s="118" t="s">
        <v>4534</v>
      </c>
      <c r="O870" s="66"/>
      <c r="P870" s="468">
        <v>1991.1111111111111</v>
      </c>
    </row>
    <row r="871" spans="1:16">
      <c r="A871" s="714" t="s">
        <v>4346</v>
      </c>
      <c r="B871" s="116"/>
      <c r="C871" s="753"/>
      <c r="D871" s="66"/>
      <c r="E871" s="116"/>
      <c r="F871" s="116"/>
      <c r="G871" s="116"/>
      <c r="H871" s="116"/>
      <c r="I871" s="116"/>
      <c r="J871" s="66"/>
      <c r="K871" s="470"/>
      <c r="L871" s="116"/>
      <c r="M871" s="116"/>
      <c r="N871" s="118" t="s">
        <v>4534</v>
      </c>
      <c r="O871" s="66"/>
      <c r="P871" s="468">
        <v>2204.4444444444443</v>
      </c>
    </row>
    <row r="872" spans="1:16">
      <c r="A872" s="714" t="s">
        <v>4346</v>
      </c>
      <c r="B872" s="116"/>
      <c r="C872" s="753"/>
      <c r="D872" s="66"/>
      <c r="E872" s="116"/>
      <c r="F872" s="116"/>
      <c r="G872" s="116"/>
      <c r="H872" s="116"/>
      <c r="I872" s="116"/>
      <c r="J872" s="66"/>
      <c r="K872" s="470"/>
      <c r="L872" s="116"/>
      <c r="M872" s="116"/>
      <c r="N872" s="118" t="s">
        <v>4698</v>
      </c>
      <c r="O872" s="66"/>
      <c r="P872" s="468">
        <v>106666.66666666667</v>
      </c>
    </row>
    <row r="873" spans="1:16" ht="33.75">
      <c r="A873" s="714" t="s">
        <v>4346</v>
      </c>
      <c r="B873" s="116"/>
      <c r="C873" s="753" t="s">
        <v>2377</v>
      </c>
      <c r="D873" s="66" t="s">
        <v>3891</v>
      </c>
      <c r="E873" s="116">
        <v>1</v>
      </c>
      <c r="F873" s="119">
        <v>25</v>
      </c>
      <c r="G873" s="119"/>
      <c r="H873" s="119" t="s">
        <v>4847</v>
      </c>
      <c r="I873" s="116">
        <v>2</v>
      </c>
      <c r="J873" s="66" t="s">
        <v>4682</v>
      </c>
      <c r="K873" s="470"/>
      <c r="L873" s="116">
        <v>1</v>
      </c>
      <c r="M873" s="119" t="s">
        <v>4345</v>
      </c>
      <c r="N873" s="118" t="s">
        <v>4200</v>
      </c>
      <c r="O873" s="171" t="s">
        <v>4658</v>
      </c>
      <c r="P873" s="468">
        <v>58120</v>
      </c>
    </row>
    <row r="874" spans="1:16" ht="12.75" customHeight="1">
      <c r="A874" s="714" t="s">
        <v>4848</v>
      </c>
      <c r="B874" s="116" t="s">
        <v>4849</v>
      </c>
      <c r="C874" s="753" t="s">
        <v>4850</v>
      </c>
      <c r="D874" s="66" t="s">
        <v>4851</v>
      </c>
      <c r="E874" s="116">
        <v>1</v>
      </c>
      <c r="F874" s="116">
        <v>6</v>
      </c>
      <c r="G874" s="116"/>
      <c r="H874" s="116"/>
      <c r="I874" s="116">
        <v>5</v>
      </c>
      <c r="J874" s="66" t="s">
        <v>4303</v>
      </c>
      <c r="K874" s="470"/>
      <c r="L874" s="116">
        <v>1</v>
      </c>
      <c r="M874" s="116" t="s">
        <v>4345</v>
      </c>
      <c r="N874" s="118" t="s">
        <v>4748</v>
      </c>
      <c r="O874" s="66" t="s">
        <v>4658</v>
      </c>
      <c r="P874" s="468">
        <v>225000</v>
      </c>
    </row>
    <row r="875" spans="1:16">
      <c r="A875" s="714" t="s">
        <v>4848</v>
      </c>
      <c r="B875" s="116"/>
      <c r="C875" s="753"/>
      <c r="D875" s="66"/>
      <c r="E875" s="116"/>
      <c r="F875" s="116"/>
      <c r="G875" s="116"/>
      <c r="H875" s="116"/>
      <c r="I875" s="116"/>
      <c r="J875" s="66"/>
      <c r="K875" s="470"/>
      <c r="L875" s="116"/>
      <c r="M875" s="116"/>
      <c r="N875" s="118" t="s">
        <v>4749</v>
      </c>
      <c r="O875" s="66"/>
      <c r="P875" s="468">
        <v>225000</v>
      </c>
    </row>
    <row r="876" spans="1:16" ht="12.75" customHeight="1">
      <c r="A876" s="714" t="s">
        <v>4848</v>
      </c>
      <c r="B876" s="116"/>
      <c r="C876" s="753" t="s">
        <v>4852</v>
      </c>
      <c r="D876" s="66" t="s">
        <v>4853</v>
      </c>
      <c r="E876" s="116">
        <v>5</v>
      </c>
      <c r="F876" s="116">
        <v>87</v>
      </c>
      <c r="G876" s="116"/>
      <c r="H876" s="116">
        <f>1680000+1050000+419000</f>
        <v>3149000</v>
      </c>
      <c r="I876" s="116">
        <v>9</v>
      </c>
      <c r="J876" s="66" t="s">
        <v>4303</v>
      </c>
      <c r="K876" s="470">
        <f>6146000+719000</f>
        <v>6865000</v>
      </c>
      <c r="L876" s="116">
        <v>1</v>
      </c>
      <c r="M876" s="116" t="s">
        <v>4345</v>
      </c>
      <c r="N876" s="118" t="s">
        <v>4534</v>
      </c>
      <c r="O876" s="66" t="s">
        <v>4658</v>
      </c>
      <c r="P876" s="468">
        <v>217950</v>
      </c>
    </row>
    <row r="877" spans="1:16">
      <c r="A877" s="714" t="s">
        <v>4848</v>
      </c>
      <c r="B877" s="116"/>
      <c r="C877" s="753"/>
      <c r="D877" s="66"/>
      <c r="E877" s="116"/>
      <c r="F877" s="116"/>
      <c r="G877" s="116"/>
      <c r="H877" s="116"/>
      <c r="I877" s="116"/>
      <c r="J877" s="66"/>
      <c r="K877" s="470"/>
      <c r="L877" s="116"/>
      <c r="M877" s="116"/>
      <c r="N877" s="118" t="s">
        <v>4678</v>
      </c>
      <c r="O877" s="66"/>
      <c r="P877" s="468">
        <v>35000</v>
      </c>
    </row>
    <row r="878" spans="1:16" ht="12.75" customHeight="1">
      <c r="A878" s="714" t="s">
        <v>4848</v>
      </c>
      <c r="B878" s="116" t="s">
        <v>4848</v>
      </c>
      <c r="C878" s="753" t="s">
        <v>4854</v>
      </c>
      <c r="D878" s="66" t="s">
        <v>4844</v>
      </c>
      <c r="E878" s="116">
        <v>3</v>
      </c>
      <c r="F878" s="116"/>
      <c r="G878" s="116"/>
      <c r="H878" s="116"/>
      <c r="I878" s="116">
        <f>50+15+4</f>
        <v>69</v>
      </c>
      <c r="J878" s="66"/>
      <c r="K878" s="470"/>
      <c r="L878" s="116">
        <v>1</v>
      </c>
      <c r="M878" s="116" t="s">
        <v>4345</v>
      </c>
      <c r="N878" s="118" t="s">
        <v>4524</v>
      </c>
      <c r="O878" s="66" t="s">
        <v>4658</v>
      </c>
      <c r="P878" s="468">
        <v>2311552.0588235296</v>
      </c>
    </row>
    <row r="879" spans="1:16">
      <c r="A879" s="714" t="s">
        <v>4848</v>
      </c>
      <c r="B879" s="116"/>
      <c r="C879" s="753"/>
      <c r="D879" s="66"/>
      <c r="E879" s="116"/>
      <c r="F879" s="116"/>
      <c r="G879" s="116"/>
      <c r="H879" s="116"/>
      <c r="I879" s="116"/>
      <c r="J879" s="66"/>
      <c r="K879" s="470"/>
      <c r="L879" s="116"/>
      <c r="M879" s="116"/>
      <c r="N879" s="118" t="s">
        <v>4524</v>
      </c>
      <c r="O879" s="66"/>
      <c r="P879" s="468">
        <v>1781788.2352941176</v>
      </c>
    </row>
    <row r="880" spans="1:16">
      <c r="A880" s="714" t="s">
        <v>4848</v>
      </c>
      <c r="B880" s="116"/>
      <c r="C880" s="753"/>
      <c r="D880" s="66"/>
      <c r="E880" s="116"/>
      <c r="F880" s="116"/>
      <c r="G880" s="116"/>
      <c r="H880" s="116"/>
      <c r="I880" s="116"/>
      <c r="J880" s="66"/>
      <c r="K880" s="470"/>
      <c r="L880" s="116"/>
      <c r="M880" s="116"/>
      <c r="N880" s="118" t="s">
        <v>4524</v>
      </c>
      <c r="O880" s="66"/>
      <c r="P880" s="468">
        <v>2227235.2941176472</v>
      </c>
    </row>
    <row r="881" spans="1:16" ht="12.75" customHeight="1">
      <c r="A881" s="714" t="s">
        <v>4848</v>
      </c>
      <c r="B881" s="116"/>
      <c r="C881" s="753" t="s">
        <v>4855</v>
      </c>
      <c r="D881" s="66" t="s">
        <v>4851</v>
      </c>
      <c r="E881" s="116">
        <v>19</v>
      </c>
      <c r="F881" s="116">
        <f>1715+17+10</f>
        <v>1742</v>
      </c>
      <c r="G881" s="116">
        <f>137000000+1570000</f>
        <v>138570000</v>
      </c>
      <c r="H881" s="116">
        <v>1200000</v>
      </c>
      <c r="I881" s="116">
        <v>809</v>
      </c>
      <c r="J881" s="66" t="s">
        <v>4303</v>
      </c>
      <c r="K881" s="470">
        <v>253913000</v>
      </c>
      <c r="L881" s="116">
        <v>1</v>
      </c>
      <c r="M881" s="116" t="s">
        <v>4345</v>
      </c>
      <c r="N881" s="118" t="s">
        <v>4748</v>
      </c>
      <c r="O881" s="66" t="s">
        <v>4658</v>
      </c>
      <c r="P881" s="468">
        <v>4275000</v>
      </c>
    </row>
    <row r="882" spans="1:16">
      <c r="A882" s="714" t="s">
        <v>4848</v>
      </c>
      <c r="B882" s="116"/>
      <c r="C882" s="753"/>
      <c r="D882" s="66"/>
      <c r="E882" s="116"/>
      <c r="F882" s="116"/>
      <c r="G882" s="116"/>
      <c r="H882" s="116"/>
      <c r="I882" s="116"/>
      <c r="J882" s="66"/>
      <c r="K882" s="470"/>
      <c r="L882" s="116"/>
      <c r="M882" s="116"/>
      <c r="N882" s="118" t="s">
        <v>4749</v>
      </c>
      <c r="O882" s="66"/>
      <c r="P882" s="468">
        <v>4275000</v>
      </c>
    </row>
    <row r="883" spans="1:16" ht="12.75" customHeight="1">
      <c r="A883" s="714" t="s">
        <v>4848</v>
      </c>
      <c r="B883" s="116"/>
      <c r="C883" s="753" t="s">
        <v>4856</v>
      </c>
      <c r="D883" s="66" t="s">
        <v>3874</v>
      </c>
      <c r="E883" s="116">
        <v>6</v>
      </c>
      <c r="F883" s="116">
        <v>489</v>
      </c>
      <c r="G883" s="116">
        <v>4050000</v>
      </c>
      <c r="H883" s="116">
        <v>14500925</v>
      </c>
      <c r="I883" s="116">
        <v>37.9</v>
      </c>
      <c r="J883" s="66" t="s">
        <v>4303</v>
      </c>
      <c r="K883" s="470">
        <v>41239925</v>
      </c>
      <c r="L883" s="116">
        <v>1</v>
      </c>
      <c r="M883" s="116" t="s">
        <v>4345</v>
      </c>
      <c r="N883" s="118" t="s">
        <v>4534</v>
      </c>
      <c r="O883" s="66" t="s">
        <v>4658</v>
      </c>
      <c r="P883" s="468">
        <v>7749.3333333333339</v>
      </c>
    </row>
    <row r="884" spans="1:16">
      <c r="A884" s="714" t="s">
        <v>4848</v>
      </c>
      <c r="B884" s="116"/>
      <c r="C884" s="753"/>
      <c r="D884" s="66"/>
      <c r="E884" s="116"/>
      <c r="F884" s="116"/>
      <c r="G884" s="116"/>
      <c r="H884" s="116"/>
      <c r="I884" s="116"/>
      <c r="J884" s="66"/>
      <c r="K884" s="470"/>
      <c r="L884" s="116"/>
      <c r="M884" s="116"/>
      <c r="N884" s="118" t="s">
        <v>4534</v>
      </c>
      <c r="O884" s="66"/>
      <c r="P884" s="468">
        <v>2986.6666666666665</v>
      </c>
    </row>
    <row r="885" spans="1:16">
      <c r="A885" s="714" t="s">
        <v>4848</v>
      </c>
      <c r="B885" s="116"/>
      <c r="C885" s="753"/>
      <c r="D885" s="66"/>
      <c r="E885" s="116"/>
      <c r="F885" s="116"/>
      <c r="G885" s="116"/>
      <c r="H885" s="116"/>
      <c r="I885" s="116"/>
      <c r="J885" s="66"/>
      <c r="K885" s="470"/>
      <c r="L885" s="116"/>
      <c r="M885" s="116"/>
      <c r="N885" s="118" t="s">
        <v>4534</v>
      </c>
      <c r="O885" s="66"/>
      <c r="P885" s="468">
        <v>3306.6666666666665</v>
      </c>
    </row>
    <row r="886" spans="1:16">
      <c r="A886" s="714" t="s">
        <v>4848</v>
      </c>
      <c r="B886" s="116"/>
      <c r="C886" s="753"/>
      <c r="D886" s="66"/>
      <c r="E886" s="116"/>
      <c r="F886" s="116"/>
      <c r="G886" s="116"/>
      <c r="H886" s="116"/>
      <c r="I886" s="116"/>
      <c r="J886" s="66"/>
      <c r="K886" s="470"/>
      <c r="L886" s="116"/>
      <c r="M886" s="116"/>
      <c r="N886" s="118" t="s">
        <v>4698</v>
      </c>
      <c r="O886" s="66"/>
      <c r="P886" s="468">
        <v>160000</v>
      </c>
    </row>
    <row r="887" spans="1:16" ht="12.75" customHeight="1">
      <c r="A887" s="714" t="s">
        <v>4848</v>
      </c>
      <c r="B887" s="116" t="s">
        <v>4857</v>
      </c>
      <c r="C887" s="753" t="s">
        <v>4858</v>
      </c>
      <c r="D887" s="66" t="s">
        <v>4844</v>
      </c>
      <c r="E887" s="116">
        <v>3</v>
      </c>
      <c r="F887" s="116">
        <v>1.5</v>
      </c>
      <c r="G887" s="116"/>
      <c r="H887" s="116"/>
      <c r="I887" s="116">
        <f>29+0.5+4</f>
        <v>33.5</v>
      </c>
      <c r="J887" s="66" t="s">
        <v>4859</v>
      </c>
      <c r="K887" s="470"/>
      <c r="L887" s="116">
        <v>1</v>
      </c>
      <c r="M887" s="116" t="s">
        <v>4345</v>
      </c>
      <c r="N887" s="118" t="s">
        <v>4524</v>
      </c>
      <c r="O887" s="66" t="s">
        <v>4658</v>
      </c>
      <c r="P887" s="468">
        <v>2311552.0588235296</v>
      </c>
    </row>
    <row r="888" spans="1:16">
      <c r="A888" s="714" t="s">
        <v>4848</v>
      </c>
      <c r="B888" s="116"/>
      <c r="C888" s="753"/>
      <c r="D888" s="66"/>
      <c r="E888" s="116"/>
      <c r="F888" s="116"/>
      <c r="G888" s="116"/>
      <c r="H888" s="116"/>
      <c r="I888" s="116"/>
      <c r="J888" s="66"/>
      <c r="K888" s="470"/>
      <c r="L888" s="116"/>
      <c r="M888" s="116"/>
      <c r="N888" s="118" t="s">
        <v>4524</v>
      </c>
      <c r="O888" s="66"/>
      <c r="P888" s="468">
        <v>1781788.2352941176</v>
      </c>
    </row>
    <row r="889" spans="1:16">
      <c r="A889" s="714" t="s">
        <v>4848</v>
      </c>
      <c r="B889" s="116"/>
      <c r="C889" s="753"/>
      <c r="D889" s="66"/>
      <c r="E889" s="116"/>
      <c r="F889" s="116"/>
      <c r="G889" s="116"/>
      <c r="H889" s="116"/>
      <c r="I889" s="116"/>
      <c r="J889" s="66"/>
      <c r="K889" s="470"/>
      <c r="L889" s="116"/>
      <c r="M889" s="116"/>
      <c r="N889" s="118" t="s">
        <v>4524</v>
      </c>
      <c r="O889" s="66"/>
      <c r="P889" s="468">
        <v>2227235.2941176472</v>
      </c>
    </row>
    <row r="890" spans="1:16" ht="12.75" customHeight="1">
      <c r="A890" s="714" t="s">
        <v>4848</v>
      </c>
      <c r="B890" s="116"/>
      <c r="C890" s="753" t="s">
        <v>4860</v>
      </c>
      <c r="D890" s="66" t="s">
        <v>4861</v>
      </c>
      <c r="E890" s="116">
        <v>8</v>
      </c>
      <c r="F890" s="116">
        <v>11</v>
      </c>
      <c r="G890" s="116"/>
      <c r="H890" s="116">
        <v>1149688</v>
      </c>
      <c r="I890" s="116">
        <v>5.5</v>
      </c>
      <c r="J890" s="66" t="s">
        <v>4862</v>
      </c>
      <c r="K890" s="470">
        <v>1977126</v>
      </c>
      <c r="L890" s="116">
        <v>1</v>
      </c>
      <c r="M890" s="116" t="s">
        <v>4345</v>
      </c>
      <c r="N890" s="118" t="s">
        <v>4534</v>
      </c>
      <c r="O890" s="66" t="s">
        <v>4658</v>
      </c>
      <c r="P890" s="468">
        <v>348720</v>
      </c>
    </row>
    <row r="891" spans="1:16">
      <c r="A891" s="714" t="s">
        <v>4848</v>
      </c>
      <c r="B891" s="116"/>
      <c r="C891" s="753"/>
      <c r="D891" s="66"/>
      <c r="E891" s="116"/>
      <c r="F891" s="116"/>
      <c r="G891" s="116"/>
      <c r="H891" s="116"/>
      <c r="I891" s="116"/>
      <c r="J891" s="66"/>
      <c r="K891" s="470"/>
      <c r="L891" s="116"/>
      <c r="M891" s="116"/>
      <c r="N891" s="118" t="s">
        <v>4678</v>
      </c>
      <c r="O891" s="66"/>
      <c r="P891" s="468">
        <v>56000</v>
      </c>
    </row>
    <row r="892" spans="1:16" ht="12.75" customHeight="1">
      <c r="A892" s="714" t="s">
        <v>4848</v>
      </c>
      <c r="B892" s="116"/>
      <c r="C892" s="753" t="s">
        <v>4863</v>
      </c>
      <c r="D892" s="66" t="s">
        <v>4851</v>
      </c>
      <c r="E892" s="116">
        <v>45</v>
      </c>
      <c r="F892" s="116">
        <v>3417.1</v>
      </c>
      <c r="G892" s="116">
        <v>102840000</v>
      </c>
      <c r="H892" s="116"/>
      <c r="I892" s="116">
        <v>580.6</v>
      </c>
      <c r="J892" s="66" t="s">
        <v>4303</v>
      </c>
      <c r="K892" s="470">
        <v>411940000</v>
      </c>
      <c r="L892" s="116">
        <v>1</v>
      </c>
      <c r="M892" s="116" t="s">
        <v>4345</v>
      </c>
      <c r="N892" s="118" t="s">
        <v>4748</v>
      </c>
      <c r="O892" s="66" t="s">
        <v>4658</v>
      </c>
      <c r="P892" s="468">
        <v>10125000</v>
      </c>
    </row>
    <row r="893" spans="1:16">
      <c r="A893" s="714" t="s">
        <v>4848</v>
      </c>
      <c r="B893" s="116"/>
      <c r="C893" s="753"/>
      <c r="D893" s="66"/>
      <c r="E893" s="116"/>
      <c r="F893" s="116"/>
      <c r="G893" s="116"/>
      <c r="H893" s="116"/>
      <c r="I893" s="116"/>
      <c r="J893" s="66"/>
      <c r="K893" s="470"/>
      <c r="L893" s="116"/>
      <c r="M893" s="116"/>
      <c r="N893" s="118" t="s">
        <v>4749</v>
      </c>
      <c r="O893" s="66"/>
      <c r="P893" s="468">
        <v>10125000</v>
      </c>
    </row>
    <row r="894" spans="1:16" ht="12.75" customHeight="1">
      <c r="A894" s="714" t="s">
        <v>4848</v>
      </c>
      <c r="B894" s="116"/>
      <c r="C894" s="753" t="s">
        <v>4864</v>
      </c>
      <c r="D894" s="66" t="s">
        <v>3874</v>
      </c>
      <c r="E894" s="116">
        <v>18</v>
      </c>
      <c r="F894" s="116">
        <v>289</v>
      </c>
      <c r="G894" s="116"/>
      <c r="H894" s="116">
        <v>10794750</v>
      </c>
      <c r="I894" s="116">
        <v>23.7</v>
      </c>
      <c r="J894" s="66" t="s">
        <v>4303</v>
      </c>
      <c r="K894" s="470">
        <v>23669137.5</v>
      </c>
      <c r="L894" s="116">
        <v>1</v>
      </c>
      <c r="M894" s="116" t="s">
        <v>4345</v>
      </c>
      <c r="N894" s="118" t="s">
        <v>4534</v>
      </c>
      <c r="O894" s="66" t="s">
        <v>4658</v>
      </c>
      <c r="P894" s="468">
        <v>23248</v>
      </c>
    </row>
    <row r="895" spans="1:16">
      <c r="A895" s="714" t="s">
        <v>4848</v>
      </c>
      <c r="B895" s="116"/>
      <c r="C895" s="753"/>
      <c r="D895" s="66"/>
      <c r="E895" s="116"/>
      <c r="F895" s="116"/>
      <c r="G895" s="116"/>
      <c r="H895" s="116"/>
      <c r="I895" s="116"/>
      <c r="J895" s="66"/>
      <c r="K895" s="470"/>
      <c r="L895" s="116"/>
      <c r="M895" s="116"/>
      <c r="N895" s="118" t="s">
        <v>4534</v>
      </c>
      <c r="O895" s="66"/>
      <c r="P895" s="468">
        <v>8960</v>
      </c>
    </row>
    <row r="896" spans="1:16">
      <c r="A896" s="714" t="s">
        <v>4848</v>
      </c>
      <c r="B896" s="116"/>
      <c r="C896" s="753"/>
      <c r="D896" s="66"/>
      <c r="E896" s="116"/>
      <c r="F896" s="116"/>
      <c r="G896" s="116"/>
      <c r="H896" s="116"/>
      <c r="I896" s="116"/>
      <c r="J896" s="66"/>
      <c r="K896" s="470"/>
      <c r="L896" s="116"/>
      <c r="M896" s="116"/>
      <c r="N896" s="118" t="s">
        <v>4534</v>
      </c>
      <c r="O896" s="66"/>
      <c r="P896" s="468">
        <v>9920</v>
      </c>
    </row>
    <row r="897" spans="1:16">
      <c r="A897" s="714" t="s">
        <v>4848</v>
      </c>
      <c r="B897" s="116"/>
      <c r="C897" s="753"/>
      <c r="D897" s="66"/>
      <c r="E897" s="116"/>
      <c r="F897" s="116"/>
      <c r="G897" s="116"/>
      <c r="H897" s="116"/>
      <c r="I897" s="116"/>
      <c r="J897" s="66"/>
      <c r="K897" s="470"/>
      <c r="L897" s="116"/>
      <c r="M897" s="116"/>
      <c r="N897" s="118" t="s">
        <v>4698</v>
      </c>
      <c r="O897" s="66"/>
      <c r="P897" s="468">
        <v>480000</v>
      </c>
    </row>
    <row r="898" spans="1:16">
      <c r="A898" s="714" t="s">
        <v>4848</v>
      </c>
      <c r="B898" s="116"/>
      <c r="C898" s="753" t="s">
        <v>4865</v>
      </c>
      <c r="D898" s="66" t="s">
        <v>4866</v>
      </c>
      <c r="E898" s="116">
        <v>1</v>
      </c>
      <c r="F898" s="116">
        <v>1</v>
      </c>
      <c r="G898" s="119"/>
      <c r="H898" s="116">
        <v>1099000</v>
      </c>
      <c r="I898" s="116">
        <v>1</v>
      </c>
      <c r="J898" s="66" t="s">
        <v>4862</v>
      </c>
      <c r="K898" s="470">
        <v>2300000</v>
      </c>
      <c r="L898" s="116"/>
      <c r="M898" s="119"/>
      <c r="N898" s="118"/>
      <c r="O898" s="171"/>
      <c r="P898" s="468"/>
    </row>
    <row r="899" spans="1:16" ht="12.75" customHeight="1">
      <c r="A899" s="714" t="s">
        <v>4867</v>
      </c>
      <c r="B899" s="116" t="s">
        <v>4868</v>
      </c>
      <c r="C899" s="753" t="s">
        <v>4869</v>
      </c>
      <c r="D899" s="66" t="s">
        <v>4625</v>
      </c>
      <c r="E899" s="116">
        <v>27</v>
      </c>
      <c r="F899" s="116"/>
      <c r="G899" s="116"/>
      <c r="H899" s="116"/>
      <c r="I899" s="116">
        <v>46</v>
      </c>
      <c r="J899" s="66" t="s">
        <v>4870</v>
      </c>
      <c r="K899" s="470"/>
      <c r="L899" s="116">
        <v>1</v>
      </c>
      <c r="M899" s="116" t="s">
        <v>4345</v>
      </c>
      <c r="N899" s="118" t="s">
        <v>4834</v>
      </c>
      <c r="O899" s="66" t="s">
        <v>4658</v>
      </c>
      <c r="P899" s="468">
        <v>855360</v>
      </c>
    </row>
    <row r="900" spans="1:16">
      <c r="A900" s="714" t="s">
        <v>4867</v>
      </c>
      <c r="B900" s="116"/>
      <c r="C900" s="753"/>
      <c r="D900" s="66"/>
      <c r="E900" s="116"/>
      <c r="F900" s="116"/>
      <c r="G900" s="116"/>
      <c r="H900" s="116"/>
      <c r="I900" s="116"/>
      <c r="J900" s="66"/>
      <c r="K900" s="470"/>
      <c r="L900" s="116"/>
      <c r="M900" s="116"/>
      <c r="N900" s="118" t="s">
        <v>4835</v>
      </c>
      <c r="O900" s="66"/>
      <c r="P900" s="468">
        <v>378000</v>
      </c>
    </row>
    <row r="901" spans="1:16">
      <c r="A901" s="714" t="s">
        <v>4867</v>
      </c>
      <c r="B901" s="116"/>
      <c r="C901" s="753"/>
      <c r="D901" s="66"/>
      <c r="E901" s="116"/>
      <c r="F901" s="116"/>
      <c r="G901" s="116"/>
      <c r="H901" s="116"/>
      <c r="I901" s="116"/>
      <c r="J901" s="66"/>
      <c r="K901" s="470"/>
      <c r="L901" s="116"/>
      <c r="M901" s="116"/>
      <c r="N901" s="118" t="s">
        <v>4836</v>
      </c>
      <c r="O901" s="66"/>
      <c r="P901" s="468">
        <v>777600</v>
      </c>
    </row>
    <row r="902" spans="1:16">
      <c r="A902" s="714" t="s">
        <v>4867</v>
      </c>
      <c r="B902" s="116"/>
      <c r="C902" s="753"/>
      <c r="D902" s="66"/>
      <c r="E902" s="116"/>
      <c r="F902" s="116"/>
      <c r="G902" s="116"/>
      <c r="H902" s="116"/>
      <c r="I902" s="116"/>
      <c r="J902" s="66"/>
      <c r="K902" s="470"/>
      <c r="L902" s="116"/>
      <c r="M902" s="116"/>
      <c r="N902" s="118" t="s">
        <v>4837</v>
      </c>
      <c r="O902" s="66"/>
      <c r="P902" s="468">
        <v>877500</v>
      </c>
    </row>
    <row r="903" spans="1:16" ht="12.75" customHeight="1">
      <c r="A903" s="714" t="s">
        <v>4867</v>
      </c>
      <c r="B903" s="116" t="s">
        <v>4871</v>
      </c>
      <c r="C903" s="753" t="s">
        <v>4872</v>
      </c>
      <c r="D903" s="66" t="s">
        <v>4110</v>
      </c>
      <c r="E903" s="116">
        <v>1</v>
      </c>
      <c r="F903" s="116"/>
      <c r="G903" s="116"/>
      <c r="H903" s="116"/>
      <c r="I903" s="116">
        <v>0.5</v>
      </c>
      <c r="J903" s="66" t="s">
        <v>4873</v>
      </c>
      <c r="K903" s="470">
        <v>3000000</v>
      </c>
      <c r="L903" s="116">
        <v>1</v>
      </c>
      <c r="M903" s="116" t="s">
        <v>4345</v>
      </c>
      <c r="N903" s="118" t="s">
        <v>4524</v>
      </c>
      <c r="O903" s="66" t="s">
        <v>4658</v>
      </c>
      <c r="P903" s="468">
        <v>15500</v>
      </c>
    </row>
    <row r="904" spans="1:16" ht="24" customHeight="1">
      <c r="A904" s="714" t="s">
        <v>4867</v>
      </c>
      <c r="B904" s="116"/>
      <c r="C904" s="753"/>
      <c r="D904" s="66"/>
      <c r="E904" s="116"/>
      <c r="F904" s="116"/>
      <c r="G904" s="116"/>
      <c r="H904" s="116"/>
      <c r="I904" s="116"/>
      <c r="J904" s="66"/>
      <c r="K904" s="470"/>
      <c r="L904" s="116"/>
      <c r="M904" s="116"/>
      <c r="N904" s="118" t="s">
        <v>4524</v>
      </c>
      <c r="O904" s="66"/>
      <c r="P904" s="468">
        <v>9437.5</v>
      </c>
    </row>
    <row r="905" spans="1:16" ht="12.75" customHeight="1">
      <c r="A905" s="714" t="s">
        <v>4867</v>
      </c>
      <c r="B905" s="116"/>
      <c r="C905" s="753" t="s">
        <v>4872</v>
      </c>
      <c r="D905" s="66" t="s">
        <v>3795</v>
      </c>
      <c r="E905" s="116">
        <v>2</v>
      </c>
      <c r="F905" s="116"/>
      <c r="G905" s="116"/>
      <c r="H905" s="116"/>
      <c r="I905" s="116">
        <v>0.63</v>
      </c>
      <c r="J905" s="66" t="s">
        <v>4874</v>
      </c>
      <c r="K905" s="470">
        <v>4000000</v>
      </c>
      <c r="L905" s="116">
        <v>1</v>
      </c>
      <c r="M905" s="116" t="s">
        <v>4345</v>
      </c>
      <c r="N905" s="118" t="s">
        <v>4534</v>
      </c>
      <c r="O905" s="66" t="s">
        <v>4658</v>
      </c>
      <c r="P905" s="468">
        <v>23248</v>
      </c>
    </row>
    <row r="906" spans="1:16">
      <c r="A906" s="714" t="s">
        <v>4867</v>
      </c>
      <c r="B906" s="116"/>
      <c r="C906" s="753"/>
      <c r="D906" s="66"/>
      <c r="E906" s="116"/>
      <c r="F906" s="116"/>
      <c r="G906" s="116"/>
      <c r="H906" s="116"/>
      <c r="I906" s="116"/>
      <c r="J906" s="66"/>
      <c r="K906" s="470"/>
      <c r="L906" s="116"/>
      <c r="M906" s="116"/>
      <c r="N906" s="118" t="s">
        <v>4673</v>
      </c>
      <c r="O906" s="66"/>
      <c r="P906" s="468">
        <v>17920</v>
      </c>
    </row>
    <row r="907" spans="1:16">
      <c r="A907" s="714" t="s">
        <v>4867</v>
      </c>
      <c r="B907" s="116"/>
      <c r="C907" s="753"/>
      <c r="D907" s="66"/>
      <c r="E907" s="116"/>
      <c r="F907" s="116"/>
      <c r="G907" s="116"/>
      <c r="H907" s="116"/>
      <c r="I907" s="116"/>
      <c r="J907" s="66"/>
      <c r="K907" s="470"/>
      <c r="L907" s="116"/>
      <c r="M907" s="116"/>
      <c r="N907" s="118" t="s">
        <v>4534</v>
      </c>
      <c r="O907" s="66"/>
      <c r="P907" s="468">
        <v>19840</v>
      </c>
    </row>
    <row r="908" spans="1:16" ht="19.5" customHeight="1">
      <c r="A908" s="714" t="s">
        <v>4867</v>
      </c>
      <c r="B908" s="116"/>
      <c r="C908" s="753" t="s">
        <v>4872</v>
      </c>
      <c r="D908" s="66" t="s">
        <v>4875</v>
      </c>
      <c r="E908" s="116">
        <v>2</v>
      </c>
      <c r="F908" s="116"/>
      <c r="G908" s="116"/>
      <c r="H908" s="116"/>
      <c r="I908" s="116">
        <v>1.25</v>
      </c>
      <c r="J908" s="66" t="s">
        <v>4873</v>
      </c>
      <c r="K908" s="470">
        <v>2300000</v>
      </c>
      <c r="L908" s="116">
        <v>1</v>
      </c>
      <c r="M908" s="116" t="s">
        <v>4345</v>
      </c>
      <c r="N908" s="118" t="s">
        <v>4534</v>
      </c>
      <c r="O908" s="66" t="s">
        <v>4658</v>
      </c>
      <c r="P908" s="468">
        <v>74400</v>
      </c>
    </row>
    <row r="909" spans="1:16" ht="19.5" customHeight="1">
      <c r="A909" s="714" t="s">
        <v>4867</v>
      </c>
      <c r="B909" s="116"/>
      <c r="C909" s="753"/>
      <c r="D909" s="66"/>
      <c r="E909" s="116"/>
      <c r="F909" s="116"/>
      <c r="G909" s="116"/>
      <c r="H909" s="116"/>
      <c r="I909" s="116"/>
      <c r="J909" s="66"/>
      <c r="K909" s="470"/>
      <c r="L909" s="116"/>
      <c r="M909" s="116"/>
      <c r="N909" s="118" t="s">
        <v>4534</v>
      </c>
      <c r="O909" s="66"/>
      <c r="P909" s="468">
        <v>44800</v>
      </c>
    </row>
    <row r="910" spans="1:16" ht="12.75" customHeight="1">
      <c r="A910" s="714" t="s">
        <v>4867</v>
      </c>
      <c r="B910" s="116"/>
      <c r="C910" s="753" t="s">
        <v>4876</v>
      </c>
      <c r="D910" s="66" t="s">
        <v>4625</v>
      </c>
      <c r="E910" s="116">
        <v>11</v>
      </c>
      <c r="F910" s="116"/>
      <c r="G910" s="116"/>
      <c r="H910" s="116"/>
      <c r="I910" s="116">
        <v>26</v>
      </c>
      <c r="J910" s="66" t="s">
        <v>4740</v>
      </c>
      <c r="K910" s="470"/>
      <c r="L910" s="116">
        <v>1</v>
      </c>
      <c r="M910" s="116" t="s">
        <v>4345</v>
      </c>
      <c r="N910" s="118" t="s">
        <v>4834</v>
      </c>
      <c r="O910" s="66" t="s">
        <v>4658</v>
      </c>
      <c r="P910" s="468">
        <v>348480</v>
      </c>
    </row>
    <row r="911" spans="1:16">
      <c r="A911" s="714" t="s">
        <v>4867</v>
      </c>
      <c r="B911" s="116"/>
      <c r="C911" s="753"/>
      <c r="D911" s="66"/>
      <c r="E911" s="116"/>
      <c r="F911" s="116"/>
      <c r="G911" s="116"/>
      <c r="H911" s="116"/>
      <c r="I911" s="116"/>
      <c r="J911" s="66"/>
      <c r="K911" s="470"/>
      <c r="L911" s="116"/>
      <c r="M911" s="116"/>
      <c r="N911" s="118" t="s">
        <v>4835</v>
      </c>
      <c r="O911" s="66"/>
      <c r="P911" s="468">
        <v>154000</v>
      </c>
    </row>
    <row r="912" spans="1:16">
      <c r="A912" s="714" t="s">
        <v>4867</v>
      </c>
      <c r="B912" s="116"/>
      <c r="C912" s="753"/>
      <c r="D912" s="66"/>
      <c r="E912" s="116"/>
      <c r="F912" s="116"/>
      <c r="G912" s="116"/>
      <c r="H912" s="116"/>
      <c r="I912" s="116"/>
      <c r="J912" s="66"/>
      <c r="K912" s="470"/>
      <c r="L912" s="116"/>
      <c r="M912" s="116"/>
      <c r="N912" s="118" t="s">
        <v>4836</v>
      </c>
      <c r="O912" s="66"/>
      <c r="P912" s="468">
        <v>316800</v>
      </c>
    </row>
    <row r="913" spans="1:16">
      <c r="A913" s="714" t="s">
        <v>4867</v>
      </c>
      <c r="B913" s="116"/>
      <c r="C913" s="753"/>
      <c r="D913" s="66"/>
      <c r="E913" s="116"/>
      <c r="F913" s="116"/>
      <c r="G913" s="116"/>
      <c r="H913" s="116"/>
      <c r="I913" s="116"/>
      <c r="J913" s="66"/>
      <c r="K913" s="470"/>
      <c r="L913" s="116"/>
      <c r="M913" s="116"/>
      <c r="N913" s="118" t="s">
        <v>4837</v>
      </c>
      <c r="O913" s="66"/>
      <c r="P913" s="468">
        <v>357500</v>
      </c>
    </row>
    <row r="914" spans="1:16" ht="12.75" customHeight="1">
      <c r="A914" s="714" t="s">
        <v>4867</v>
      </c>
      <c r="B914" s="116"/>
      <c r="C914" s="753" t="s">
        <v>4872</v>
      </c>
      <c r="D914" s="66" t="s">
        <v>3867</v>
      </c>
      <c r="E914" s="116">
        <v>3</v>
      </c>
      <c r="F914" s="116"/>
      <c r="G914" s="116"/>
      <c r="H914" s="116"/>
      <c r="I914" s="116">
        <v>4.5</v>
      </c>
      <c r="J914" s="66" t="s">
        <v>4873</v>
      </c>
      <c r="K914" s="470">
        <v>11950000</v>
      </c>
      <c r="L914" s="116">
        <v>1</v>
      </c>
      <c r="M914" s="116" t="s">
        <v>4345</v>
      </c>
      <c r="N914" s="118" t="s">
        <v>4683</v>
      </c>
      <c r="O914" s="66" t="s">
        <v>4658</v>
      </c>
      <c r="P914" s="468">
        <v>257220</v>
      </c>
    </row>
    <row r="915" spans="1:16">
      <c r="A915" s="714" t="s">
        <v>4867</v>
      </c>
      <c r="B915" s="116"/>
      <c r="C915" s="753"/>
      <c r="D915" s="66"/>
      <c r="E915" s="116"/>
      <c r="F915" s="116"/>
      <c r="G915" s="116"/>
      <c r="H915" s="116"/>
      <c r="I915" s="116"/>
      <c r="J915" s="66"/>
      <c r="K915" s="470"/>
      <c r="L915" s="116"/>
      <c r="M915" s="116"/>
      <c r="N915" s="118" t="s">
        <v>4684</v>
      </c>
      <c r="O915" s="66"/>
      <c r="P915" s="468">
        <v>257760</v>
      </c>
    </row>
    <row r="916" spans="1:16">
      <c r="A916" s="714" t="s">
        <v>4867</v>
      </c>
      <c r="B916" s="116"/>
      <c r="C916" s="753"/>
      <c r="D916" s="66"/>
      <c r="E916" s="116"/>
      <c r="F916" s="116"/>
      <c r="G916" s="116"/>
      <c r="H916" s="116"/>
      <c r="I916" s="116"/>
      <c r="J916" s="66"/>
      <c r="K916" s="470"/>
      <c r="L916" s="116"/>
      <c r="M916" s="116"/>
      <c r="N916" s="118" t="s">
        <v>4685</v>
      </c>
      <c r="O916" s="66"/>
      <c r="P916" s="468">
        <v>85920</v>
      </c>
    </row>
    <row r="917" spans="1:16">
      <c r="A917" s="714" t="s">
        <v>4867</v>
      </c>
      <c r="B917" s="116"/>
      <c r="C917" s="753"/>
      <c r="D917" s="66"/>
      <c r="E917" s="116"/>
      <c r="F917" s="116"/>
      <c r="G917" s="116"/>
      <c r="H917" s="116"/>
      <c r="I917" s="116"/>
      <c r="J917" s="66"/>
      <c r="K917" s="470"/>
      <c r="L917" s="116"/>
      <c r="M917" s="116"/>
      <c r="N917" s="118" t="s">
        <v>4687</v>
      </c>
      <c r="O917" s="66"/>
      <c r="P917" s="468">
        <v>40500</v>
      </c>
    </row>
    <row r="918" spans="1:16">
      <c r="A918" s="714" t="s">
        <v>4867</v>
      </c>
      <c r="B918" s="116"/>
      <c r="C918" s="753"/>
      <c r="D918" s="66"/>
      <c r="E918" s="116"/>
      <c r="F918" s="116"/>
      <c r="G918" s="116"/>
      <c r="H918" s="116"/>
      <c r="I918" s="116"/>
      <c r="J918" s="66"/>
      <c r="K918" s="470"/>
      <c r="L918" s="116"/>
      <c r="M918" s="116"/>
      <c r="N918" s="118" t="s">
        <v>4688</v>
      </c>
      <c r="O918" s="66"/>
      <c r="P918" s="468">
        <v>46650</v>
      </c>
    </row>
    <row r="919" spans="1:16">
      <c r="A919" s="714" t="s">
        <v>4867</v>
      </c>
      <c r="B919" s="116"/>
      <c r="C919" s="753"/>
      <c r="D919" s="66"/>
      <c r="E919" s="116"/>
      <c r="F919" s="116"/>
      <c r="G919" s="116"/>
      <c r="H919" s="116"/>
      <c r="I919" s="116"/>
      <c r="J919" s="66"/>
      <c r="K919" s="470"/>
      <c r="L919" s="116"/>
      <c r="M919" s="116"/>
      <c r="N919" s="118" t="s">
        <v>4689</v>
      </c>
      <c r="O919" s="66"/>
      <c r="P919" s="468">
        <v>36900</v>
      </c>
    </row>
    <row r="920" spans="1:16">
      <c r="A920" s="714" t="s">
        <v>4867</v>
      </c>
      <c r="B920" s="116"/>
      <c r="C920" s="753"/>
      <c r="D920" s="66"/>
      <c r="E920" s="116"/>
      <c r="F920" s="116"/>
      <c r="G920" s="116"/>
      <c r="H920" s="116"/>
      <c r="I920" s="116"/>
      <c r="J920" s="66"/>
      <c r="K920" s="470"/>
      <c r="L920" s="116"/>
      <c r="M920" s="116"/>
      <c r="N920" s="118" t="s">
        <v>4690</v>
      </c>
      <c r="O920" s="66"/>
      <c r="P920" s="468">
        <v>14400</v>
      </c>
    </row>
    <row r="921" spans="1:16">
      <c r="A921" s="714" t="s">
        <v>4867</v>
      </c>
      <c r="B921" s="116"/>
      <c r="C921" s="753"/>
      <c r="D921" s="66"/>
      <c r="E921" s="116"/>
      <c r="F921" s="116"/>
      <c r="G921" s="116"/>
      <c r="H921" s="116"/>
      <c r="I921" s="116"/>
      <c r="J921" s="66"/>
      <c r="K921" s="470"/>
      <c r="L921" s="116"/>
      <c r="M921" s="116"/>
      <c r="N921" s="118" t="s">
        <v>4691</v>
      </c>
      <c r="O921" s="66"/>
      <c r="P921" s="468">
        <v>6000</v>
      </c>
    </row>
    <row r="922" spans="1:16">
      <c r="A922" s="714" t="s">
        <v>4867</v>
      </c>
      <c r="B922" s="116"/>
      <c r="C922" s="753"/>
      <c r="D922" s="66"/>
      <c r="E922" s="116"/>
      <c r="F922" s="116"/>
      <c r="G922" s="116"/>
      <c r="H922" s="116"/>
      <c r="I922" s="116"/>
      <c r="J922" s="66"/>
      <c r="K922" s="470"/>
      <c r="L922" s="116"/>
      <c r="M922" s="116"/>
      <c r="N922" s="118" t="s">
        <v>4692</v>
      </c>
      <c r="O922" s="66"/>
      <c r="P922" s="468">
        <v>19200</v>
      </c>
    </row>
    <row r="923" spans="1:16">
      <c r="A923" s="714" t="s">
        <v>4867</v>
      </c>
      <c r="B923" s="116"/>
      <c r="C923" s="753"/>
      <c r="D923" s="66"/>
      <c r="E923" s="116"/>
      <c r="F923" s="116"/>
      <c r="G923" s="116"/>
      <c r="H923" s="116"/>
      <c r="I923" s="116"/>
      <c r="J923" s="66"/>
      <c r="K923" s="470"/>
      <c r="L923" s="116"/>
      <c r="M923" s="116"/>
      <c r="N923" s="118" t="s">
        <v>4693</v>
      </c>
      <c r="O923" s="66"/>
      <c r="P923" s="468">
        <v>21600</v>
      </c>
    </row>
    <row r="924" spans="1:16">
      <c r="A924" s="714" t="s">
        <v>4867</v>
      </c>
      <c r="B924" s="116"/>
      <c r="C924" s="753"/>
      <c r="D924" s="66"/>
      <c r="E924" s="116"/>
      <c r="F924" s="116"/>
      <c r="G924" s="116"/>
      <c r="H924" s="116"/>
      <c r="I924" s="116"/>
      <c r="J924" s="66"/>
      <c r="K924" s="470"/>
      <c r="L924" s="116"/>
      <c r="M924" s="116"/>
      <c r="N924" s="118" t="s">
        <v>4694</v>
      </c>
      <c r="O924" s="66"/>
      <c r="P924" s="468">
        <v>32400</v>
      </c>
    </row>
    <row r="925" spans="1:16">
      <c r="A925" s="714" t="s">
        <v>4867</v>
      </c>
      <c r="B925" s="116"/>
      <c r="C925" s="753"/>
      <c r="D925" s="66"/>
      <c r="E925" s="116"/>
      <c r="F925" s="116"/>
      <c r="G925" s="116"/>
      <c r="H925" s="116"/>
      <c r="I925" s="116"/>
      <c r="J925" s="66"/>
      <c r="K925" s="470"/>
      <c r="L925" s="116"/>
      <c r="M925" s="116"/>
      <c r="N925" s="118" t="s">
        <v>4732</v>
      </c>
      <c r="O925" s="66"/>
      <c r="P925" s="468">
        <v>19500</v>
      </c>
    </row>
    <row r="926" spans="1:16" ht="12.75" customHeight="1">
      <c r="A926" s="714" t="s">
        <v>4867</v>
      </c>
      <c r="B926" s="116"/>
      <c r="C926" s="753" t="s">
        <v>4872</v>
      </c>
      <c r="D926" s="66" t="s">
        <v>4695</v>
      </c>
      <c r="E926" s="116">
        <v>2</v>
      </c>
      <c r="F926" s="116"/>
      <c r="G926" s="116"/>
      <c r="H926" s="116"/>
      <c r="I926" s="116">
        <v>0.35</v>
      </c>
      <c r="J926" s="66" t="s">
        <v>4873</v>
      </c>
      <c r="K926" s="470">
        <v>4000000</v>
      </c>
      <c r="L926" s="116">
        <v>1</v>
      </c>
      <c r="M926" s="116" t="s">
        <v>4345</v>
      </c>
      <c r="N926" s="118" t="s">
        <v>4534</v>
      </c>
      <c r="O926" s="66" t="s">
        <v>4658</v>
      </c>
      <c r="P926" s="468">
        <v>2583.1111111111113</v>
      </c>
    </row>
    <row r="927" spans="1:16">
      <c r="A927" s="714" t="s">
        <v>4867</v>
      </c>
      <c r="B927" s="116"/>
      <c r="C927" s="753"/>
      <c r="D927" s="66"/>
      <c r="E927" s="116"/>
      <c r="F927" s="116"/>
      <c r="G927" s="116"/>
      <c r="H927" s="116"/>
      <c r="I927" s="116"/>
      <c r="J927" s="66"/>
      <c r="K927" s="470"/>
      <c r="L927" s="116"/>
      <c r="M927" s="116"/>
      <c r="N927" s="118" t="s">
        <v>4534</v>
      </c>
      <c r="O927" s="66"/>
      <c r="P927" s="468">
        <v>995.55555555555554</v>
      </c>
    </row>
    <row r="928" spans="1:16">
      <c r="A928" s="714" t="s">
        <v>4867</v>
      </c>
      <c r="B928" s="116"/>
      <c r="C928" s="753"/>
      <c r="D928" s="66"/>
      <c r="E928" s="116"/>
      <c r="F928" s="116"/>
      <c r="G928" s="116"/>
      <c r="H928" s="116"/>
      <c r="I928" s="116"/>
      <c r="J928" s="66"/>
      <c r="K928" s="470"/>
      <c r="L928" s="116"/>
      <c r="M928" s="116"/>
      <c r="N928" s="118" t="s">
        <v>4534</v>
      </c>
      <c r="O928" s="66"/>
      <c r="P928" s="468">
        <v>1102.2222222222222</v>
      </c>
    </row>
    <row r="929" spans="1:16">
      <c r="A929" s="714" t="s">
        <v>4867</v>
      </c>
      <c r="B929" s="116"/>
      <c r="C929" s="753"/>
      <c r="D929" s="66"/>
      <c r="E929" s="116"/>
      <c r="F929" s="116"/>
      <c r="G929" s="116"/>
      <c r="H929" s="116"/>
      <c r="I929" s="116"/>
      <c r="J929" s="66"/>
      <c r="K929" s="470"/>
      <c r="L929" s="116"/>
      <c r="M929" s="116"/>
      <c r="N929" s="118" t="s">
        <v>4698</v>
      </c>
      <c r="O929" s="66"/>
      <c r="P929" s="468">
        <v>53333.333333333336</v>
      </c>
    </row>
    <row r="930" spans="1:16" ht="33.75">
      <c r="A930" s="714" t="s">
        <v>4867</v>
      </c>
      <c r="B930" s="116"/>
      <c r="C930" s="753" t="s">
        <v>4872</v>
      </c>
      <c r="D930" s="66" t="s">
        <v>3891</v>
      </c>
      <c r="E930" s="116">
        <v>2</v>
      </c>
      <c r="F930" s="119"/>
      <c r="G930" s="119"/>
      <c r="H930" s="119"/>
      <c r="I930" s="116">
        <v>4.5</v>
      </c>
      <c r="J930" s="66" t="s">
        <v>4877</v>
      </c>
      <c r="K930" s="470"/>
      <c r="L930" s="116">
        <v>1</v>
      </c>
      <c r="M930" s="119" t="s">
        <v>4345</v>
      </c>
      <c r="N930" s="118" t="s">
        <v>4200</v>
      </c>
      <c r="O930" s="171" t="s">
        <v>4658</v>
      </c>
      <c r="P930" s="468">
        <v>116240</v>
      </c>
    </row>
    <row r="931" spans="1:16" ht="12.75" customHeight="1">
      <c r="A931" s="714" t="s">
        <v>4867</v>
      </c>
      <c r="B931" s="116" t="s">
        <v>4867</v>
      </c>
      <c r="C931" s="749" t="s">
        <v>2958</v>
      </c>
      <c r="D931" s="75" t="s">
        <v>4878</v>
      </c>
      <c r="E931" s="184">
        <v>1</v>
      </c>
      <c r="F931" s="184"/>
      <c r="G931" s="184"/>
      <c r="H931" s="184"/>
      <c r="I931" s="184">
        <v>30</v>
      </c>
      <c r="J931" s="75" t="s">
        <v>4879</v>
      </c>
      <c r="K931" s="470"/>
      <c r="L931" s="184">
        <v>1</v>
      </c>
      <c r="M931" s="184" t="s">
        <v>4345</v>
      </c>
      <c r="N931" s="118" t="s">
        <v>4704</v>
      </c>
      <c r="O931" s="75" t="s">
        <v>4658</v>
      </c>
      <c r="P931" s="468">
        <v>1100000</v>
      </c>
    </row>
    <row r="932" spans="1:16">
      <c r="A932" s="714" t="s">
        <v>4867</v>
      </c>
      <c r="B932" s="116"/>
      <c r="C932" s="749"/>
      <c r="D932" s="75"/>
      <c r="E932" s="184"/>
      <c r="F932" s="184"/>
      <c r="G932" s="184"/>
      <c r="H932" s="184"/>
      <c r="I932" s="184"/>
      <c r="J932" s="75"/>
      <c r="K932" s="470"/>
      <c r="L932" s="184"/>
      <c r="M932" s="184"/>
      <c r="N932" s="118" t="s">
        <v>4534</v>
      </c>
      <c r="O932" s="75"/>
      <c r="P932" s="468">
        <v>50000</v>
      </c>
    </row>
    <row r="933" spans="1:16">
      <c r="A933" s="714" t="s">
        <v>4867</v>
      </c>
      <c r="B933" s="116"/>
      <c r="C933" s="749"/>
      <c r="D933" s="75"/>
      <c r="E933" s="184"/>
      <c r="F933" s="184"/>
      <c r="G933" s="184"/>
      <c r="H933" s="184"/>
      <c r="I933" s="184"/>
      <c r="J933" s="75"/>
      <c r="K933" s="470"/>
      <c r="L933" s="184"/>
      <c r="M933" s="184"/>
      <c r="N933" s="118" t="s">
        <v>4534</v>
      </c>
      <c r="O933" s="75"/>
      <c r="P933" s="468">
        <v>45300</v>
      </c>
    </row>
    <row r="934" spans="1:16" ht="12.75" customHeight="1">
      <c r="A934" s="714" t="s">
        <v>4867</v>
      </c>
      <c r="B934" s="116"/>
      <c r="C934" s="753" t="s">
        <v>4880</v>
      </c>
      <c r="D934" s="66" t="s">
        <v>4625</v>
      </c>
      <c r="E934" s="116">
        <v>23</v>
      </c>
      <c r="F934" s="116"/>
      <c r="G934" s="116"/>
      <c r="H934" s="116"/>
      <c r="I934" s="116">
        <v>86.5</v>
      </c>
      <c r="J934" s="66" t="s">
        <v>4881</v>
      </c>
      <c r="K934" s="470"/>
      <c r="L934" s="116">
        <v>1</v>
      </c>
      <c r="M934" s="116" t="s">
        <v>4345</v>
      </c>
      <c r="N934" s="118" t="s">
        <v>4834</v>
      </c>
      <c r="O934" s="66" t="s">
        <v>4658</v>
      </c>
      <c r="P934" s="468">
        <v>728640</v>
      </c>
    </row>
    <row r="935" spans="1:16">
      <c r="A935" s="714" t="s">
        <v>4867</v>
      </c>
      <c r="B935" s="116"/>
      <c r="C935" s="753"/>
      <c r="D935" s="66"/>
      <c r="E935" s="116"/>
      <c r="F935" s="116"/>
      <c r="G935" s="116"/>
      <c r="H935" s="116"/>
      <c r="I935" s="116"/>
      <c r="J935" s="66"/>
      <c r="K935" s="470"/>
      <c r="L935" s="116"/>
      <c r="M935" s="116"/>
      <c r="N935" s="118" t="s">
        <v>4835</v>
      </c>
      <c r="O935" s="66"/>
      <c r="P935" s="468">
        <v>322000</v>
      </c>
    </row>
    <row r="936" spans="1:16">
      <c r="A936" s="714" t="s">
        <v>4867</v>
      </c>
      <c r="B936" s="116"/>
      <c r="C936" s="753"/>
      <c r="D936" s="66"/>
      <c r="E936" s="116"/>
      <c r="F936" s="116"/>
      <c r="G936" s="116"/>
      <c r="H936" s="116"/>
      <c r="I936" s="116"/>
      <c r="J936" s="66"/>
      <c r="K936" s="470"/>
      <c r="L936" s="116"/>
      <c r="M936" s="116"/>
      <c r="N936" s="118" t="s">
        <v>4836</v>
      </c>
      <c r="O936" s="66"/>
      <c r="P936" s="468">
        <v>662400</v>
      </c>
    </row>
    <row r="937" spans="1:16">
      <c r="A937" s="714" t="s">
        <v>4867</v>
      </c>
      <c r="B937" s="116"/>
      <c r="C937" s="753"/>
      <c r="D937" s="66"/>
      <c r="E937" s="116"/>
      <c r="F937" s="116"/>
      <c r="G937" s="116"/>
      <c r="H937" s="116"/>
      <c r="I937" s="116"/>
      <c r="J937" s="66"/>
      <c r="K937" s="470"/>
      <c r="L937" s="116"/>
      <c r="M937" s="116"/>
      <c r="N937" s="118" t="s">
        <v>4837</v>
      </c>
      <c r="O937" s="66"/>
      <c r="P937" s="468">
        <v>747500</v>
      </c>
    </row>
    <row r="938" spans="1:16" ht="12.75" customHeight="1">
      <c r="A938" s="714" t="s">
        <v>4882</v>
      </c>
      <c r="B938" s="116" t="s">
        <v>594</v>
      </c>
      <c r="C938" s="753" t="s">
        <v>594</v>
      </c>
      <c r="D938" s="66" t="s">
        <v>4817</v>
      </c>
      <c r="E938" s="116">
        <v>3</v>
      </c>
      <c r="F938" s="116">
        <v>11</v>
      </c>
      <c r="G938" s="116">
        <v>82.5</v>
      </c>
      <c r="H938" s="66" t="s">
        <v>4883</v>
      </c>
      <c r="I938" s="116">
        <v>11</v>
      </c>
      <c r="J938" s="66" t="s">
        <v>4884</v>
      </c>
      <c r="K938" s="470">
        <v>12725000</v>
      </c>
      <c r="L938" s="116">
        <v>1</v>
      </c>
      <c r="M938" s="66" t="s">
        <v>4345</v>
      </c>
      <c r="N938" s="118" t="s">
        <v>4657</v>
      </c>
      <c r="O938" s="66" t="s">
        <v>4885</v>
      </c>
      <c r="P938" s="468">
        <v>990000</v>
      </c>
    </row>
    <row r="939" spans="1:16">
      <c r="A939" s="714" t="s">
        <v>4882</v>
      </c>
      <c r="B939" s="116"/>
      <c r="C939" s="753"/>
      <c r="D939" s="66"/>
      <c r="E939" s="116"/>
      <c r="F939" s="116"/>
      <c r="G939" s="116"/>
      <c r="H939" s="66"/>
      <c r="I939" s="116"/>
      <c r="J939" s="66"/>
      <c r="K939" s="470"/>
      <c r="L939" s="116"/>
      <c r="M939" s="66"/>
      <c r="N939" s="118" t="s">
        <v>4659</v>
      </c>
      <c r="O939" s="66"/>
      <c r="P939" s="468">
        <v>59875.649999999994</v>
      </c>
    </row>
    <row r="940" spans="1:16">
      <c r="A940" s="714" t="s">
        <v>4882</v>
      </c>
      <c r="B940" s="116"/>
      <c r="C940" s="753"/>
      <c r="D940" s="66"/>
      <c r="E940" s="116"/>
      <c r="F940" s="116"/>
      <c r="G940" s="116"/>
      <c r="H940" s="66"/>
      <c r="I940" s="116"/>
      <c r="J940" s="66"/>
      <c r="K940" s="470"/>
      <c r="L940" s="116"/>
      <c r="M940" s="66"/>
      <c r="N940" s="118" t="s">
        <v>4660</v>
      </c>
      <c r="O940" s="66"/>
      <c r="P940" s="468">
        <v>100575</v>
      </c>
    </row>
    <row r="941" spans="1:16">
      <c r="A941" s="714" t="s">
        <v>4882</v>
      </c>
      <c r="B941" s="116"/>
      <c r="C941" s="753"/>
      <c r="D941" s="66"/>
      <c r="E941" s="116"/>
      <c r="F941" s="116"/>
      <c r="G941" s="116"/>
      <c r="H941" s="66"/>
      <c r="I941" s="116"/>
      <c r="J941" s="66"/>
      <c r="K941" s="470"/>
      <c r="L941" s="116"/>
      <c r="M941" s="66"/>
      <c r="N941" s="118" t="s">
        <v>4661</v>
      </c>
      <c r="O941" s="66"/>
      <c r="P941" s="468">
        <v>110970</v>
      </c>
    </row>
    <row r="942" spans="1:16">
      <c r="A942" s="714" t="s">
        <v>4882</v>
      </c>
      <c r="B942" s="116"/>
      <c r="C942" s="753"/>
      <c r="D942" s="66"/>
      <c r="E942" s="116"/>
      <c r="F942" s="116"/>
      <c r="G942" s="116"/>
      <c r="H942" s="66"/>
      <c r="I942" s="116"/>
      <c r="J942" s="66"/>
      <c r="K942" s="470"/>
      <c r="L942" s="116"/>
      <c r="M942" s="66"/>
      <c r="N942" s="118" t="s">
        <v>4662</v>
      </c>
      <c r="O942" s="66"/>
      <c r="P942" s="468">
        <v>38677.5</v>
      </c>
    </row>
    <row r="943" spans="1:16">
      <c r="A943" s="714" t="s">
        <v>4882</v>
      </c>
      <c r="B943" s="116"/>
      <c r="C943" s="753"/>
      <c r="D943" s="66"/>
      <c r="E943" s="116"/>
      <c r="F943" s="116"/>
      <c r="G943" s="116"/>
      <c r="H943" s="66"/>
      <c r="I943" s="116"/>
      <c r="J943" s="66"/>
      <c r="K943" s="470"/>
      <c r="L943" s="116"/>
      <c r="M943" s="66"/>
      <c r="N943" s="118" t="s">
        <v>4663</v>
      </c>
      <c r="O943" s="66"/>
      <c r="P943" s="468">
        <v>9554.6550000000007</v>
      </c>
    </row>
    <row r="944" spans="1:16">
      <c r="A944" s="714" t="s">
        <v>4882</v>
      </c>
      <c r="B944" s="116"/>
      <c r="C944" s="753"/>
      <c r="D944" s="66"/>
      <c r="E944" s="116"/>
      <c r="F944" s="116"/>
      <c r="G944" s="116"/>
      <c r="H944" s="66"/>
      <c r="I944" s="116"/>
      <c r="J944" s="66"/>
      <c r="K944" s="470"/>
      <c r="L944" s="116"/>
      <c r="M944" s="66"/>
      <c r="N944" s="118" t="s">
        <v>4664</v>
      </c>
      <c r="O944" s="66"/>
      <c r="P944" s="468">
        <v>8547</v>
      </c>
    </row>
    <row r="945" spans="1:16">
      <c r="A945" s="714" t="s">
        <v>4882</v>
      </c>
      <c r="B945" s="116"/>
      <c r="C945" s="753"/>
      <c r="D945" s="66"/>
      <c r="E945" s="116"/>
      <c r="F945" s="116"/>
      <c r="G945" s="116"/>
      <c r="H945" s="66"/>
      <c r="I945" s="116"/>
      <c r="J945" s="66"/>
      <c r="K945" s="470"/>
      <c r="L945" s="116"/>
      <c r="M945" s="66"/>
      <c r="N945" s="118" t="s">
        <v>4665</v>
      </c>
      <c r="O945" s="66"/>
      <c r="P945" s="468">
        <v>6516</v>
      </c>
    </row>
    <row r="946" spans="1:16">
      <c r="A946" s="714" t="s">
        <v>4882</v>
      </c>
      <c r="B946" s="116"/>
      <c r="C946" s="753"/>
      <c r="D946" s="66"/>
      <c r="E946" s="116"/>
      <c r="F946" s="116"/>
      <c r="G946" s="116"/>
      <c r="H946" s="66"/>
      <c r="I946" s="116"/>
      <c r="J946" s="66"/>
      <c r="K946" s="470"/>
      <c r="L946" s="116"/>
      <c r="M946" s="66"/>
      <c r="N946" s="118" t="s">
        <v>4666</v>
      </c>
      <c r="O946" s="66"/>
      <c r="P946" s="468">
        <v>9313.5</v>
      </c>
    </row>
    <row r="947" spans="1:16">
      <c r="A947" s="714" t="s">
        <v>4882</v>
      </c>
      <c r="B947" s="116"/>
      <c r="C947" s="753"/>
      <c r="D947" s="66"/>
      <c r="E947" s="116"/>
      <c r="F947" s="116"/>
      <c r="G947" s="116"/>
      <c r="H947" s="66"/>
      <c r="I947" s="116"/>
      <c r="J947" s="66"/>
      <c r="K947" s="470"/>
      <c r="L947" s="116"/>
      <c r="M947" s="66"/>
      <c r="N947" s="118" t="s">
        <v>4667</v>
      </c>
      <c r="O947" s="66"/>
      <c r="P947" s="468">
        <v>2135.5950000000003</v>
      </c>
    </row>
    <row r="948" spans="1:16">
      <c r="A948" s="714" t="s">
        <v>4882</v>
      </c>
      <c r="B948" s="116"/>
      <c r="C948" s="753"/>
      <c r="D948" s="66"/>
      <c r="E948" s="116"/>
      <c r="F948" s="116"/>
      <c r="G948" s="116"/>
      <c r="H948" s="66"/>
      <c r="I948" s="116"/>
      <c r="J948" s="66"/>
      <c r="K948" s="470"/>
      <c r="L948" s="116"/>
      <c r="M948" s="66"/>
      <c r="N948" s="118" t="s">
        <v>4668</v>
      </c>
      <c r="O948" s="66"/>
      <c r="P948" s="468">
        <v>10606.5</v>
      </c>
    </row>
    <row r="949" spans="1:16">
      <c r="A949" s="714" t="s">
        <v>4882</v>
      </c>
      <c r="B949" s="116"/>
      <c r="C949" s="753"/>
      <c r="D949" s="66"/>
      <c r="E949" s="116"/>
      <c r="F949" s="116"/>
      <c r="G949" s="116"/>
      <c r="H949" s="66"/>
      <c r="I949" s="116"/>
      <c r="J949" s="66"/>
      <c r="K949" s="470"/>
      <c r="L949" s="116"/>
      <c r="M949" s="66"/>
      <c r="N949" s="118" t="s">
        <v>4669</v>
      </c>
      <c r="O949" s="66"/>
      <c r="P949" s="468">
        <v>8787</v>
      </c>
    </row>
    <row r="950" spans="1:16" ht="27.6" customHeight="1">
      <c r="A950" s="782" t="s">
        <v>91</v>
      </c>
      <c r="B950" s="685"/>
      <c r="C950" s="685"/>
      <c r="D950" s="682" t="s">
        <v>3149</v>
      </c>
      <c r="E950" s="685">
        <f>SUM(E604:E949)</f>
        <v>762</v>
      </c>
      <c r="F950" s="756">
        <f>SUM(F604:F949)</f>
        <v>26465.2075</v>
      </c>
      <c r="G950" s="756"/>
      <c r="H950" s="686" t="s">
        <v>3149</v>
      </c>
      <c r="I950" s="685">
        <f>SUM(I604:I949)</f>
        <v>5442.41</v>
      </c>
      <c r="J950" s="682" t="s">
        <v>3149</v>
      </c>
      <c r="K950" s="705">
        <f>SUM(K604:K949)</f>
        <v>3705790114.6999998</v>
      </c>
      <c r="L950" s="770"/>
      <c r="M950" s="770"/>
      <c r="N950" s="770"/>
      <c r="O950" s="681" t="s">
        <v>3149</v>
      </c>
      <c r="P950" s="715">
        <f>SUM(P604:P949)</f>
        <v>533664040.95555532</v>
      </c>
    </row>
    <row r="951" spans="1:16" ht="14.45" customHeight="1" thickBot="1">
      <c r="A951" s="783" t="s">
        <v>91</v>
      </c>
      <c r="B951" s="784"/>
      <c r="C951" s="784"/>
      <c r="D951" s="784"/>
      <c r="E951" s="784"/>
      <c r="F951" s="784"/>
      <c r="G951" s="784"/>
      <c r="H951" s="784"/>
      <c r="I951" s="784"/>
      <c r="J951" s="784"/>
      <c r="K951" s="718" t="e">
        <f>K950+K602+#REF!+#REF!+#REF!+#REF!</f>
        <v>#REF!</v>
      </c>
      <c r="L951" s="785"/>
      <c r="M951" s="785"/>
      <c r="N951" s="785"/>
      <c r="O951" s="784" t="s">
        <v>3149</v>
      </c>
      <c r="P951" s="719" t="e">
        <f>P950+P602+#REF!+#REF!+#REF!+#REF!</f>
        <v>#REF!</v>
      </c>
    </row>
  </sheetData>
  <autoFilter ref="A6:P951" xr:uid="{00000000-0001-0000-0A00-000000000000}"/>
  <mergeCells count="7">
    <mergeCell ref="A5:C5"/>
    <mergeCell ref="D5:K5"/>
    <mergeCell ref="L5:P5"/>
    <mergeCell ref="A1:P1"/>
    <mergeCell ref="A2:P2"/>
    <mergeCell ref="A3:P3"/>
    <mergeCell ref="A4:P4"/>
  </mergeCells>
  <pageMargins left="0.7" right="0.7" top="0.75" bottom="0.75" header="0.3" footer="0.3"/>
  <pageSetup scale="41" fitToHeight="0" orientation="landscape" r:id="rId1"/>
  <ignoredErrors>
    <ignoredError sqref="K310 P342 P345" formula="1"/>
    <ignoredError sqref="K566" formulaRange="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P420"/>
  <sheetViews>
    <sheetView showGridLines="0" view="pageBreakPreview" topLeftCell="I6" zoomScale="106" zoomScaleNormal="80" zoomScaleSheetLayoutView="106" workbookViewId="0">
      <selection activeCell="P418" sqref="P7:P418"/>
    </sheetView>
  </sheetViews>
  <sheetFormatPr baseColWidth="10" defaultColWidth="11.42578125" defaultRowHeight="12.75"/>
  <cols>
    <col min="1" max="1" width="14.140625" style="218" customWidth="1"/>
    <col min="2" max="2" width="27.28515625" style="219" customWidth="1"/>
    <col min="3" max="3" width="46" style="219" customWidth="1"/>
    <col min="4" max="4" width="22.42578125" style="190" customWidth="1"/>
    <col min="5" max="5" width="13.85546875" style="190" customWidth="1"/>
    <col min="6" max="6" width="12.85546875" style="190" customWidth="1"/>
    <col min="7" max="7" width="24.5703125" style="190" customWidth="1"/>
    <col min="8" max="8" width="21.5703125" style="190" customWidth="1"/>
    <col min="9" max="9" width="11.28515625" style="190" customWidth="1"/>
    <col min="10" max="10" width="22.42578125" style="219" customWidth="1"/>
    <col min="11" max="11" width="25.28515625" style="469" customWidth="1"/>
    <col min="12" max="12" width="8.42578125" style="190" customWidth="1"/>
    <col min="13" max="13" width="11.42578125" style="190"/>
    <col min="14" max="14" width="26.5703125" style="219" customWidth="1"/>
    <col min="15" max="15" width="11.42578125" style="190"/>
    <col min="16" max="16" width="23.28515625" style="469" customWidth="1"/>
    <col min="17" max="16384" width="11.42578125" style="111"/>
  </cols>
  <sheetData>
    <row r="1" spans="1:16" ht="33" customHeight="1">
      <c r="A1" s="1185" t="s">
        <v>3737</v>
      </c>
      <c r="B1" s="1185"/>
      <c r="C1" s="1185"/>
      <c r="D1" s="1185"/>
      <c r="E1" s="1185"/>
      <c r="F1" s="1185"/>
      <c r="G1" s="1185"/>
      <c r="H1" s="1185"/>
      <c r="I1" s="1185"/>
      <c r="J1" s="1185"/>
      <c r="K1" s="1185"/>
      <c r="L1" s="1185"/>
      <c r="M1" s="1185"/>
      <c r="N1" s="1185"/>
      <c r="O1" s="1185"/>
      <c r="P1" s="1185"/>
    </row>
    <row r="2" spans="1:16" ht="33.75" customHeight="1">
      <c r="A2" s="1185" t="s">
        <v>4886</v>
      </c>
      <c r="B2" s="1185"/>
      <c r="C2" s="1185"/>
      <c r="D2" s="1185"/>
      <c r="E2" s="1185"/>
      <c r="F2" s="1185"/>
      <c r="G2" s="1185"/>
      <c r="H2" s="1185"/>
      <c r="I2" s="1185"/>
      <c r="J2" s="1185"/>
      <c r="K2" s="1185"/>
      <c r="L2" s="1185"/>
      <c r="M2" s="1185"/>
      <c r="N2" s="1185"/>
      <c r="O2" s="1185"/>
      <c r="P2" s="1185"/>
    </row>
    <row r="3" spans="1:16" ht="32.25" customHeight="1">
      <c r="A3" s="1185" t="s">
        <v>3739</v>
      </c>
      <c r="B3" s="1185"/>
      <c r="C3" s="1185"/>
      <c r="D3" s="1185"/>
      <c r="E3" s="1185"/>
      <c r="F3" s="1185"/>
      <c r="G3" s="1185"/>
      <c r="H3" s="1185"/>
      <c r="I3" s="1185"/>
      <c r="J3" s="1185"/>
      <c r="K3" s="1185"/>
      <c r="L3" s="1185"/>
      <c r="M3" s="1185"/>
      <c r="N3" s="1185"/>
      <c r="O3" s="1185"/>
      <c r="P3" s="1185"/>
    </row>
    <row r="4" spans="1:16" ht="33" customHeight="1" thickBot="1">
      <c r="A4" s="1198" t="s">
        <v>4887</v>
      </c>
      <c r="B4" s="1198"/>
      <c r="C4" s="1198"/>
      <c r="D4" s="1198"/>
      <c r="E4" s="1198"/>
      <c r="F4" s="1198"/>
      <c r="G4" s="1198"/>
      <c r="H4" s="1198"/>
      <c r="I4" s="1198"/>
      <c r="J4" s="1198"/>
      <c r="K4" s="1198"/>
      <c r="L4" s="1198"/>
      <c r="M4" s="1198"/>
      <c r="N4" s="1198"/>
      <c r="O4" s="1198"/>
      <c r="P4" s="1198"/>
    </row>
    <row r="5" spans="1:16" ht="23.25" customHeight="1">
      <c r="A5" s="1201" t="s">
        <v>4888</v>
      </c>
      <c r="B5" s="1202"/>
      <c r="C5" s="1202"/>
      <c r="D5" s="1199" t="s">
        <v>3741</v>
      </c>
      <c r="E5" s="1199"/>
      <c r="F5" s="1199"/>
      <c r="G5" s="1199"/>
      <c r="H5" s="1199"/>
      <c r="I5" s="1199"/>
      <c r="J5" s="1199"/>
      <c r="K5" s="1199"/>
      <c r="L5" s="1199" t="s">
        <v>3742</v>
      </c>
      <c r="M5" s="1199"/>
      <c r="N5" s="1199"/>
      <c r="O5" s="1199"/>
      <c r="P5" s="1200"/>
    </row>
    <row r="6" spans="1:16" ht="49.5" customHeight="1">
      <c r="A6" s="706" t="s">
        <v>3743</v>
      </c>
      <c r="B6" s="669" t="s">
        <v>3744</v>
      </c>
      <c r="C6" s="669" t="s">
        <v>3745</v>
      </c>
      <c r="D6" s="670" t="s">
        <v>85</v>
      </c>
      <c r="E6" s="670" t="s">
        <v>86</v>
      </c>
      <c r="F6" s="670" t="s">
        <v>87</v>
      </c>
      <c r="G6" s="670" t="s">
        <v>4889</v>
      </c>
      <c r="H6" s="670" t="s">
        <v>3749</v>
      </c>
      <c r="I6" s="670" t="s">
        <v>3750</v>
      </c>
      <c r="J6" s="670" t="s">
        <v>88</v>
      </c>
      <c r="K6" s="671" t="s">
        <v>11</v>
      </c>
      <c r="L6" s="672" t="s">
        <v>12</v>
      </c>
      <c r="M6" s="670" t="s">
        <v>79</v>
      </c>
      <c r="N6" s="670" t="s">
        <v>89</v>
      </c>
      <c r="O6" s="670" t="s">
        <v>80</v>
      </c>
      <c r="P6" s="707" t="s">
        <v>56</v>
      </c>
    </row>
    <row r="7" spans="1:16" ht="59.1" customHeight="1">
      <c r="A7" s="120" t="s">
        <v>3751</v>
      </c>
      <c r="B7" s="199" t="s">
        <v>4890</v>
      </c>
      <c r="C7" s="720" t="s">
        <v>4891</v>
      </c>
      <c r="D7" s="721" t="s">
        <v>4892</v>
      </c>
      <c r="E7" s="721">
        <v>56</v>
      </c>
      <c r="F7" s="114"/>
      <c r="G7" s="114"/>
      <c r="H7" s="114"/>
      <c r="I7" s="721">
        <v>651.1</v>
      </c>
      <c r="J7" s="199"/>
      <c r="K7" s="722">
        <v>64075000</v>
      </c>
      <c r="L7" s="114"/>
      <c r="M7" s="114"/>
      <c r="N7" s="199" t="s">
        <v>4893</v>
      </c>
      <c r="O7" s="114" t="s">
        <v>3758</v>
      </c>
      <c r="P7" s="471">
        <v>347405998</v>
      </c>
    </row>
    <row r="8" spans="1:16" ht="134.44999999999999" customHeight="1">
      <c r="A8" s="121" t="s">
        <v>3770</v>
      </c>
      <c r="B8" s="200" t="s">
        <v>4894</v>
      </c>
      <c r="C8" s="674" t="s">
        <v>4895</v>
      </c>
      <c r="D8" s="66" t="s">
        <v>4892</v>
      </c>
      <c r="E8" s="66">
        <v>86</v>
      </c>
      <c r="F8" s="66"/>
      <c r="G8" s="66"/>
      <c r="H8" s="66"/>
      <c r="I8" s="66">
        <v>974.55</v>
      </c>
      <c r="J8" s="200"/>
      <c r="K8" s="675">
        <v>203331000</v>
      </c>
      <c r="L8" s="66"/>
      <c r="M8" s="66"/>
      <c r="N8" s="200"/>
      <c r="O8" s="66"/>
      <c r="P8" s="482"/>
    </row>
    <row r="9" spans="1:16" ht="42.95" customHeight="1">
      <c r="A9" s="121" t="s">
        <v>38</v>
      </c>
      <c r="B9" s="200" t="s">
        <v>4896</v>
      </c>
      <c r="C9" s="674" t="s">
        <v>4897</v>
      </c>
      <c r="D9" s="66" t="s">
        <v>4892</v>
      </c>
      <c r="E9" s="127">
        <v>139</v>
      </c>
      <c r="F9" s="66"/>
      <c r="G9" s="66"/>
      <c r="H9" s="66"/>
      <c r="I9" s="130">
        <v>1190.3</v>
      </c>
      <c r="J9" s="200"/>
      <c r="K9" s="675">
        <v>176530000</v>
      </c>
      <c r="L9" s="66"/>
      <c r="M9" s="66"/>
      <c r="N9" s="200"/>
      <c r="O9" s="66"/>
      <c r="P9" s="482"/>
    </row>
    <row r="10" spans="1:16" ht="33.6" customHeight="1">
      <c r="A10" s="121" t="s">
        <v>83</v>
      </c>
      <c r="B10" s="200" t="s">
        <v>3882</v>
      </c>
      <c r="C10" s="674" t="s">
        <v>4898</v>
      </c>
      <c r="D10" s="66" t="s">
        <v>4892</v>
      </c>
      <c r="E10" s="127">
        <v>11</v>
      </c>
      <c r="F10" s="66"/>
      <c r="G10" s="66"/>
      <c r="H10" s="66"/>
      <c r="I10" s="130">
        <v>464</v>
      </c>
      <c r="J10" s="200"/>
      <c r="K10" s="675">
        <v>8700000</v>
      </c>
      <c r="L10" s="66"/>
      <c r="M10" s="66"/>
      <c r="N10" s="200"/>
      <c r="O10" s="66"/>
      <c r="P10" s="482"/>
    </row>
    <row r="11" spans="1:16" ht="19.899999999999999" customHeight="1">
      <c r="A11" s="121" t="s">
        <v>59</v>
      </c>
      <c r="B11" s="200" t="s">
        <v>4899</v>
      </c>
      <c r="C11" s="674" t="s">
        <v>4900</v>
      </c>
      <c r="D11" s="66" t="s">
        <v>4892</v>
      </c>
      <c r="E11" s="66">
        <v>2</v>
      </c>
      <c r="F11" s="66"/>
      <c r="G11" s="66"/>
      <c r="H11" s="66"/>
      <c r="I11" s="130">
        <v>75</v>
      </c>
      <c r="J11" s="200"/>
      <c r="K11" s="675">
        <v>775000</v>
      </c>
      <c r="L11" s="66"/>
      <c r="M11" s="66"/>
      <c r="N11" s="200"/>
      <c r="O11" s="66"/>
      <c r="P11" s="482"/>
    </row>
    <row r="12" spans="1:16" ht="19.899999999999999" customHeight="1">
      <c r="A12" s="121" t="s">
        <v>3782</v>
      </c>
      <c r="B12" s="200" t="s">
        <v>3830</v>
      </c>
      <c r="C12" s="674" t="s">
        <v>3831</v>
      </c>
      <c r="D12" s="66" t="s">
        <v>4892</v>
      </c>
      <c r="E12" s="66">
        <v>1</v>
      </c>
      <c r="F12" s="66"/>
      <c r="G12" s="66"/>
      <c r="H12" s="66"/>
      <c r="I12" s="130">
        <v>3</v>
      </c>
      <c r="J12" s="200"/>
      <c r="K12" s="675">
        <v>500000</v>
      </c>
      <c r="L12" s="66"/>
      <c r="M12" s="66"/>
      <c r="N12" s="200"/>
      <c r="O12" s="66"/>
      <c r="P12" s="482"/>
    </row>
    <row r="13" spans="1:16" ht="47.45" customHeight="1">
      <c r="A13" s="153" t="s">
        <v>3751</v>
      </c>
      <c r="B13" s="674" t="s">
        <v>4901</v>
      </c>
      <c r="C13" s="676" t="s">
        <v>4902</v>
      </c>
      <c r="D13" s="66" t="s">
        <v>4903</v>
      </c>
      <c r="E13" s="66">
        <v>33</v>
      </c>
      <c r="F13" s="677">
        <v>400</v>
      </c>
      <c r="G13" s="66"/>
      <c r="H13" s="66"/>
      <c r="I13" s="66"/>
      <c r="J13" s="200"/>
      <c r="K13" s="675">
        <v>166425000</v>
      </c>
      <c r="L13" s="66"/>
      <c r="M13" s="66"/>
      <c r="N13" s="200"/>
      <c r="O13" s="66"/>
      <c r="P13" s="482"/>
    </row>
    <row r="14" spans="1:16" ht="33" customHeight="1">
      <c r="A14" s="121" t="s">
        <v>3770</v>
      </c>
      <c r="B14" s="674" t="s">
        <v>4904</v>
      </c>
      <c r="C14" s="676" t="s">
        <v>4905</v>
      </c>
      <c r="D14" s="75" t="s">
        <v>4903</v>
      </c>
      <c r="E14" s="75">
        <v>33</v>
      </c>
      <c r="F14" s="678">
        <v>130</v>
      </c>
      <c r="G14" s="66"/>
      <c r="H14" s="66"/>
      <c r="I14" s="66"/>
      <c r="J14" s="200"/>
      <c r="K14" s="673">
        <v>56090000</v>
      </c>
      <c r="L14" s="66"/>
      <c r="M14" s="66"/>
      <c r="N14" s="200"/>
      <c r="O14" s="66"/>
      <c r="P14" s="482"/>
    </row>
    <row r="15" spans="1:16" ht="39.6" customHeight="1">
      <c r="A15" s="153" t="s">
        <v>38</v>
      </c>
      <c r="B15" s="674" t="s">
        <v>4906</v>
      </c>
      <c r="C15" s="674" t="s">
        <v>4907</v>
      </c>
      <c r="D15" s="75" t="s">
        <v>4903</v>
      </c>
      <c r="E15" s="75">
        <v>66</v>
      </c>
      <c r="F15" s="678">
        <v>531</v>
      </c>
      <c r="G15" s="66"/>
      <c r="H15" s="66"/>
      <c r="I15" s="66"/>
      <c r="J15" s="200"/>
      <c r="K15" s="673">
        <v>172105000</v>
      </c>
      <c r="L15" s="66"/>
      <c r="M15" s="66"/>
      <c r="N15" s="200"/>
      <c r="O15" s="66"/>
      <c r="P15" s="482"/>
    </row>
    <row r="16" spans="1:16" ht="32.1" customHeight="1">
      <c r="A16" s="121" t="s">
        <v>3751</v>
      </c>
      <c r="B16" s="200" t="s">
        <v>4908</v>
      </c>
      <c r="C16" s="674" t="s">
        <v>4909</v>
      </c>
      <c r="D16" s="66" t="s">
        <v>4910</v>
      </c>
      <c r="E16" s="66">
        <v>24</v>
      </c>
      <c r="F16" s="174">
        <v>18648</v>
      </c>
      <c r="G16" s="66"/>
      <c r="H16" s="66"/>
      <c r="I16" s="66"/>
      <c r="J16" s="200"/>
      <c r="K16" s="675">
        <v>156414500</v>
      </c>
      <c r="L16" s="66"/>
      <c r="M16" s="66"/>
      <c r="N16" s="200" t="s">
        <v>4911</v>
      </c>
      <c r="O16" s="66" t="s">
        <v>4912</v>
      </c>
      <c r="P16" s="482">
        <v>61877450</v>
      </c>
    </row>
    <row r="17" spans="1:16" ht="28.5" customHeight="1">
      <c r="A17" s="121" t="s">
        <v>38</v>
      </c>
      <c r="B17" s="200" t="s">
        <v>4913</v>
      </c>
      <c r="C17" s="674" t="s">
        <v>4914</v>
      </c>
      <c r="D17" s="66" t="s">
        <v>4910</v>
      </c>
      <c r="E17" s="66">
        <v>130</v>
      </c>
      <c r="F17" s="174">
        <v>6932</v>
      </c>
      <c r="G17" s="66"/>
      <c r="H17" s="66"/>
      <c r="I17" s="66"/>
      <c r="J17" s="200"/>
      <c r="K17" s="675">
        <v>42033500</v>
      </c>
      <c r="L17" s="66"/>
      <c r="M17" s="66"/>
      <c r="N17" s="200"/>
      <c r="O17" s="66"/>
      <c r="P17" s="482"/>
    </row>
    <row r="18" spans="1:16" ht="27.75" customHeight="1">
      <c r="A18" s="153" t="s">
        <v>3770</v>
      </c>
      <c r="B18" s="674" t="s">
        <v>4915</v>
      </c>
      <c r="C18" s="674" t="s">
        <v>4916</v>
      </c>
      <c r="D18" s="66" t="s">
        <v>4910</v>
      </c>
      <c r="E18" s="66">
        <v>5</v>
      </c>
      <c r="F18" s="174">
        <v>2655</v>
      </c>
      <c r="G18" s="66"/>
      <c r="H18" s="66"/>
      <c r="I18" s="66"/>
      <c r="J18" s="200"/>
      <c r="K18" s="675">
        <v>18185000</v>
      </c>
      <c r="L18" s="66"/>
      <c r="M18" s="66"/>
      <c r="N18" s="200"/>
      <c r="O18" s="66"/>
      <c r="P18" s="482"/>
    </row>
    <row r="19" spans="1:16" ht="19.899999999999999" customHeight="1">
      <c r="A19" s="121" t="s">
        <v>59</v>
      </c>
      <c r="B19" s="200" t="s">
        <v>3761</v>
      </c>
      <c r="C19" s="674" t="s">
        <v>3849</v>
      </c>
      <c r="D19" s="66" t="s">
        <v>4910</v>
      </c>
      <c r="E19" s="66">
        <v>1</v>
      </c>
      <c r="F19" s="174">
        <v>15</v>
      </c>
      <c r="G19" s="66"/>
      <c r="H19" s="66"/>
      <c r="I19" s="66"/>
      <c r="J19" s="200"/>
      <c r="K19" s="675">
        <v>90000</v>
      </c>
      <c r="L19" s="66"/>
      <c r="M19" s="66"/>
      <c r="N19" s="200"/>
      <c r="O19" s="66"/>
      <c r="P19" s="482"/>
    </row>
    <row r="20" spans="1:16" ht="28.5" customHeight="1">
      <c r="A20" s="121" t="s">
        <v>3770</v>
      </c>
      <c r="B20" s="200" t="s">
        <v>4917</v>
      </c>
      <c r="C20" s="674" t="s">
        <v>4918</v>
      </c>
      <c r="D20" s="66" t="s">
        <v>4919</v>
      </c>
      <c r="E20" s="66">
        <v>12</v>
      </c>
      <c r="F20" s="677">
        <v>293407</v>
      </c>
      <c r="G20" s="66"/>
      <c r="H20" s="66"/>
      <c r="I20" s="66"/>
      <c r="J20" s="200"/>
      <c r="K20" s="675">
        <v>352182000</v>
      </c>
      <c r="L20" s="66"/>
      <c r="M20" s="66"/>
      <c r="N20" s="200" t="s">
        <v>4920</v>
      </c>
      <c r="O20" s="66" t="s">
        <v>4921</v>
      </c>
      <c r="P20" s="482">
        <v>9000000</v>
      </c>
    </row>
    <row r="21" spans="1:16" ht="30.6" customHeight="1">
      <c r="A21" s="121" t="s">
        <v>3751</v>
      </c>
      <c r="B21" s="200" t="s">
        <v>4922</v>
      </c>
      <c r="C21" s="674" t="s">
        <v>4923</v>
      </c>
      <c r="D21" s="75" t="s">
        <v>4919</v>
      </c>
      <c r="E21" s="75">
        <v>29</v>
      </c>
      <c r="F21" s="678">
        <v>122422</v>
      </c>
      <c r="G21" s="66"/>
      <c r="H21" s="66"/>
      <c r="I21" s="66"/>
      <c r="J21" s="200"/>
      <c r="K21" s="673">
        <v>100700500</v>
      </c>
      <c r="L21" s="66"/>
      <c r="M21" s="66"/>
      <c r="N21" s="200"/>
      <c r="O21" s="66"/>
      <c r="P21" s="482"/>
    </row>
    <row r="22" spans="1:16" ht="45.95" customHeight="1">
      <c r="A22" s="121" t="s">
        <v>3770</v>
      </c>
      <c r="B22" s="200" t="s">
        <v>4924</v>
      </c>
      <c r="C22" s="674" t="s">
        <v>4925</v>
      </c>
      <c r="D22" s="66" t="s">
        <v>4926</v>
      </c>
      <c r="E22" s="66">
        <v>22</v>
      </c>
      <c r="F22" s="677"/>
      <c r="G22" s="66"/>
      <c r="H22" s="66"/>
      <c r="I22" s="66"/>
      <c r="J22" s="200"/>
      <c r="K22" s="675">
        <v>33880000</v>
      </c>
      <c r="L22" s="66"/>
      <c r="M22" s="66"/>
      <c r="N22" s="200" t="s">
        <v>4927</v>
      </c>
      <c r="O22" s="66" t="s">
        <v>4928</v>
      </c>
      <c r="P22" s="482">
        <v>9597000</v>
      </c>
    </row>
    <row r="23" spans="1:16" ht="18" customHeight="1">
      <c r="A23" s="153" t="s">
        <v>3770</v>
      </c>
      <c r="B23" s="674" t="s">
        <v>3825</v>
      </c>
      <c r="C23" s="674" t="s">
        <v>4929</v>
      </c>
      <c r="D23" s="75" t="s">
        <v>4930</v>
      </c>
      <c r="E23" s="75">
        <v>2</v>
      </c>
      <c r="F23" s="678">
        <v>300</v>
      </c>
      <c r="G23" s="66"/>
      <c r="H23" s="66"/>
      <c r="I23" s="66"/>
      <c r="J23" s="200"/>
      <c r="K23" s="675">
        <v>23920000</v>
      </c>
      <c r="L23" s="66"/>
      <c r="M23" s="66"/>
      <c r="N23" s="200" t="s">
        <v>4931</v>
      </c>
      <c r="O23" s="66" t="s">
        <v>4932</v>
      </c>
      <c r="P23" s="482">
        <v>12370100</v>
      </c>
    </row>
    <row r="24" spans="1:16" ht="33.950000000000003" customHeight="1">
      <c r="A24" s="121" t="s">
        <v>3751</v>
      </c>
      <c r="B24" s="200" t="s">
        <v>4908</v>
      </c>
      <c r="C24" s="676" t="s">
        <v>4933</v>
      </c>
      <c r="D24" s="66" t="s">
        <v>4930</v>
      </c>
      <c r="E24" s="66">
        <v>18</v>
      </c>
      <c r="F24" s="677">
        <v>100</v>
      </c>
      <c r="G24" s="66"/>
      <c r="H24" s="66"/>
      <c r="I24" s="66"/>
      <c r="J24" s="200"/>
      <c r="K24" s="675">
        <v>5040000</v>
      </c>
      <c r="L24" s="66"/>
      <c r="M24" s="66"/>
      <c r="N24" s="200"/>
      <c r="O24" s="66"/>
      <c r="P24" s="482"/>
    </row>
    <row r="25" spans="1:16" ht="21.95" customHeight="1">
      <c r="A25" s="153" t="s">
        <v>38</v>
      </c>
      <c r="B25" s="674" t="s">
        <v>3773</v>
      </c>
      <c r="C25" s="676" t="s">
        <v>4934</v>
      </c>
      <c r="D25" s="75" t="s">
        <v>4930</v>
      </c>
      <c r="E25" s="75">
        <v>90</v>
      </c>
      <c r="F25" s="678">
        <v>504</v>
      </c>
      <c r="G25" s="66"/>
      <c r="H25" s="66"/>
      <c r="I25" s="66"/>
      <c r="J25" s="200"/>
      <c r="K25" s="673">
        <v>39612500</v>
      </c>
      <c r="L25" s="66"/>
      <c r="M25" s="66"/>
      <c r="N25" s="200"/>
      <c r="O25" s="66"/>
      <c r="P25" s="482"/>
    </row>
    <row r="26" spans="1:16" ht="19.899999999999999" customHeight="1">
      <c r="A26" s="121" t="s">
        <v>3751</v>
      </c>
      <c r="B26" s="200" t="s">
        <v>4935</v>
      </c>
      <c r="C26" s="676" t="s">
        <v>4936</v>
      </c>
      <c r="D26" s="66" t="s">
        <v>4937</v>
      </c>
      <c r="E26" s="66">
        <v>2</v>
      </c>
      <c r="F26" s="677">
        <v>4</v>
      </c>
      <c r="G26" s="66"/>
      <c r="H26" s="66"/>
      <c r="I26" s="66"/>
      <c r="J26" s="200"/>
      <c r="K26" s="675">
        <v>1200000</v>
      </c>
      <c r="L26" s="66"/>
      <c r="M26" s="66"/>
      <c r="N26" s="200" t="s">
        <v>4938</v>
      </c>
      <c r="O26" s="66"/>
      <c r="P26" s="482"/>
    </row>
    <row r="27" spans="1:16" ht="19.899999999999999" customHeight="1">
      <c r="A27" s="153" t="s">
        <v>38</v>
      </c>
      <c r="B27" s="674" t="s">
        <v>3878</v>
      </c>
      <c r="C27" s="676" t="s">
        <v>4939</v>
      </c>
      <c r="D27" s="75" t="s">
        <v>4937</v>
      </c>
      <c r="E27" s="75">
        <v>8</v>
      </c>
      <c r="F27" s="678">
        <v>16</v>
      </c>
      <c r="G27" s="66"/>
      <c r="H27" s="66"/>
      <c r="I27" s="66"/>
      <c r="J27" s="200"/>
      <c r="K27" s="673">
        <v>4250000</v>
      </c>
      <c r="L27" s="66"/>
      <c r="M27" s="66"/>
      <c r="N27" s="200"/>
      <c r="O27" s="66"/>
      <c r="P27" s="482"/>
    </row>
    <row r="28" spans="1:16" ht="19.899999999999999" customHeight="1">
      <c r="A28" s="153" t="s">
        <v>3770</v>
      </c>
      <c r="B28" s="674" t="s">
        <v>4940</v>
      </c>
      <c r="C28" s="676" t="s">
        <v>4941</v>
      </c>
      <c r="D28" s="75" t="s">
        <v>4937</v>
      </c>
      <c r="E28" s="75">
        <v>2</v>
      </c>
      <c r="F28" s="678">
        <v>4</v>
      </c>
      <c r="G28" s="66"/>
      <c r="H28" s="66"/>
      <c r="I28" s="66"/>
      <c r="J28" s="200"/>
      <c r="K28" s="673">
        <v>11200000</v>
      </c>
      <c r="L28" s="66"/>
      <c r="M28" s="66"/>
      <c r="N28" s="200"/>
      <c r="O28" s="66"/>
      <c r="P28" s="482"/>
    </row>
    <row r="29" spans="1:16" ht="19.899999999999999" customHeight="1">
      <c r="A29" s="121" t="s">
        <v>3770</v>
      </c>
      <c r="B29" s="200" t="s">
        <v>4942</v>
      </c>
      <c r="C29" s="674" t="s">
        <v>4160</v>
      </c>
      <c r="D29" s="66" t="s">
        <v>4943</v>
      </c>
      <c r="E29" s="66">
        <v>1</v>
      </c>
      <c r="F29" s="677">
        <v>7</v>
      </c>
      <c r="G29" s="66"/>
      <c r="H29" s="66"/>
      <c r="I29" s="66"/>
      <c r="J29" s="200"/>
      <c r="K29" s="675">
        <v>3000000</v>
      </c>
      <c r="L29" s="66"/>
      <c r="M29" s="66"/>
      <c r="N29" s="200"/>
      <c r="O29" s="66"/>
      <c r="P29" s="482"/>
    </row>
    <row r="30" spans="1:16" ht="19.899999999999999" customHeight="1">
      <c r="A30" s="153" t="s">
        <v>38</v>
      </c>
      <c r="B30" s="674" t="s">
        <v>3878</v>
      </c>
      <c r="C30" s="674" t="s">
        <v>4944</v>
      </c>
      <c r="D30" s="75" t="s">
        <v>4943</v>
      </c>
      <c r="E30" s="75">
        <v>5</v>
      </c>
      <c r="F30" s="678">
        <v>23</v>
      </c>
      <c r="G30" s="66"/>
      <c r="H30" s="66"/>
      <c r="I30" s="66"/>
      <c r="J30" s="200"/>
      <c r="K30" s="673">
        <v>2293000</v>
      </c>
      <c r="L30" s="66"/>
      <c r="M30" s="66"/>
      <c r="N30" s="200"/>
      <c r="O30" s="66"/>
      <c r="P30" s="482"/>
    </row>
    <row r="31" spans="1:16" ht="19.899999999999999" customHeight="1">
      <c r="A31" s="121" t="s">
        <v>38</v>
      </c>
      <c r="B31" s="200" t="s">
        <v>3773</v>
      </c>
      <c r="C31" s="674" t="s">
        <v>3921</v>
      </c>
      <c r="D31" s="66" t="s">
        <v>4945</v>
      </c>
      <c r="E31" s="66">
        <v>4</v>
      </c>
      <c r="F31" s="677">
        <v>7</v>
      </c>
      <c r="G31" s="66"/>
      <c r="H31" s="66"/>
      <c r="I31" s="66"/>
      <c r="J31" s="200"/>
      <c r="K31" s="675">
        <v>90000</v>
      </c>
      <c r="L31" s="66"/>
      <c r="M31" s="66"/>
      <c r="N31" s="200"/>
      <c r="O31" s="66"/>
      <c r="P31" s="482"/>
    </row>
    <row r="32" spans="1:16" ht="19.899999999999999" customHeight="1">
      <c r="A32" s="153" t="s">
        <v>38</v>
      </c>
      <c r="B32" s="674" t="s">
        <v>3773</v>
      </c>
      <c r="C32" s="674" t="s">
        <v>3921</v>
      </c>
      <c r="D32" s="75" t="s">
        <v>4946</v>
      </c>
      <c r="E32" s="75">
        <v>11</v>
      </c>
      <c r="F32" s="678">
        <v>129</v>
      </c>
      <c r="G32" s="66"/>
      <c r="H32" s="66"/>
      <c r="I32" s="66"/>
      <c r="J32" s="200"/>
      <c r="K32" s="673">
        <v>7945000</v>
      </c>
      <c r="L32" s="66"/>
      <c r="M32" s="66"/>
      <c r="N32" s="200"/>
      <c r="O32" s="66"/>
      <c r="P32" s="482"/>
    </row>
    <row r="33" spans="1:16" ht="19.899999999999999" customHeight="1">
      <c r="A33" s="153" t="s">
        <v>3770</v>
      </c>
      <c r="B33" s="674" t="s">
        <v>3825</v>
      </c>
      <c r="C33" s="674" t="s">
        <v>4947</v>
      </c>
      <c r="D33" s="75" t="s">
        <v>4946</v>
      </c>
      <c r="E33" s="75">
        <v>1</v>
      </c>
      <c r="F33" s="678">
        <v>2</v>
      </c>
      <c r="G33" s="66"/>
      <c r="H33" s="66"/>
      <c r="I33" s="66"/>
      <c r="J33" s="200"/>
      <c r="K33" s="673">
        <v>220000</v>
      </c>
      <c r="L33" s="66"/>
      <c r="M33" s="66"/>
      <c r="N33" s="200"/>
      <c r="O33" s="66"/>
      <c r="P33" s="482"/>
    </row>
    <row r="34" spans="1:16" ht="19.899999999999999" customHeight="1">
      <c r="A34" s="121" t="s">
        <v>38</v>
      </c>
      <c r="B34" s="200" t="s">
        <v>3773</v>
      </c>
      <c r="C34" s="674" t="s">
        <v>4948</v>
      </c>
      <c r="D34" s="75" t="s">
        <v>4949</v>
      </c>
      <c r="E34" s="75">
        <v>1</v>
      </c>
      <c r="F34" s="678">
        <v>22</v>
      </c>
      <c r="G34" s="66"/>
      <c r="H34" s="66"/>
      <c r="I34" s="66"/>
      <c r="J34" s="200"/>
      <c r="K34" s="679">
        <v>55000</v>
      </c>
      <c r="L34" s="66"/>
      <c r="M34" s="66"/>
      <c r="N34" s="200"/>
      <c r="O34" s="66"/>
      <c r="P34" s="482"/>
    </row>
    <row r="35" spans="1:16" ht="19.899999999999999" customHeight="1">
      <c r="A35" s="121" t="s">
        <v>38</v>
      </c>
      <c r="B35" s="200" t="s">
        <v>4950</v>
      </c>
      <c r="C35" s="674" t="s">
        <v>4951</v>
      </c>
      <c r="D35" s="75" t="s">
        <v>4952</v>
      </c>
      <c r="E35" s="75">
        <v>1</v>
      </c>
      <c r="F35" s="678"/>
      <c r="G35" s="66"/>
      <c r="H35" s="66"/>
      <c r="I35" s="66"/>
      <c r="J35" s="200"/>
      <c r="K35" s="679">
        <v>1200000</v>
      </c>
      <c r="L35" s="66"/>
      <c r="M35" s="66"/>
      <c r="N35" s="200"/>
      <c r="O35" s="66"/>
      <c r="P35" s="482"/>
    </row>
    <row r="36" spans="1:16" ht="30" customHeight="1">
      <c r="A36" s="121" t="s">
        <v>3751</v>
      </c>
      <c r="B36" s="200" t="s">
        <v>3865</v>
      </c>
      <c r="C36" s="200" t="s">
        <v>4953</v>
      </c>
      <c r="D36" s="75"/>
      <c r="E36" s="75">
        <v>6</v>
      </c>
      <c r="F36" s="680"/>
      <c r="G36" s="230" t="s">
        <v>4954</v>
      </c>
      <c r="H36" s="66"/>
      <c r="I36" s="66"/>
      <c r="J36" s="200"/>
      <c r="K36" s="679">
        <v>63600000</v>
      </c>
      <c r="L36" s="66"/>
      <c r="M36" s="66"/>
      <c r="N36" s="200"/>
      <c r="O36" s="66"/>
      <c r="P36" s="482"/>
    </row>
    <row r="37" spans="1:16" ht="35.1" customHeight="1">
      <c r="A37" s="121" t="s">
        <v>3770</v>
      </c>
      <c r="B37" s="200" t="s">
        <v>4955</v>
      </c>
      <c r="C37" s="674" t="s">
        <v>4956</v>
      </c>
      <c r="D37" s="75"/>
      <c r="E37" s="75">
        <v>14</v>
      </c>
      <c r="F37" s="678"/>
      <c r="G37" s="230" t="s">
        <v>4957</v>
      </c>
      <c r="H37" s="66"/>
      <c r="I37" s="66"/>
      <c r="J37" s="200"/>
      <c r="K37" s="679">
        <v>61215000</v>
      </c>
      <c r="L37" s="66"/>
      <c r="M37" s="66"/>
      <c r="N37" s="200"/>
      <c r="O37" s="66"/>
      <c r="P37" s="482"/>
    </row>
    <row r="38" spans="1:16" ht="24.6" customHeight="1">
      <c r="A38" s="121" t="s">
        <v>38</v>
      </c>
      <c r="B38" s="200" t="s">
        <v>3773</v>
      </c>
      <c r="C38" s="674" t="s">
        <v>4958</v>
      </c>
      <c r="D38" s="75"/>
      <c r="E38" s="75">
        <v>13</v>
      </c>
      <c r="F38" s="678"/>
      <c r="G38" s="230" t="s">
        <v>4957</v>
      </c>
      <c r="H38" s="66"/>
      <c r="I38" s="66"/>
      <c r="J38" s="200"/>
      <c r="K38" s="679">
        <v>50049000</v>
      </c>
      <c r="L38" s="66"/>
      <c r="M38" s="66"/>
      <c r="N38" s="200"/>
      <c r="O38" s="66"/>
      <c r="P38" s="482"/>
    </row>
    <row r="39" spans="1:16" ht="26.45" customHeight="1">
      <c r="A39" s="121" t="s">
        <v>3770</v>
      </c>
      <c r="B39" s="200" t="s">
        <v>4959</v>
      </c>
      <c r="C39" s="674" t="s">
        <v>4960</v>
      </c>
      <c r="D39" s="75"/>
      <c r="E39" s="75">
        <v>8</v>
      </c>
      <c r="F39" s="678"/>
      <c r="G39" s="230"/>
      <c r="H39" s="230" t="s">
        <v>4961</v>
      </c>
      <c r="I39" s="66"/>
      <c r="J39" s="200"/>
      <c r="K39" s="679">
        <v>3302000</v>
      </c>
      <c r="L39" s="66"/>
      <c r="M39" s="66"/>
      <c r="N39" s="200"/>
      <c r="O39" s="66"/>
      <c r="P39" s="482"/>
    </row>
    <row r="40" spans="1:16" ht="32.1" customHeight="1">
      <c r="A40" s="121" t="s">
        <v>38</v>
      </c>
      <c r="B40" s="200" t="s">
        <v>4962</v>
      </c>
      <c r="C40" s="674" t="s">
        <v>4963</v>
      </c>
      <c r="D40" s="75"/>
      <c r="E40" s="230">
        <v>30</v>
      </c>
      <c r="F40" s="230"/>
      <c r="G40" s="230"/>
      <c r="H40" s="230" t="s">
        <v>4961</v>
      </c>
      <c r="I40" s="66"/>
      <c r="J40" s="200"/>
      <c r="K40" s="485">
        <v>9784900</v>
      </c>
      <c r="L40" s="66"/>
      <c r="M40" s="66"/>
      <c r="N40" s="200"/>
      <c r="O40" s="66"/>
      <c r="P40" s="482"/>
    </row>
    <row r="41" spans="1:16" ht="22.5">
      <c r="A41" s="192" t="s">
        <v>108</v>
      </c>
      <c r="B41" s="193" t="s">
        <v>3946</v>
      </c>
      <c r="C41" s="193" t="s">
        <v>3946</v>
      </c>
      <c r="D41" s="66" t="s">
        <v>4964</v>
      </c>
      <c r="E41" s="66">
        <v>3</v>
      </c>
      <c r="F41" s="66"/>
      <c r="G41" s="66" t="s">
        <v>4801</v>
      </c>
      <c r="H41" s="66" t="s">
        <v>4965</v>
      </c>
      <c r="I41" s="66">
        <v>6200</v>
      </c>
      <c r="J41" s="193" t="s">
        <v>4966</v>
      </c>
      <c r="K41" s="679">
        <v>2000000</v>
      </c>
      <c r="L41" s="66">
        <v>1</v>
      </c>
      <c r="M41" s="66"/>
      <c r="N41" s="193" t="s">
        <v>4967</v>
      </c>
      <c r="O41" s="66" t="s">
        <v>4055</v>
      </c>
      <c r="P41" s="709">
        <v>1000000</v>
      </c>
    </row>
    <row r="42" spans="1:16" ht="22.5">
      <c r="A42" s="192" t="s">
        <v>108</v>
      </c>
      <c r="B42" s="193" t="s">
        <v>3946</v>
      </c>
      <c r="C42" s="193" t="s">
        <v>3946</v>
      </c>
      <c r="D42" s="66" t="s">
        <v>4968</v>
      </c>
      <c r="E42" s="66">
        <v>2</v>
      </c>
      <c r="F42" s="66"/>
      <c r="G42" s="66" t="s">
        <v>4801</v>
      </c>
      <c r="H42" s="66" t="s">
        <v>4965</v>
      </c>
      <c r="I42" s="66">
        <v>100</v>
      </c>
      <c r="J42" s="193" t="s">
        <v>4969</v>
      </c>
      <c r="K42" s="679">
        <v>275000</v>
      </c>
      <c r="L42" s="66">
        <v>1</v>
      </c>
      <c r="M42" s="66"/>
      <c r="N42" s="193" t="s">
        <v>4967</v>
      </c>
      <c r="O42" s="66" t="s">
        <v>4055</v>
      </c>
      <c r="P42" s="709">
        <v>200000</v>
      </c>
    </row>
    <row r="43" spans="1:16" ht="22.5">
      <c r="A43" s="192" t="s">
        <v>108</v>
      </c>
      <c r="B43" s="193" t="s">
        <v>3946</v>
      </c>
      <c r="C43" s="193" t="s">
        <v>3946</v>
      </c>
      <c r="D43" s="66" t="s">
        <v>4970</v>
      </c>
      <c r="E43" s="66">
        <v>1</v>
      </c>
      <c r="F43" s="66">
        <v>5</v>
      </c>
      <c r="G43" s="66" t="s">
        <v>4971</v>
      </c>
      <c r="H43" s="66" t="s">
        <v>4972</v>
      </c>
      <c r="I43" s="66">
        <v>2.5000000000000001E-3</v>
      </c>
      <c r="J43" s="193" t="s">
        <v>4973</v>
      </c>
      <c r="K43" s="679">
        <v>350000</v>
      </c>
      <c r="L43" s="66">
        <v>1</v>
      </c>
      <c r="M43" s="66"/>
      <c r="N43" s="193" t="s">
        <v>4974</v>
      </c>
      <c r="O43" s="66" t="s">
        <v>3950</v>
      </c>
      <c r="P43" s="709">
        <v>200000</v>
      </c>
    </row>
    <row r="44" spans="1:16" ht="22.5">
      <c r="A44" s="192" t="s">
        <v>108</v>
      </c>
      <c r="B44" s="193" t="s">
        <v>3946</v>
      </c>
      <c r="C44" s="193" t="s">
        <v>3946</v>
      </c>
      <c r="D44" s="66" t="s">
        <v>4975</v>
      </c>
      <c r="E44" s="66">
        <v>1</v>
      </c>
      <c r="F44" s="66">
        <v>60</v>
      </c>
      <c r="G44" s="66" t="s">
        <v>4976</v>
      </c>
      <c r="H44" s="66" t="s">
        <v>4972</v>
      </c>
      <c r="I44" s="66">
        <v>6.0000000000000001E-3</v>
      </c>
      <c r="J44" s="193" t="s">
        <v>4973</v>
      </c>
      <c r="K44" s="679">
        <v>700000</v>
      </c>
      <c r="L44" s="66">
        <v>1</v>
      </c>
      <c r="M44" s="66"/>
      <c r="N44" s="193" t="s">
        <v>4977</v>
      </c>
      <c r="O44" s="66" t="s">
        <v>4978</v>
      </c>
      <c r="P44" s="709">
        <v>350000</v>
      </c>
    </row>
    <row r="45" spans="1:16" ht="22.5">
      <c r="A45" s="194" t="s">
        <v>84</v>
      </c>
      <c r="B45" s="195" t="s">
        <v>4032</v>
      </c>
      <c r="C45" s="195" t="s">
        <v>1137</v>
      </c>
      <c r="D45" s="66" t="s">
        <v>4979</v>
      </c>
      <c r="E45" s="66"/>
      <c r="F45" s="66">
        <v>4</v>
      </c>
      <c r="G45" s="66"/>
      <c r="H45" s="66"/>
      <c r="I45" s="66">
        <v>0.3</v>
      </c>
      <c r="J45" s="195" t="s">
        <v>387</v>
      </c>
      <c r="K45" s="679">
        <v>15000000</v>
      </c>
      <c r="L45" s="66">
        <v>1</v>
      </c>
      <c r="M45" s="66"/>
      <c r="N45" s="195" t="s">
        <v>4980</v>
      </c>
      <c r="O45" s="66">
        <v>1</v>
      </c>
      <c r="P45" s="709">
        <v>13700000</v>
      </c>
    </row>
    <row r="46" spans="1:16" ht="22.5">
      <c r="A46" s="194" t="s">
        <v>84</v>
      </c>
      <c r="B46" s="195" t="s">
        <v>4032</v>
      </c>
      <c r="C46" s="195" t="s">
        <v>1137</v>
      </c>
      <c r="D46" s="66" t="s">
        <v>4981</v>
      </c>
      <c r="E46" s="66"/>
      <c r="F46" s="66">
        <v>25</v>
      </c>
      <c r="G46" s="66"/>
      <c r="H46" s="66"/>
      <c r="I46" s="66">
        <v>0.1</v>
      </c>
      <c r="J46" s="195" t="s">
        <v>387</v>
      </c>
      <c r="K46" s="679">
        <v>5000000</v>
      </c>
      <c r="L46" s="66">
        <v>1</v>
      </c>
      <c r="M46" s="66"/>
      <c r="N46" s="195" t="s">
        <v>4982</v>
      </c>
      <c r="O46" s="66">
        <v>1</v>
      </c>
      <c r="P46" s="709">
        <v>5000000</v>
      </c>
    </row>
    <row r="47" spans="1:16" ht="67.5">
      <c r="A47" s="194" t="s">
        <v>1764</v>
      </c>
      <c r="B47" s="195" t="s">
        <v>4047</v>
      </c>
      <c r="C47" s="195" t="s">
        <v>4048</v>
      </c>
      <c r="D47" s="66" t="s">
        <v>4983</v>
      </c>
      <c r="E47" s="66">
        <v>2</v>
      </c>
      <c r="F47" s="66">
        <v>60</v>
      </c>
      <c r="G47" s="66" t="s">
        <v>4984</v>
      </c>
      <c r="H47" s="66" t="s">
        <v>4985</v>
      </c>
      <c r="I47" s="66" t="s">
        <v>4984</v>
      </c>
      <c r="J47" s="195" t="s">
        <v>4986</v>
      </c>
      <c r="K47" s="679">
        <v>1650000</v>
      </c>
      <c r="L47" s="66">
        <v>1</v>
      </c>
      <c r="M47" s="66"/>
      <c r="N47" s="195" t="s">
        <v>4987</v>
      </c>
      <c r="O47" s="66" t="s">
        <v>4055</v>
      </c>
      <c r="P47" s="709"/>
    </row>
    <row r="48" spans="1:16" ht="33.75">
      <c r="A48" s="194" t="s">
        <v>1764</v>
      </c>
      <c r="B48" s="195" t="s">
        <v>371</v>
      </c>
      <c r="C48" s="195" t="s">
        <v>3666</v>
      </c>
      <c r="D48" s="66" t="s">
        <v>4988</v>
      </c>
      <c r="E48" s="66">
        <v>1</v>
      </c>
      <c r="F48" s="66" t="s">
        <v>4989</v>
      </c>
      <c r="G48" s="66" t="s">
        <v>4801</v>
      </c>
      <c r="H48" s="66" t="s">
        <v>4990</v>
      </c>
      <c r="I48" s="66" t="s">
        <v>4801</v>
      </c>
      <c r="J48" s="195" t="s">
        <v>4991</v>
      </c>
      <c r="K48" s="679">
        <v>420000</v>
      </c>
      <c r="L48" s="66">
        <v>1</v>
      </c>
      <c r="M48" s="66"/>
      <c r="N48" s="195" t="s">
        <v>4992</v>
      </c>
      <c r="O48" s="66" t="s">
        <v>4055</v>
      </c>
      <c r="P48" s="709"/>
    </row>
    <row r="49" spans="1:16" ht="38.25">
      <c r="A49" s="712" t="s">
        <v>4087</v>
      </c>
      <c r="B49" s="196" t="s">
        <v>2037</v>
      </c>
      <c r="C49" s="196" t="s">
        <v>4993</v>
      </c>
      <c r="D49" s="197" t="s">
        <v>4994</v>
      </c>
      <c r="E49" s="197">
        <v>4</v>
      </c>
      <c r="F49" s="197">
        <v>52</v>
      </c>
      <c r="G49" s="197">
        <v>615</v>
      </c>
      <c r="H49" s="116"/>
      <c r="I49" s="116"/>
      <c r="J49" s="198" t="s">
        <v>4995</v>
      </c>
      <c r="K49" s="679">
        <v>8273000</v>
      </c>
      <c r="L49" s="197">
        <v>1</v>
      </c>
      <c r="M49" s="197" t="s">
        <v>4075</v>
      </c>
      <c r="N49" s="198" t="s">
        <v>4996</v>
      </c>
      <c r="O49" s="197" t="s">
        <v>4092</v>
      </c>
      <c r="P49" s="709">
        <f t="shared" ref="P49:P59" si="0">+K49</f>
        <v>8273000</v>
      </c>
    </row>
    <row r="50" spans="1:16" ht="38.25">
      <c r="A50" s="65" t="s">
        <v>4087</v>
      </c>
      <c r="B50" s="196" t="s">
        <v>2037</v>
      </c>
      <c r="C50" s="196" t="s">
        <v>4997</v>
      </c>
      <c r="D50" s="197" t="s">
        <v>4994</v>
      </c>
      <c r="E50" s="197">
        <v>5</v>
      </c>
      <c r="F50" s="197">
        <v>95</v>
      </c>
      <c r="G50" s="197">
        <v>707</v>
      </c>
      <c r="H50" s="116"/>
      <c r="I50" s="116"/>
      <c r="J50" s="198" t="s">
        <v>4995</v>
      </c>
      <c r="K50" s="679">
        <v>3873750</v>
      </c>
      <c r="L50" s="197">
        <v>1</v>
      </c>
      <c r="M50" s="197" t="s">
        <v>4075</v>
      </c>
      <c r="N50" s="198" t="s">
        <v>4996</v>
      </c>
      <c r="O50" s="197" t="s">
        <v>4092</v>
      </c>
      <c r="P50" s="709">
        <f t="shared" si="0"/>
        <v>3873750</v>
      </c>
    </row>
    <row r="51" spans="1:16" ht="38.25">
      <c r="A51" s="65" t="s">
        <v>4087</v>
      </c>
      <c r="B51" s="196" t="s">
        <v>2037</v>
      </c>
      <c r="C51" s="196" t="s">
        <v>4998</v>
      </c>
      <c r="D51" s="197" t="s">
        <v>4994</v>
      </c>
      <c r="E51" s="197">
        <v>7</v>
      </c>
      <c r="F51" s="197">
        <v>127</v>
      </c>
      <c r="G51" s="197">
        <v>1089</v>
      </c>
      <c r="H51" s="116"/>
      <c r="I51" s="116"/>
      <c r="J51" s="198" t="s">
        <v>4995</v>
      </c>
      <c r="K51" s="679">
        <v>7041750</v>
      </c>
      <c r="L51" s="197">
        <v>1</v>
      </c>
      <c r="M51" s="197" t="s">
        <v>4075</v>
      </c>
      <c r="N51" s="198" t="s">
        <v>4996</v>
      </c>
      <c r="O51" s="197" t="s">
        <v>4092</v>
      </c>
      <c r="P51" s="709">
        <f t="shared" si="0"/>
        <v>7041750</v>
      </c>
    </row>
    <row r="52" spans="1:16" ht="38.25">
      <c r="A52" s="65" t="s">
        <v>4087</v>
      </c>
      <c r="B52" s="196" t="s">
        <v>2037</v>
      </c>
      <c r="C52" s="196" t="s">
        <v>4999</v>
      </c>
      <c r="D52" s="197" t="s">
        <v>4994</v>
      </c>
      <c r="E52" s="197">
        <v>1</v>
      </c>
      <c r="F52" s="197">
        <v>13</v>
      </c>
      <c r="G52" s="197">
        <v>140</v>
      </c>
      <c r="H52" s="116"/>
      <c r="I52" s="116"/>
      <c r="J52" s="198" t="s">
        <v>4995</v>
      </c>
      <c r="K52" s="679">
        <v>1818250</v>
      </c>
      <c r="L52" s="197">
        <v>1</v>
      </c>
      <c r="M52" s="197" t="s">
        <v>4075</v>
      </c>
      <c r="N52" s="198" t="s">
        <v>4996</v>
      </c>
      <c r="O52" s="197" t="s">
        <v>4092</v>
      </c>
      <c r="P52" s="709">
        <f t="shared" si="0"/>
        <v>1818250</v>
      </c>
    </row>
    <row r="53" spans="1:16" ht="38.25">
      <c r="A53" s="65" t="s">
        <v>4087</v>
      </c>
      <c r="B53" s="196" t="s">
        <v>1262</v>
      </c>
      <c r="C53" s="196" t="s">
        <v>5000</v>
      </c>
      <c r="D53" s="197" t="s">
        <v>4994</v>
      </c>
      <c r="E53" s="197">
        <v>1</v>
      </c>
      <c r="F53" s="197">
        <v>28</v>
      </c>
      <c r="G53" s="197">
        <v>160</v>
      </c>
      <c r="H53" s="197"/>
      <c r="I53" s="197"/>
      <c r="J53" s="198" t="s">
        <v>4995</v>
      </c>
      <c r="K53" s="679">
        <v>1397000</v>
      </c>
      <c r="L53" s="197">
        <v>1</v>
      </c>
      <c r="M53" s="197" t="s">
        <v>4075</v>
      </c>
      <c r="N53" s="198" t="s">
        <v>4996</v>
      </c>
      <c r="O53" s="197" t="s">
        <v>4092</v>
      </c>
      <c r="P53" s="709">
        <f t="shared" si="0"/>
        <v>1397000</v>
      </c>
    </row>
    <row r="54" spans="1:16" ht="38.25">
      <c r="A54" s="65" t="s">
        <v>4087</v>
      </c>
      <c r="B54" s="196" t="s">
        <v>1262</v>
      </c>
      <c r="C54" s="196" t="s">
        <v>2791</v>
      </c>
      <c r="D54" s="197" t="s">
        <v>4994</v>
      </c>
      <c r="E54" s="197">
        <v>2</v>
      </c>
      <c r="F54" s="197">
        <v>25</v>
      </c>
      <c r="G54" s="197">
        <v>320</v>
      </c>
      <c r="H54" s="116"/>
      <c r="I54" s="116"/>
      <c r="J54" s="198" t="s">
        <v>4995</v>
      </c>
      <c r="K54" s="679">
        <v>631250</v>
      </c>
      <c r="L54" s="197">
        <v>1</v>
      </c>
      <c r="M54" s="197" t="s">
        <v>4075</v>
      </c>
      <c r="N54" s="198" t="s">
        <v>4996</v>
      </c>
      <c r="O54" s="197" t="s">
        <v>4092</v>
      </c>
      <c r="P54" s="709">
        <f t="shared" si="0"/>
        <v>631250</v>
      </c>
    </row>
    <row r="55" spans="1:16" ht="38.25">
      <c r="A55" s="65" t="s">
        <v>4087</v>
      </c>
      <c r="B55" s="196" t="s">
        <v>1262</v>
      </c>
      <c r="C55" s="196" t="s">
        <v>5001</v>
      </c>
      <c r="D55" s="197" t="s">
        <v>4994</v>
      </c>
      <c r="E55" s="197">
        <v>5</v>
      </c>
      <c r="F55" s="197">
        <v>101</v>
      </c>
      <c r="G55" s="197">
        <v>890</v>
      </c>
      <c r="H55" s="116"/>
      <c r="I55" s="116"/>
      <c r="J55" s="198" t="s">
        <v>4995</v>
      </c>
      <c r="K55" s="679">
        <v>6905250</v>
      </c>
      <c r="L55" s="197">
        <v>1</v>
      </c>
      <c r="M55" s="197" t="s">
        <v>4075</v>
      </c>
      <c r="N55" s="198" t="s">
        <v>4996</v>
      </c>
      <c r="O55" s="197" t="s">
        <v>4092</v>
      </c>
      <c r="P55" s="709">
        <f t="shared" si="0"/>
        <v>6905250</v>
      </c>
    </row>
    <row r="56" spans="1:16" ht="38.25">
      <c r="A56" s="65" t="s">
        <v>4087</v>
      </c>
      <c r="B56" s="196" t="s">
        <v>1262</v>
      </c>
      <c r="C56" s="196" t="s">
        <v>1810</v>
      </c>
      <c r="D56" s="197" t="s">
        <v>4994</v>
      </c>
      <c r="E56" s="197">
        <v>3</v>
      </c>
      <c r="F56" s="197">
        <v>98</v>
      </c>
      <c r="G56" s="197">
        <v>500</v>
      </c>
      <c r="H56" s="116"/>
      <c r="I56" s="116"/>
      <c r="J56" s="198" t="s">
        <v>4995</v>
      </c>
      <c r="K56" s="679">
        <v>2889500</v>
      </c>
      <c r="L56" s="197">
        <v>1</v>
      </c>
      <c r="M56" s="197" t="s">
        <v>4075</v>
      </c>
      <c r="N56" s="198" t="s">
        <v>4996</v>
      </c>
      <c r="O56" s="197" t="s">
        <v>4092</v>
      </c>
      <c r="P56" s="709">
        <f t="shared" si="0"/>
        <v>2889500</v>
      </c>
    </row>
    <row r="57" spans="1:16" ht="38.25">
      <c r="A57" s="65" t="s">
        <v>4087</v>
      </c>
      <c r="B57" s="196" t="s">
        <v>1262</v>
      </c>
      <c r="C57" s="196" t="s">
        <v>3666</v>
      </c>
      <c r="D57" s="197" t="s">
        <v>4994</v>
      </c>
      <c r="E57" s="197">
        <v>8</v>
      </c>
      <c r="F57" s="197">
        <v>160</v>
      </c>
      <c r="G57" s="197">
        <v>1210</v>
      </c>
      <c r="H57" s="116"/>
      <c r="I57" s="116"/>
      <c r="J57" s="198" t="s">
        <v>4995</v>
      </c>
      <c r="K57" s="679">
        <v>11465000</v>
      </c>
      <c r="L57" s="197">
        <v>1</v>
      </c>
      <c r="M57" s="197" t="s">
        <v>4075</v>
      </c>
      <c r="N57" s="198" t="s">
        <v>4996</v>
      </c>
      <c r="O57" s="197" t="s">
        <v>4092</v>
      </c>
      <c r="P57" s="709">
        <f t="shared" si="0"/>
        <v>11465000</v>
      </c>
    </row>
    <row r="58" spans="1:16" ht="38.25">
      <c r="A58" s="65" t="s">
        <v>4087</v>
      </c>
      <c r="B58" s="196" t="s">
        <v>1262</v>
      </c>
      <c r="C58" s="196" t="s">
        <v>1806</v>
      </c>
      <c r="D58" s="197" t="s">
        <v>4994</v>
      </c>
      <c r="E58" s="197">
        <v>8</v>
      </c>
      <c r="F58" s="197">
        <v>220</v>
      </c>
      <c r="G58" s="197">
        <v>1284</v>
      </c>
      <c r="H58" s="116"/>
      <c r="I58" s="116"/>
      <c r="J58" s="198" t="s">
        <v>4995</v>
      </c>
      <c r="K58" s="679">
        <v>5030000</v>
      </c>
      <c r="L58" s="197">
        <v>1</v>
      </c>
      <c r="M58" s="197" t="s">
        <v>4075</v>
      </c>
      <c r="N58" s="198" t="s">
        <v>4996</v>
      </c>
      <c r="O58" s="197" t="s">
        <v>4092</v>
      </c>
      <c r="P58" s="709">
        <f t="shared" si="0"/>
        <v>5030000</v>
      </c>
    </row>
    <row r="59" spans="1:16" ht="38.25">
      <c r="A59" s="65" t="s">
        <v>4087</v>
      </c>
      <c r="B59" s="196" t="s">
        <v>1262</v>
      </c>
      <c r="C59" s="196" t="s">
        <v>5002</v>
      </c>
      <c r="D59" s="197" t="s">
        <v>4994</v>
      </c>
      <c r="E59" s="197">
        <v>8</v>
      </c>
      <c r="F59" s="197">
        <v>174</v>
      </c>
      <c r="G59" s="197">
        <v>1260</v>
      </c>
      <c r="H59" s="116"/>
      <c r="I59" s="116"/>
      <c r="J59" s="198" t="s">
        <v>4995</v>
      </c>
      <c r="K59" s="679">
        <v>7163500</v>
      </c>
      <c r="L59" s="197">
        <v>1</v>
      </c>
      <c r="M59" s="197" t="s">
        <v>4075</v>
      </c>
      <c r="N59" s="198" t="s">
        <v>4996</v>
      </c>
      <c r="O59" s="197" t="s">
        <v>4092</v>
      </c>
      <c r="P59" s="709">
        <f t="shared" si="0"/>
        <v>7163500</v>
      </c>
    </row>
    <row r="60" spans="1:16" ht="25.5">
      <c r="A60" s="65" t="s">
        <v>4231</v>
      </c>
      <c r="B60" s="126" t="s">
        <v>4315</v>
      </c>
      <c r="C60" s="198" t="s">
        <v>5003</v>
      </c>
      <c r="D60" s="197" t="s">
        <v>5004</v>
      </c>
      <c r="E60" s="197">
        <v>1</v>
      </c>
      <c r="F60" s="197">
        <v>200</v>
      </c>
      <c r="G60" s="197">
        <v>300</v>
      </c>
      <c r="H60" s="116"/>
      <c r="I60" s="116"/>
      <c r="J60" s="198" t="s">
        <v>5005</v>
      </c>
      <c r="K60" s="679">
        <v>1650000</v>
      </c>
      <c r="L60" s="197" t="s">
        <v>1711</v>
      </c>
      <c r="M60" s="21" t="s">
        <v>4342</v>
      </c>
      <c r="N60" s="198" t="s">
        <v>5006</v>
      </c>
      <c r="O60" s="197" t="s">
        <v>5007</v>
      </c>
      <c r="P60" s="709">
        <v>1650000</v>
      </c>
    </row>
    <row r="61" spans="1:16" ht="25.5">
      <c r="A61" s="65" t="s">
        <v>4231</v>
      </c>
      <c r="B61" s="126" t="s">
        <v>4315</v>
      </c>
      <c r="C61" s="126" t="s">
        <v>5008</v>
      </c>
      <c r="D61" s="197" t="s">
        <v>5004</v>
      </c>
      <c r="E61" s="197">
        <v>2</v>
      </c>
      <c r="F61" s="197">
        <v>250</v>
      </c>
      <c r="G61" s="197">
        <v>720</v>
      </c>
      <c r="H61" s="116"/>
      <c r="I61" s="116"/>
      <c r="J61" s="198" t="s">
        <v>5005</v>
      </c>
      <c r="K61" s="679">
        <v>3960000</v>
      </c>
      <c r="L61" s="197" t="s">
        <v>1711</v>
      </c>
      <c r="M61" s="21" t="s">
        <v>4342</v>
      </c>
      <c r="N61" s="198" t="s">
        <v>5006</v>
      </c>
      <c r="O61" s="197" t="s">
        <v>5007</v>
      </c>
      <c r="P61" s="709">
        <v>3960000</v>
      </c>
    </row>
    <row r="62" spans="1:16" ht="38.25">
      <c r="A62" s="65" t="s">
        <v>4231</v>
      </c>
      <c r="B62" s="126" t="s">
        <v>4315</v>
      </c>
      <c r="C62" s="198" t="s">
        <v>5009</v>
      </c>
      <c r="D62" s="197" t="s">
        <v>5004</v>
      </c>
      <c r="E62" s="197">
        <v>1</v>
      </c>
      <c r="F62" s="197">
        <v>30</v>
      </c>
      <c r="G62" s="197">
        <v>120</v>
      </c>
      <c r="H62" s="116"/>
      <c r="I62" s="116"/>
      <c r="J62" s="198" t="s">
        <v>5005</v>
      </c>
      <c r="K62" s="679">
        <v>1165000</v>
      </c>
      <c r="L62" s="197" t="s">
        <v>1711</v>
      </c>
      <c r="M62" s="21" t="s">
        <v>4342</v>
      </c>
      <c r="N62" s="198" t="s">
        <v>5010</v>
      </c>
      <c r="O62" s="197" t="s">
        <v>5007</v>
      </c>
      <c r="P62" s="709">
        <v>1165000</v>
      </c>
    </row>
    <row r="63" spans="1:16" ht="25.5">
      <c r="A63" s="65" t="s">
        <v>4231</v>
      </c>
      <c r="B63" s="126" t="s">
        <v>4315</v>
      </c>
      <c r="C63" s="198" t="s">
        <v>5011</v>
      </c>
      <c r="D63" s="197" t="s">
        <v>5004</v>
      </c>
      <c r="E63" s="197">
        <v>1</v>
      </c>
      <c r="F63" s="197">
        <v>15</v>
      </c>
      <c r="G63" s="197">
        <v>120</v>
      </c>
      <c r="H63" s="116"/>
      <c r="I63" s="116"/>
      <c r="J63" s="198" t="s">
        <v>5005</v>
      </c>
      <c r="K63" s="679">
        <v>550000</v>
      </c>
      <c r="L63" s="197" t="s">
        <v>1711</v>
      </c>
      <c r="M63" s="21" t="s">
        <v>4342</v>
      </c>
      <c r="N63" s="198" t="s">
        <v>5006</v>
      </c>
      <c r="O63" s="197" t="s">
        <v>5007</v>
      </c>
      <c r="P63" s="709">
        <v>550000</v>
      </c>
    </row>
    <row r="64" spans="1:16" ht="25.5">
      <c r="A64" s="65" t="s">
        <v>4231</v>
      </c>
      <c r="B64" s="126" t="s">
        <v>4315</v>
      </c>
      <c r="C64" s="126" t="s">
        <v>5012</v>
      </c>
      <c r="D64" s="197" t="s">
        <v>5004</v>
      </c>
      <c r="E64" s="197">
        <v>1</v>
      </c>
      <c r="F64" s="197">
        <v>30</v>
      </c>
      <c r="G64" s="197">
        <v>120</v>
      </c>
      <c r="H64" s="116"/>
      <c r="I64" s="116"/>
      <c r="J64" s="198" t="s">
        <v>5005</v>
      </c>
      <c r="K64" s="679">
        <v>165000</v>
      </c>
      <c r="L64" s="197" t="s">
        <v>1711</v>
      </c>
      <c r="M64" s="21" t="s">
        <v>4342</v>
      </c>
      <c r="N64" s="198" t="s">
        <v>5006</v>
      </c>
      <c r="O64" s="197" t="s">
        <v>5007</v>
      </c>
      <c r="P64" s="709">
        <v>165000</v>
      </c>
    </row>
    <row r="65" spans="1:16" ht="25.5">
      <c r="A65" s="65" t="s">
        <v>4231</v>
      </c>
      <c r="B65" s="126" t="s">
        <v>5013</v>
      </c>
      <c r="C65" s="126" t="s">
        <v>5014</v>
      </c>
      <c r="D65" s="197" t="s">
        <v>5004</v>
      </c>
      <c r="E65" s="197">
        <v>1</v>
      </c>
      <c r="F65" s="197">
        <v>7</v>
      </c>
      <c r="G65" s="197">
        <v>90</v>
      </c>
      <c r="H65" s="116"/>
      <c r="I65" s="116"/>
      <c r="J65" s="198" t="s">
        <v>5005</v>
      </c>
      <c r="K65" s="679">
        <v>120000</v>
      </c>
      <c r="L65" s="197" t="s">
        <v>1711</v>
      </c>
      <c r="M65" s="21" t="s">
        <v>4342</v>
      </c>
      <c r="N65" s="198" t="s">
        <v>5006</v>
      </c>
      <c r="O65" s="197" t="s">
        <v>5007</v>
      </c>
      <c r="P65" s="709">
        <v>120000</v>
      </c>
    </row>
    <row r="66" spans="1:16" ht="38.25">
      <c r="A66" s="65" t="s">
        <v>4231</v>
      </c>
      <c r="B66" s="126" t="s">
        <v>699</v>
      </c>
      <c r="C66" s="126" t="s">
        <v>5015</v>
      </c>
      <c r="D66" s="197" t="s">
        <v>5016</v>
      </c>
      <c r="E66" s="197">
        <v>1</v>
      </c>
      <c r="F66" s="197"/>
      <c r="G66" s="197"/>
      <c r="H66" s="116"/>
      <c r="I66" s="116"/>
      <c r="J66" s="198" t="s">
        <v>5017</v>
      </c>
      <c r="K66" s="679">
        <v>110000</v>
      </c>
      <c r="L66" s="197">
        <v>1</v>
      </c>
      <c r="M66" s="21" t="s">
        <v>5018</v>
      </c>
      <c r="N66" s="198" t="s">
        <v>5019</v>
      </c>
      <c r="O66" s="197" t="s">
        <v>4211</v>
      </c>
      <c r="P66" s="709">
        <v>110000</v>
      </c>
    </row>
    <row r="67" spans="1:16" ht="25.5">
      <c r="A67" s="65" t="s">
        <v>4239</v>
      </c>
      <c r="B67" s="126"/>
      <c r="C67" s="198" t="s">
        <v>2443</v>
      </c>
      <c r="D67" s="197" t="s">
        <v>5020</v>
      </c>
      <c r="E67" s="197">
        <v>1</v>
      </c>
      <c r="F67" s="197"/>
      <c r="G67" s="197">
        <v>300</v>
      </c>
      <c r="H67" s="116"/>
      <c r="I67" s="116"/>
      <c r="J67" s="198" t="s">
        <v>4248</v>
      </c>
      <c r="K67" s="679">
        <v>147000</v>
      </c>
      <c r="L67" s="197">
        <v>1</v>
      </c>
      <c r="M67" s="21" t="s">
        <v>4075</v>
      </c>
      <c r="N67" s="198" t="s">
        <v>5021</v>
      </c>
      <c r="O67" s="197" t="s">
        <v>4245</v>
      </c>
      <c r="P67" s="709">
        <v>147000</v>
      </c>
    </row>
    <row r="68" spans="1:16">
      <c r="A68" s="121" t="s">
        <v>4338</v>
      </c>
      <c r="B68" s="200" t="s">
        <v>4339</v>
      </c>
      <c r="C68" s="200" t="s">
        <v>5022</v>
      </c>
      <c r="D68" s="66" t="s">
        <v>5023</v>
      </c>
      <c r="E68" s="66">
        <v>2</v>
      </c>
      <c r="F68" s="66">
        <v>45</v>
      </c>
      <c r="G68" s="66"/>
      <c r="H68" s="66"/>
      <c r="I68" s="66"/>
      <c r="J68" s="200" t="s">
        <v>4284</v>
      </c>
      <c r="K68" s="679">
        <v>3150000</v>
      </c>
      <c r="L68" s="66">
        <v>1</v>
      </c>
      <c r="M68" s="66" t="s">
        <v>4345</v>
      </c>
      <c r="N68" s="200" t="s">
        <v>5024</v>
      </c>
      <c r="O68" s="66" t="s">
        <v>3974</v>
      </c>
      <c r="P68" s="709">
        <f>2132500*E68</f>
        <v>4265000</v>
      </c>
    </row>
    <row r="69" spans="1:16">
      <c r="A69" s="121" t="s">
        <v>4338</v>
      </c>
      <c r="B69" s="200" t="s">
        <v>4343</v>
      </c>
      <c r="C69" s="200" t="s">
        <v>5025</v>
      </c>
      <c r="D69" s="66" t="s">
        <v>5023</v>
      </c>
      <c r="E69" s="66">
        <v>3</v>
      </c>
      <c r="F69" s="66">
        <v>49</v>
      </c>
      <c r="G69" s="66"/>
      <c r="H69" s="66"/>
      <c r="I69" s="66"/>
      <c r="J69" s="200" t="s">
        <v>4284</v>
      </c>
      <c r="K69" s="679">
        <v>3300000</v>
      </c>
      <c r="L69" s="66">
        <v>1</v>
      </c>
      <c r="M69" s="66" t="s">
        <v>4345</v>
      </c>
      <c r="N69" s="200" t="s">
        <v>5024</v>
      </c>
      <c r="O69" s="66" t="s">
        <v>3974</v>
      </c>
      <c r="P69" s="709">
        <f t="shared" ref="P69:P70" si="1">2132500*E69</f>
        <v>6397500</v>
      </c>
    </row>
    <row r="70" spans="1:16">
      <c r="A70" s="121" t="s">
        <v>4338</v>
      </c>
      <c r="B70" s="200" t="s">
        <v>1127</v>
      </c>
      <c r="C70" s="200" t="s">
        <v>5026</v>
      </c>
      <c r="D70" s="66" t="s">
        <v>5023</v>
      </c>
      <c r="E70" s="66">
        <v>1</v>
      </c>
      <c r="F70" s="66">
        <v>35</v>
      </c>
      <c r="G70" s="66"/>
      <c r="H70" s="66"/>
      <c r="I70" s="66"/>
      <c r="J70" s="200" t="s">
        <v>4284</v>
      </c>
      <c r="K70" s="679">
        <v>2450000</v>
      </c>
      <c r="L70" s="66">
        <v>1</v>
      </c>
      <c r="M70" s="66" t="s">
        <v>4345</v>
      </c>
      <c r="N70" s="200" t="s">
        <v>5024</v>
      </c>
      <c r="O70" s="66" t="s">
        <v>3974</v>
      </c>
      <c r="P70" s="709">
        <f t="shared" si="1"/>
        <v>2132500</v>
      </c>
    </row>
    <row r="71" spans="1:16" ht="22.5">
      <c r="A71" s="121" t="s">
        <v>4338</v>
      </c>
      <c r="B71" s="200" t="s">
        <v>1127</v>
      </c>
      <c r="C71" s="200" t="s">
        <v>5027</v>
      </c>
      <c r="D71" s="146" t="s">
        <v>5028</v>
      </c>
      <c r="E71" s="66">
        <v>5</v>
      </c>
      <c r="F71" s="66">
        <v>11</v>
      </c>
      <c r="G71" s="66"/>
      <c r="H71" s="66"/>
      <c r="I71" s="66">
        <v>75</v>
      </c>
      <c r="J71" s="200" t="s">
        <v>5029</v>
      </c>
      <c r="K71" s="679">
        <v>5880000</v>
      </c>
      <c r="L71" s="66">
        <v>2</v>
      </c>
      <c r="M71" s="66" t="s">
        <v>4342</v>
      </c>
      <c r="N71" s="200" t="s">
        <v>5024</v>
      </c>
      <c r="O71" s="146" t="s">
        <v>3974</v>
      </c>
      <c r="P71" s="709">
        <f>1851290*E71</f>
        <v>9256450</v>
      </c>
    </row>
    <row r="72" spans="1:16">
      <c r="A72" s="143" t="s">
        <v>4346</v>
      </c>
      <c r="B72" s="201" t="s">
        <v>2377</v>
      </c>
      <c r="C72" s="201" t="s">
        <v>5030</v>
      </c>
      <c r="D72" s="146" t="s">
        <v>5028</v>
      </c>
      <c r="E72" s="146">
        <v>2</v>
      </c>
      <c r="F72" s="146">
        <v>3</v>
      </c>
      <c r="G72" s="146"/>
      <c r="H72" s="146"/>
      <c r="I72" s="146"/>
      <c r="J72" s="201" t="s">
        <v>4271</v>
      </c>
      <c r="K72" s="679">
        <v>1100000</v>
      </c>
      <c r="L72" s="146">
        <v>3</v>
      </c>
      <c r="M72" s="146" t="s">
        <v>4345</v>
      </c>
      <c r="N72" s="200" t="s">
        <v>5024</v>
      </c>
      <c r="O72" s="146" t="s">
        <v>3974</v>
      </c>
      <c r="P72" s="709">
        <f>1851290*E72</f>
        <v>3702580</v>
      </c>
    </row>
    <row r="73" spans="1:16">
      <c r="A73" s="143" t="s">
        <v>4338</v>
      </c>
      <c r="B73" s="201" t="s">
        <v>4347</v>
      </c>
      <c r="C73" s="201" t="s">
        <v>5031</v>
      </c>
      <c r="D73" s="66" t="s">
        <v>5023</v>
      </c>
      <c r="E73" s="146">
        <v>3</v>
      </c>
      <c r="F73" s="146">
        <v>55</v>
      </c>
      <c r="G73" s="146"/>
      <c r="H73" s="146"/>
      <c r="I73" s="146"/>
      <c r="J73" s="201" t="s">
        <v>4371</v>
      </c>
      <c r="K73" s="679">
        <v>1370000</v>
      </c>
      <c r="L73" s="146">
        <v>1</v>
      </c>
      <c r="M73" s="146" t="s">
        <v>4345</v>
      </c>
      <c r="N73" s="200" t="s">
        <v>5024</v>
      </c>
      <c r="O73" s="66" t="s">
        <v>3974</v>
      </c>
      <c r="P73" s="709">
        <f t="shared" ref="P73:P74" si="2">2132500*E73</f>
        <v>6397500</v>
      </c>
    </row>
    <row r="74" spans="1:16" ht="22.5">
      <c r="A74" s="143" t="s">
        <v>4346</v>
      </c>
      <c r="B74" s="201" t="s">
        <v>4401</v>
      </c>
      <c r="C74" s="201" t="s">
        <v>5032</v>
      </c>
      <c r="D74" s="66" t="s">
        <v>5023</v>
      </c>
      <c r="E74" s="146">
        <v>9</v>
      </c>
      <c r="F74" s="146">
        <v>54</v>
      </c>
      <c r="G74" s="146"/>
      <c r="H74" s="146"/>
      <c r="I74" s="146">
        <v>0.01</v>
      </c>
      <c r="J74" s="201" t="s">
        <v>4371</v>
      </c>
      <c r="K74" s="679">
        <v>6820000</v>
      </c>
      <c r="L74" s="146">
        <v>1</v>
      </c>
      <c r="M74" s="146" t="s">
        <v>4345</v>
      </c>
      <c r="N74" s="200" t="s">
        <v>5024</v>
      </c>
      <c r="O74" s="66" t="s">
        <v>3974</v>
      </c>
      <c r="P74" s="709">
        <f t="shared" si="2"/>
        <v>19192500</v>
      </c>
    </row>
    <row r="75" spans="1:16">
      <c r="A75" s="143" t="s">
        <v>4338</v>
      </c>
      <c r="B75" s="201" t="s">
        <v>4347</v>
      </c>
      <c r="C75" s="201" t="s">
        <v>5033</v>
      </c>
      <c r="D75" s="146" t="s">
        <v>5028</v>
      </c>
      <c r="E75" s="146">
        <v>6</v>
      </c>
      <c r="F75" s="146">
        <v>29</v>
      </c>
      <c r="G75" s="146"/>
      <c r="H75" s="146"/>
      <c r="I75" s="146"/>
      <c r="J75" s="201" t="s">
        <v>5034</v>
      </c>
      <c r="K75" s="679">
        <v>11870000</v>
      </c>
      <c r="L75" s="146">
        <v>1</v>
      </c>
      <c r="M75" s="146" t="s">
        <v>4345</v>
      </c>
      <c r="N75" s="200" t="s">
        <v>5024</v>
      </c>
      <c r="O75" s="146" t="s">
        <v>3974</v>
      </c>
      <c r="P75" s="709">
        <f>1851290*E75</f>
        <v>11107740</v>
      </c>
    </row>
    <row r="76" spans="1:16">
      <c r="A76" s="143" t="s">
        <v>4338</v>
      </c>
      <c r="B76" s="201" t="s">
        <v>4347</v>
      </c>
      <c r="C76" s="201" t="s">
        <v>879</v>
      </c>
      <c r="D76" s="146" t="s">
        <v>4937</v>
      </c>
      <c r="E76" s="146">
        <v>1</v>
      </c>
      <c r="F76" s="146">
        <v>2</v>
      </c>
      <c r="G76" s="146"/>
      <c r="H76" s="146"/>
      <c r="I76" s="146"/>
      <c r="J76" s="201" t="s">
        <v>5035</v>
      </c>
      <c r="K76" s="679">
        <v>400000</v>
      </c>
      <c r="L76" s="146">
        <v>1</v>
      </c>
      <c r="M76" s="146" t="s">
        <v>4345</v>
      </c>
      <c r="N76" s="200" t="s">
        <v>5024</v>
      </c>
      <c r="O76" s="146" t="s">
        <v>3974</v>
      </c>
      <c r="P76" s="709">
        <v>3111833.6000000001</v>
      </c>
    </row>
    <row r="77" spans="1:16">
      <c r="A77" s="143" t="s">
        <v>3852</v>
      </c>
      <c r="B77" s="201" t="s">
        <v>5036</v>
      </c>
      <c r="C77" s="201" t="s">
        <v>5037</v>
      </c>
      <c r="D77" s="146" t="s">
        <v>5028</v>
      </c>
      <c r="E77" s="146">
        <v>3</v>
      </c>
      <c r="F77" s="146">
        <v>19</v>
      </c>
      <c r="G77" s="146"/>
      <c r="H77" s="146"/>
      <c r="I77" s="146">
        <v>1</v>
      </c>
      <c r="J77" s="201" t="s">
        <v>4377</v>
      </c>
      <c r="K77" s="679">
        <v>14000000</v>
      </c>
      <c r="L77" s="146">
        <v>1</v>
      </c>
      <c r="M77" s="146" t="s">
        <v>4345</v>
      </c>
      <c r="N77" s="200" t="s">
        <v>5024</v>
      </c>
      <c r="O77" s="146" t="s">
        <v>3974</v>
      </c>
      <c r="P77" s="709">
        <f>1851290*E77</f>
        <v>5553870</v>
      </c>
    </row>
    <row r="78" spans="1:16" ht="22.5">
      <c r="A78" s="143" t="s">
        <v>3852</v>
      </c>
      <c r="B78" s="201" t="s">
        <v>5038</v>
      </c>
      <c r="C78" s="201" t="s">
        <v>5039</v>
      </c>
      <c r="D78" s="66" t="s">
        <v>5023</v>
      </c>
      <c r="E78" s="146">
        <v>4</v>
      </c>
      <c r="F78" s="146">
        <v>484</v>
      </c>
      <c r="G78" s="146"/>
      <c r="H78" s="146"/>
      <c r="I78" s="146"/>
      <c r="J78" s="201" t="s">
        <v>5040</v>
      </c>
      <c r="K78" s="679">
        <v>6728000</v>
      </c>
      <c r="L78" s="146">
        <v>1</v>
      </c>
      <c r="M78" s="146" t="s">
        <v>4342</v>
      </c>
      <c r="N78" s="200" t="s">
        <v>5024</v>
      </c>
      <c r="O78" s="66" t="s">
        <v>3974</v>
      </c>
      <c r="P78" s="709">
        <f t="shared" ref="P78:P82" si="3">2132500*E78</f>
        <v>8530000</v>
      </c>
    </row>
    <row r="79" spans="1:16" ht="22.5">
      <c r="A79" s="143" t="s">
        <v>3852</v>
      </c>
      <c r="B79" s="201" t="s">
        <v>4998</v>
      </c>
      <c r="C79" s="201" t="s">
        <v>5041</v>
      </c>
      <c r="D79" s="66" t="s">
        <v>5023</v>
      </c>
      <c r="E79" s="146">
        <v>2</v>
      </c>
      <c r="F79" s="146">
        <v>70</v>
      </c>
      <c r="G79" s="146"/>
      <c r="H79" s="146"/>
      <c r="I79" s="146"/>
      <c r="J79" s="201" t="s">
        <v>5040</v>
      </c>
      <c r="K79" s="679">
        <v>5100000</v>
      </c>
      <c r="L79" s="146">
        <v>1</v>
      </c>
      <c r="M79" s="146" t="s">
        <v>4342</v>
      </c>
      <c r="N79" s="200" t="s">
        <v>5024</v>
      </c>
      <c r="O79" s="66" t="s">
        <v>3974</v>
      </c>
      <c r="P79" s="709">
        <f t="shared" si="3"/>
        <v>4265000</v>
      </c>
    </row>
    <row r="80" spans="1:16" ht="22.5">
      <c r="A80" s="143" t="s">
        <v>3852</v>
      </c>
      <c r="B80" s="201" t="s">
        <v>5042</v>
      </c>
      <c r="C80" s="201" t="s">
        <v>1666</v>
      </c>
      <c r="D80" s="66" t="s">
        <v>5023</v>
      </c>
      <c r="E80" s="146">
        <v>1</v>
      </c>
      <c r="F80" s="146">
        <v>116</v>
      </c>
      <c r="G80" s="146"/>
      <c r="H80" s="146"/>
      <c r="I80" s="146"/>
      <c r="J80" s="201" t="s">
        <v>5040</v>
      </c>
      <c r="K80" s="679">
        <f>12000*F80</f>
        <v>1392000</v>
      </c>
      <c r="L80" s="146">
        <v>1</v>
      </c>
      <c r="M80" s="146" t="s">
        <v>4342</v>
      </c>
      <c r="N80" s="200" t="s">
        <v>5024</v>
      </c>
      <c r="O80" s="66" t="s">
        <v>3974</v>
      </c>
      <c r="P80" s="709">
        <f t="shared" si="3"/>
        <v>2132500</v>
      </c>
    </row>
    <row r="81" spans="1:16" ht="22.5">
      <c r="A81" s="143" t="s">
        <v>3852</v>
      </c>
      <c r="B81" s="201" t="s">
        <v>5042</v>
      </c>
      <c r="C81" s="201" t="s">
        <v>2053</v>
      </c>
      <c r="D81" s="66" t="s">
        <v>5023</v>
      </c>
      <c r="E81" s="146">
        <v>1</v>
      </c>
      <c r="F81" s="146">
        <v>25</v>
      </c>
      <c r="G81" s="146"/>
      <c r="H81" s="146"/>
      <c r="I81" s="146"/>
      <c r="J81" s="201" t="s">
        <v>5040</v>
      </c>
      <c r="K81" s="679">
        <f>(40000*F81)+(70*12000)</f>
        <v>1840000</v>
      </c>
      <c r="L81" s="146">
        <v>1</v>
      </c>
      <c r="M81" s="146" t="s">
        <v>4342</v>
      </c>
      <c r="N81" s="200" t="s">
        <v>5024</v>
      </c>
      <c r="O81" s="66" t="s">
        <v>3974</v>
      </c>
      <c r="P81" s="709">
        <f t="shared" si="3"/>
        <v>2132500</v>
      </c>
    </row>
    <row r="82" spans="1:16" ht="22.5">
      <c r="A82" s="143" t="s">
        <v>4358</v>
      </c>
      <c r="B82" s="201" t="s">
        <v>2525</v>
      </c>
      <c r="C82" s="201" t="s">
        <v>421</v>
      </c>
      <c r="D82" s="66" t="s">
        <v>5023</v>
      </c>
      <c r="E82" s="146">
        <v>1</v>
      </c>
      <c r="F82" s="146">
        <v>4</v>
      </c>
      <c r="G82" s="146"/>
      <c r="H82" s="146"/>
      <c r="I82" s="146"/>
      <c r="J82" s="201" t="s">
        <v>5040</v>
      </c>
      <c r="K82" s="679">
        <f>(40000*F82)+(12000*14)</f>
        <v>328000</v>
      </c>
      <c r="L82" s="146">
        <v>1</v>
      </c>
      <c r="M82" s="146" t="s">
        <v>4342</v>
      </c>
      <c r="N82" s="200" t="s">
        <v>5024</v>
      </c>
      <c r="O82" s="66" t="s">
        <v>3974</v>
      </c>
      <c r="P82" s="709">
        <f t="shared" si="3"/>
        <v>2132500</v>
      </c>
    </row>
    <row r="83" spans="1:16" ht="22.5">
      <c r="A83" s="143" t="s">
        <v>4358</v>
      </c>
      <c r="B83" s="201" t="s">
        <v>2525</v>
      </c>
      <c r="C83" s="201" t="s">
        <v>421</v>
      </c>
      <c r="D83" s="146" t="s">
        <v>5043</v>
      </c>
      <c r="E83" s="146">
        <v>1</v>
      </c>
      <c r="F83" s="146">
        <v>2350</v>
      </c>
      <c r="G83" s="146">
        <v>646</v>
      </c>
      <c r="H83" s="146" t="s">
        <v>5044</v>
      </c>
      <c r="I83" s="144"/>
      <c r="J83" s="201" t="s">
        <v>3931</v>
      </c>
      <c r="K83" s="679">
        <f>1200000+32000+9440000</f>
        <v>10672000</v>
      </c>
      <c r="L83" s="146">
        <v>3</v>
      </c>
      <c r="M83" s="146" t="s">
        <v>4342</v>
      </c>
      <c r="N83" s="200" t="s">
        <v>5024</v>
      </c>
      <c r="O83" s="146" t="s">
        <v>3974</v>
      </c>
      <c r="P83" s="709">
        <f>300000*E83</f>
        <v>300000</v>
      </c>
    </row>
    <row r="84" spans="1:16" ht="22.5">
      <c r="A84" s="143" t="s">
        <v>5045</v>
      </c>
      <c r="B84" s="201" t="s">
        <v>2041</v>
      </c>
      <c r="C84" s="201" t="s">
        <v>2057</v>
      </c>
      <c r="D84" s="146" t="s">
        <v>4937</v>
      </c>
      <c r="E84" s="146">
        <v>1</v>
      </c>
      <c r="F84" s="146">
        <v>1</v>
      </c>
      <c r="G84" s="146"/>
      <c r="H84" s="146"/>
      <c r="I84" s="146"/>
      <c r="J84" s="201" t="s">
        <v>387</v>
      </c>
      <c r="K84" s="679">
        <v>200000</v>
      </c>
      <c r="L84" s="146">
        <v>1</v>
      </c>
      <c r="M84" s="66" t="s">
        <v>4342</v>
      </c>
      <c r="N84" s="200" t="s">
        <v>5024</v>
      </c>
      <c r="O84" s="66" t="s">
        <v>4385</v>
      </c>
      <c r="P84" s="709">
        <v>200000</v>
      </c>
    </row>
    <row r="85" spans="1:16" ht="22.5">
      <c r="A85" s="143" t="s">
        <v>5045</v>
      </c>
      <c r="B85" s="201" t="s">
        <v>2041</v>
      </c>
      <c r="C85" s="201" t="s">
        <v>5046</v>
      </c>
      <c r="D85" s="146" t="s">
        <v>5028</v>
      </c>
      <c r="E85" s="146">
        <v>2</v>
      </c>
      <c r="F85" s="146"/>
      <c r="G85" s="146"/>
      <c r="H85" s="146"/>
      <c r="I85" s="146">
        <v>1.75</v>
      </c>
      <c r="J85" s="201" t="s">
        <v>387</v>
      </c>
      <c r="K85" s="679">
        <v>624000</v>
      </c>
      <c r="L85" s="146">
        <v>1</v>
      </c>
      <c r="M85" s="66" t="s">
        <v>4342</v>
      </c>
      <c r="N85" s="200" t="s">
        <v>5024</v>
      </c>
      <c r="O85" s="146" t="s">
        <v>3974</v>
      </c>
      <c r="P85" s="709">
        <f>1851290*E85</f>
        <v>3702580</v>
      </c>
    </row>
    <row r="86" spans="1:16" ht="22.5">
      <c r="A86" s="143" t="s">
        <v>5045</v>
      </c>
      <c r="B86" s="201" t="s">
        <v>2041</v>
      </c>
      <c r="C86" s="201" t="s">
        <v>5047</v>
      </c>
      <c r="D86" s="66" t="s">
        <v>5023</v>
      </c>
      <c r="E86" s="146">
        <v>3</v>
      </c>
      <c r="F86" s="146">
        <v>56</v>
      </c>
      <c r="G86" s="146"/>
      <c r="H86" s="146"/>
      <c r="I86" s="146"/>
      <c r="J86" s="201" t="s">
        <v>4369</v>
      </c>
      <c r="K86" s="679">
        <v>11180000</v>
      </c>
      <c r="L86" s="146">
        <v>2</v>
      </c>
      <c r="M86" s="66" t="s">
        <v>4342</v>
      </c>
      <c r="N86" s="200" t="s">
        <v>5024</v>
      </c>
      <c r="O86" s="66" t="s">
        <v>3974</v>
      </c>
      <c r="P86" s="709">
        <f>2132500*E86</f>
        <v>6397500</v>
      </c>
    </row>
    <row r="87" spans="1:16" ht="22.5">
      <c r="A87" s="143" t="s">
        <v>5045</v>
      </c>
      <c r="B87" s="201" t="s">
        <v>4382</v>
      </c>
      <c r="C87" s="201" t="s">
        <v>4382</v>
      </c>
      <c r="D87" s="146" t="s">
        <v>5048</v>
      </c>
      <c r="E87" s="146">
        <v>1</v>
      </c>
      <c r="F87" s="146">
        <v>1</v>
      </c>
      <c r="G87" s="146"/>
      <c r="H87" s="146"/>
      <c r="I87" s="146"/>
      <c r="J87" s="201" t="s">
        <v>4271</v>
      </c>
      <c r="K87" s="679">
        <v>40000</v>
      </c>
      <c r="L87" s="146">
        <v>2</v>
      </c>
      <c r="M87" s="66" t="s">
        <v>4342</v>
      </c>
      <c r="N87" s="200" t="s">
        <v>5024</v>
      </c>
      <c r="O87" s="66" t="s">
        <v>4385</v>
      </c>
      <c r="P87" s="709">
        <v>104000</v>
      </c>
    </row>
    <row r="88" spans="1:16" ht="22.5">
      <c r="A88" s="143" t="s">
        <v>5045</v>
      </c>
      <c r="B88" s="201" t="s">
        <v>5049</v>
      </c>
      <c r="C88" s="201" t="s">
        <v>5050</v>
      </c>
      <c r="D88" s="146" t="s">
        <v>5028</v>
      </c>
      <c r="E88" s="146">
        <v>1</v>
      </c>
      <c r="F88" s="146"/>
      <c r="G88" s="146"/>
      <c r="H88" s="146"/>
      <c r="I88" s="146">
        <v>1.25</v>
      </c>
      <c r="J88" s="201" t="s">
        <v>387</v>
      </c>
      <c r="K88" s="679">
        <v>405000</v>
      </c>
      <c r="L88" s="146">
        <v>1</v>
      </c>
      <c r="M88" s="66" t="s">
        <v>4342</v>
      </c>
      <c r="N88" s="200" t="s">
        <v>5024</v>
      </c>
      <c r="O88" s="146" t="s">
        <v>3974</v>
      </c>
      <c r="P88" s="709">
        <f>1851290*E88</f>
        <v>1851290</v>
      </c>
    </row>
    <row r="89" spans="1:16" ht="22.5">
      <c r="A89" s="121" t="s">
        <v>5045</v>
      </c>
      <c r="B89" s="200" t="s">
        <v>5051</v>
      </c>
      <c r="C89" s="200" t="s">
        <v>5052</v>
      </c>
      <c r="D89" s="66" t="s">
        <v>5023</v>
      </c>
      <c r="E89" s="146">
        <v>6</v>
      </c>
      <c r="F89" s="146">
        <v>172</v>
      </c>
      <c r="G89" s="146"/>
      <c r="H89" s="146"/>
      <c r="I89" s="146"/>
      <c r="J89" s="200" t="s">
        <v>4369</v>
      </c>
      <c r="K89" s="679">
        <v>8120000</v>
      </c>
      <c r="L89" s="146">
        <v>2</v>
      </c>
      <c r="M89" s="66" t="s">
        <v>4342</v>
      </c>
      <c r="N89" s="200" t="s">
        <v>5024</v>
      </c>
      <c r="O89" s="66" t="s">
        <v>3974</v>
      </c>
      <c r="P89" s="709">
        <f t="shared" ref="P89:P91" si="4">2132500*E89</f>
        <v>12795000</v>
      </c>
    </row>
    <row r="90" spans="1:16" ht="22.5">
      <c r="A90" s="121" t="s">
        <v>5045</v>
      </c>
      <c r="B90" s="200" t="s">
        <v>4382</v>
      </c>
      <c r="C90" s="200" t="s">
        <v>4372</v>
      </c>
      <c r="D90" s="66" t="s">
        <v>5023</v>
      </c>
      <c r="E90" s="146">
        <v>1</v>
      </c>
      <c r="F90" s="146"/>
      <c r="G90" s="146"/>
      <c r="H90" s="146"/>
      <c r="I90" s="146"/>
      <c r="J90" s="200" t="s">
        <v>387</v>
      </c>
      <c r="K90" s="679">
        <v>960000</v>
      </c>
      <c r="L90" s="146">
        <v>2</v>
      </c>
      <c r="M90" s="66" t="s">
        <v>4342</v>
      </c>
      <c r="N90" s="200" t="s">
        <v>5024</v>
      </c>
      <c r="O90" s="66" t="s">
        <v>3974</v>
      </c>
      <c r="P90" s="709">
        <f t="shared" si="4"/>
        <v>2132500</v>
      </c>
    </row>
    <row r="91" spans="1:16" ht="22.5">
      <c r="A91" s="121" t="s">
        <v>5045</v>
      </c>
      <c r="B91" s="200" t="s">
        <v>2020</v>
      </c>
      <c r="C91" s="200" t="s">
        <v>5053</v>
      </c>
      <c r="D91" s="66" t="s">
        <v>5023</v>
      </c>
      <c r="E91" s="146">
        <v>1</v>
      </c>
      <c r="F91" s="146"/>
      <c r="G91" s="146"/>
      <c r="H91" s="146"/>
      <c r="I91" s="146"/>
      <c r="J91" s="200" t="s">
        <v>387</v>
      </c>
      <c r="K91" s="679">
        <v>840000</v>
      </c>
      <c r="L91" s="146">
        <v>2</v>
      </c>
      <c r="M91" s="66" t="s">
        <v>4342</v>
      </c>
      <c r="N91" s="200" t="s">
        <v>5024</v>
      </c>
      <c r="O91" s="66" t="s">
        <v>3974</v>
      </c>
      <c r="P91" s="709">
        <f t="shared" si="4"/>
        <v>2132500</v>
      </c>
    </row>
    <row r="92" spans="1:16" ht="22.5">
      <c r="A92" s="143" t="s">
        <v>4358</v>
      </c>
      <c r="B92" s="201" t="s">
        <v>2598</v>
      </c>
      <c r="C92" s="201" t="s">
        <v>5054</v>
      </c>
      <c r="D92" s="146" t="s">
        <v>4910</v>
      </c>
      <c r="E92" s="144">
        <v>2</v>
      </c>
      <c r="F92" s="146">
        <v>100</v>
      </c>
      <c r="G92" s="146"/>
      <c r="H92" s="146"/>
      <c r="I92" s="146"/>
      <c r="J92" s="201" t="s">
        <v>5055</v>
      </c>
      <c r="K92" s="679">
        <v>2400000</v>
      </c>
      <c r="L92" s="146">
        <v>2</v>
      </c>
      <c r="M92" s="146" t="s">
        <v>4342</v>
      </c>
      <c r="N92" s="200" t="s">
        <v>5024</v>
      </c>
      <c r="O92" s="146" t="s">
        <v>3974</v>
      </c>
      <c r="P92" s="709"/>
    </row>
    <row r="93" spans="1:16" ht="22.5">
      <c r="A93" s="143" t="s">
        <v>4358</v>
      </c>
      <c r="B93" s="201" t="s">
        <v>2598</v>
      </c>
      <c r="C93" s="201" t="s">
        <v>2598</v>
      </c>
      <c r="D93" s="146" t="s">
        <v>5048</v>
      </c>
      <c r="E93" s="144">
        <v>1</v>
      </c>
      <c r="F93" s="146">
        <v>7</v>
      </c>
      <c r="G93" s="146"/>
      <c r="H93" s="146"/>
      <c r="I93" s="146"/>
      <c r="J93" s="201" t="s">
        <v>5056</v>
      </c>
      <c r="K93" s="679">
        <v>200000</v>
      </c>
      <c r="L93" s="146">
        <v>2</v>
      </c>
      <c r="M93" s="146" t="s">
        <v>4342</v>
      </c>
      <c r="N93" s="200" t="s">
        <v>5024</v>
      </c>
      <c r="O93" s="146" t="s">
        <v>3974</v>
      </c>
      <c r="P93" s="709">
        <v>104000</v>
      </c>
    </row>
    <row r="94" spans="1:16" ht="22.5">
      <c r="A94" s="143" t="s">
        <v>4358</v>
      </c>
      <c r="B94" s="201" t="s">
        <v>2505</v>
      </c>
      <c r="C94" s="201" t="s">
        <v>3246</v>
      </c>
      <c r="D94" s="146" t="s">
        <v>4910</v>
      </c>
      <c r="E94" s="144">
        <v>1</v>
      </c>
      <c r="F94" s="146">
        <v>100</v>
      </c>
      <c r="G94" s="146"/>
      <c r="H94" s="146"/>
      <c r="I94" s="146"/>
      <c r="J94" s="201" t="s">
        <v>5056</v>
      </c>
      <c r="K94" s="679">
        <v>100000</v>
      </c>
      <c r="L94" s="146">
        <v>2</v>
      </c>
      <c r="M94" s="146" t="s">
        <v>4342</v>
      </c>
      <c r="N94" s="200" t="s">
        <v>5024</v>
      </c>
      <c r="O94" s="146" t="s">
        <v>3974</v>
      </c>
      <c r="P94" s="709"/>
    </row>
    <row r="95" spans="1:16" ht="22.5">
      <c r="A95" s="143" t="s">
        <v>4358</v>
      </c>
      <c r="B95" s="201" t="s">
        <v>2595</v>
      </c>
      <c r="C95" s="201" t="s">
        <v>5057</v>
      </c>
      <c r="D95" s="146" t="s">
        <v>5028</v>
      </c>
      <c r="E95" s="144">
        <v>5</v>
      </c>
      <c r="F95" s="146"/>
      <c r="G95" s="146"/>
      <c r="H95" s="146"/>
      <c r="I95" s="146">
        <v>2.5</v>
      </c>
      <c r="J95" s="201" t="s">
        <v>5058</v>
      </c>
      <c r="K95" s="679">
        <v>1850000</v>
      </c>
      <c r="L95" s="146">
        <v>1</v>
      </c>
      <c r="M95" s="146" t="s">
        <v>4342</v>
      </c>
      <c r="N95" s="200" t="s">
        <v>5024</v>
      </c>
      <c r="O95" s="146" t="s">
        <v>3974</v>
      </c>
      <c r="P95" s="709">
        <f t="shared" ref="P95:P98" si="5">1851290*E95</f>
        <v>9256450</v>
      </c>
    </row>
    <row r="96" spans="1:16" ht="22.5">
      <c r="A96" s="143" t="s">
        <v>4358</v>
      </c>
      <c r="B96" s="201" t="s">
        <v>4389</v>
      </c>
      <c r="C96" s="201" t="s">
        <v>5059</v>
      </c>
      <c r="D96" s="146" t="s">
        <v>5028</v>
      </c>
      <c r="E96" s="144">
        <v>3</v>
      </c>
      <c r="F96" s="146"/>
      <c r="G96" s="146"/>
      <c r="H96" s="146"/>
      <c r="I96" s="146">
        <v>2.5</v>
      </c>
      <c r="J96" s="201" t="s">
        <v>5056</v>
      </c>
      <c r="K96" s="679">
        <v>1520000</v>
      </c>
      <c r="L96" s="146">
        <v>1</v>
      </c>
      <c r="M96" s="146" t="s">
        <v>4342</v>
      </c>
      <c r="N96" s="200" t="s">
        <v>5024</v>
      </c>
      <c r="O96" s="146" t="s">
        <v>3974</v>
      </c>
      <c r="P96" s="709">
        <f t="shared" si="5"/>
        <v>5553870</v>
      </c>
    </row>
    <row r="97" spans="1:16" ht="22.5">
      <c r="A97" s="143" t="s">
        <v>4358</v>
      </c>
      <c r="B97" s="201" t="s">
        <v>2598</v>
      </c>
      <c r="C97" s="201" t="s">
        <v>5060</v>
      </c>
      <c r="D97" s="146" t="s">
        <v>5028</v>
      </c>
      <c r="E97" s="144">
        <v>9</v>
      </c>
      <c r="F97" s="146"/>
      <c r="G97" s="146"/>
      <c r="H97" s="146"/>
      <c r="I97" s="146">
        <v>9</v>
      </c>
      <c r="J97" s="201" t="s">
        <v>4377</v>
      </c>
      <c r="K97" s="679">
        <v>11800000</v>
      </c>
      <c r="L97" s="146">
        <v>1</v>
      </c>
      <c r="M97" s="146" t="s">
        <v>4342</v>
      </c>
      <c r="N97" s="200" t="s">
        <v>5024</v>
      </c>
      <c r="O97" s="146" t="s">
        <v>3974</v>
      </c>
      <c r="P97" s="709">
        <f t="shared" si="5"/>
        <v>16661610</v>
      </c>
    </row>
    <row r="98" spans="1:16" ht="22.5">
      <c r="A98" s="143" t="s">
        <v>4358</v>
      </c>
      <c r="B98" s="201" t="s">
        <v>2505</v>
      </c>
      <c r="C98" s="201" t="s">
        <v>5061</v>
      </c>
      <c r="D98" s="146" t="s">
        <v>5028</v>
      </c>
      <c r="E98" s="144">
        <v>3</v>
      </c>
      <c r="F98" s="146"/>
      <c r="G98" s="146"/>
      <c r="H98" s="146"/>
      <c r="I98" s="146">
        <v>2.5</v>
      </c>
      <c r="J98" s="201" t="s">
        <v>387</v>
      </c>
      <c r="K98" s="679">
        <v>1990000</v>
      </c>
      <c r="L98" s="146">
        <v>1</v>
      </c>
      <c r="M98" s="146" t="s">
        <v>4342</v>
      </c>
      <c r="N98" s="200" t="s">
        <v>5024</v>
      </c>
      <c r="O98" s="146" t="s">
        <v>3974</v>
      </c>
      <c r="P98" s="709">
        <f t="shared" si="5"/>
        <v>5553870</v>
      </c>
    </row>
    <row r="99" spans="1:16" ht="22.5">
      <c r="A99" s="143" t="s">
        <v>4358</v>
      </c>
      <c r="B99" s="200" t="s">
        <v>2595</v>
      </c>
      <c r="C99" s="200" t="s">
        <v>5062</v>
      </c>
      <c r="D99" s="66" t="s">
        <v>5023</v>
      </c>
      <c r="E99" s="66">
        <v>5</v>
      </c>
      <c r="F99" s="66">
        <v>74</v>
      </c>
      <c r="G99" s="146"/>
      <c r="H99" s="202"/>
      <c r="I99" s="146"/>
      <c r="J99" s="200" t="s">
        <v>5063</v>
      </c>
      <c r="K99" s="679">
        <v>9265000</v>
      </c>
      <c r="L99" s="66">
        <v>2</v>
      </c>
      <c r="M99" s="146" t="s">
        <v>4342</v>
      </c>
      <c r="N99" s="200" t="s">
        <v>5024</v>
      </c>
      <c r="O99" s="66" t="s">
        <v>3974</v>
      </c>
      <c r="P99" s="709">
        <f t="shared" ref="P99:P103" si="6">2132500*E99</f>
        <v>10662500</v>
      </c>
    </row>
    <row r="100" spans="1:16" ht="22.5">
      <c r="A100" s="143" t="s">
        <v>4358</v>
      </c>
      <c r="B100" s="200" t="s">
        <v>4389</v>
      </c>
      <c r="C100" s="200" t="s">
        <v>5064</v>
      </c>
      <c r="D100" s="66" t="s">
        <v>5023</v>
      </c>
      <c r="E100" s="66">
        <v>5</v>
      </c>
      <c r="F100" s="146">
        <v>15</v>
      </c>
      <c r="G100" s="66">
        <v>18</v>
      </c>
      <c r="H100" s="202"/>
      <c r="I100" s="146"/>
      <c r="J100" s="200" t="s">
        <v>5065</v>
      </c>
      <c r="K100" s="679">
        <v>5896000</v>
      </c>
      <c r="L100" s="66">
        <v>2</v>
      </c>
      <c r="M100" s="146" t="s">
        <v>4342</v>
      </c>
      <c r="N100" s="200" t="s">
        <v>5024</v>
      </c>
      <c r="O100" s="66" t="s">
        <v>3974</v>
      </c>
      <c r="P100" s="709">
        <f t="shared" si="6"/>
        <v>10662500</v>
      </c>
    </row>
    <row r="101" spans="1:16" ht="22.5">
      <c r="A101" s="143" t="s">
        <v>4358</v>
      </c>
      <c r="B101" s="200" t="s">
        <v>2505</v>
      </c>
      <c r="C101" s="200" t="s">
        <v>5066</v>
      </c>
      <c r="D101" s="66" t="s">
        <v>5023</v>
      </c>
      <c r="E101" s="66">
        <v>5</v>
      </c>
      <c r="F101" s="66">
        <v>53</v>
      </c>
      <c r="G101" s="146">
        <v>8</v>
      </c>
      <c r="H101" s="202"/>
      <c r="I101" s="146"/>
      <c r="J101" s="200" t="s">
        <v>5067</v>
      </c>
      <c r="K101" s="679">
        <v>5950000</v>
      </c>
      <c r="L101" s="66">
        <v>2</v>
      </c>
      <c r="M101" s="146" t="s">
        <v>4342</v>
      </c>
      <c r="N101" s="200" t="s">
        <v>5024</v>
      </c>
      <c r="O101" s="66" t="s">
        <v>3974</v>
      </c>
      <c r="P101" s="709">
        <f t="shared" si="6"/>
        <v>10662500</v>
      </c>
    </row>
    <row r="102" spans="1:16" ht="22.5">
      <c r="A102" s="143" t="s">
        <v>4358</v>
      </c>
      <c r="B102" s="200" t="s">
        <v>2598</v>
      </c>
      <c r="C102" s="200" t="s">
        <v>2057</v>
      </c>
      <c r="D102" s="66" t="s">
        <v>5023</v>
      </c>
      <c r="E102" s="66">
        <v>1</v>
      </c>
      <c r="F102" s="66">
        <v>9</v>
      </c>
      <c r="G102" s="146"/>
      <c r="H102" s="202"/>
      <c r="I102" s="146"/>
      <c r="J102" s="200" t="s">
        <v>5068</v>
      </c>
      <c r="K102" s="679">
        <v>60000</v>
      </c>
      <c r="L102" s="66">
        <v>2</v>
      </c>
      <c r="M102" s="66" t="s">
        <v>4342</v>
      </c>
      <c r="N102" s="200" t="s">
        <v>5024</v>
      </c>
      <c r="O102" s="66" t="s">
        <v>3974</v>
      </c>
      <c r="P102" s="709">
        <f t="shared" si="6"/>
        <v>2132500</v>
      </c>
    </row>
    <row r="103" spans="1:16" ht="33.75">
      <c r="A103" s="121" t="s">
        <v>4346</v>
      </c>
      <c r="B103" s="200" t="s">
        <v>4203</v>
      </c>
      <c r="C103" s="200" t="s">
        <v>5069</v>
      </c>
      <c r="D103" s="66" t="s">
        <v>5023</v>
      </c>
      <c r="E103" s="66">
        <v>3</v>
      </c>
      <c r="F103" s="66">
        <v>3</v>
      </c>
      <c r="G103" s="146"/>
      <c r="H103" s="146"/>
      <c r="I103" s="66">
        <v>0.1</v>
      </c>
      <c r="J103" s="200" t="s">
        <v>4371</v>
      </c>
      <c r="K103" s="679">
        <v>2780000</v>
      </c>
      <c r="L103" s="66">
        <v>1</v>
      </c>
      <c r="M103" s="203" t="s">
        <v>4342</v>
      </c>
      <c r="N103" s="200" t="s">
        <v>5024</v>
      </c>
      <c r="O103" s="66" t="s">
        <v>3974</v>
      </c>
      <c r="P103" s="709">
        <f t="shared" si="6"/>
        <v>6397500</v>
      </c>
    </row>
    <row r="104" spans="1:16" ht="33.75">
      <c r="A104" s="143" t="s">
        <v>4346</v>
      </c>
      <c r="B104" s="200" t="s">
        <v>4203</v>
      </c>
      <c r="C104" s="200" t="s">
        <v>5070</v>
      </c>
      <c r="D104" s="146" t="s">
        <v>5028</v>
      </c>
      <c r="E104" s="66">
        <v>1</v>
      </c>
      <c r="F104" s="66">
        <v>1</v>
      </c>
      <c r="G104" s="146"/>
      <c r="H104" s="146"/>
      <c r="I104" s="66">
        <v>2</v>
      </c>
      <c r="J104" s="200" t="s">
        <v>4371</v>
      </c>
      <c r="K104" s="679">
        <v>3500000</v>
      </c>
      <c r="L104" s="66">
        <v>1</v>
      </c>
      <c r="M104" s="203" t="s">
        <v>4342</v>
      </c>
      <c r="N104" s="200" t="s">
        <v>5024</v>
      </c>
      <c r="O104" s="146" t="s">
        <v>3974</v>
      </c>
      <c r="P104" s="709">
        <f t="shared" ref="P104:P106" si="7">1851290*E104</f>
        <v>1851290</v>
      </c>
    </row>
    <row r="105" spans="1:16" ht="33.75">
      <c r="A105" s="143" t="s">
        <v>4346</v>
      </c>
      <c r="B105" s="200" t="s">
        <v>5071</v>
      </c>
      <c r="C105" s="200" t="s">
        <v>5072</v>
      </c>
      <c r="D105" s="146" t="s">
        <v>5028</v>
      </c>
      <c r="E105" s="66">
        <v>10</v>
      </c>
      <c r="F105" s="66">
        <v>36</v>
      </c>
      <c r="G105" s="146"/>
      <c r="H105" s="146"/>
      <c r="I105" s="66">
        <v>62</v>
      </c>
      <c r="J105" s="200" t="s">
        <v>5073</v>
      </c>
      <c r="K105" s="679">
        <v>117350000</v>
      </c>
      <c r="L105" s="66">
        <v>1</v>
      </c>
      <c r="M105" s="203" t="s">
        <v>4342</v>
      </c>
      <c r="N105" s="200" t="s">
        <v>5024</v>
      </c>
      <c r="O105" s="146" t="s">
        <v>3974</v>
      </c>
      <c r="P105" s="709">
        <f t="shared" si="7"/>
        <v>18512900</v>
      </c>
    </row>
    <row r="106" spans="1:16" ht="33.75">
      <c r="A106" s="143" t="s">
        <v>4346</v>
      </c>
      <c r="B106" s="200" t="s">
        <v>4404</v>
      </c>
      <c r="C106" s="200" t="s">
        <v>5074</v>
      </c>
      <c r="D106" s="146" t="s">
        <v>5028</v>
      </c>
      <c r="E106" s="66">
        <v>2</v>
      </c>
      <c r="F106" s="66"/>
      <c r="G106" s="146"/>
      <c r="H106" s="146"/>
      <c r="I106" s="66">
        <v>19.5</v>
      </c>
      <c r="J106" s="200" t="s">
        <v>4271</v>
      </c>
      <c r="K106" s="679">
        <v>2500000</v>
      </c>
      <c r="L106" s="66">
        <v>1</v>
      </c>
      <c r="M106" s="203" t="s">
        <v>4342</v>
      </c>
      <c r="N106" s="200" t="s">
        <v>5024</v>
      </c>
      <c r="O106" s="146" t="s">
        <v>3974</v>
      </c>
      <c r="P106" s="709">
        <f t="shared" si="7"/>
        <v>3702580</v>
      </c>
    </row>
    <row r="107" spans="1:16" ht="33.75">
      <c r="A107" s="121" t="s">
        <v>4346</v>
      </c>
      <c r="B107" s="200" t="s">
        <v>4404</v>
      </c>
      <c r="C107" s="200" t="s">
        <v>5075</v>
      </c>
      <c r="D107" s="66" t="s">
        <v>5023</v>
      </c>
      <c r="E107" s="66">
        <v>6</v>
      </c>
      <c r="F107" s="66">
        <v>38</v>
      </c>
      <c r="G107" s="146"/>
      <c r="H107" s="146"/>
      <c r="I107" s="66"/>
      <c r="J107" s="200" t="s">
        <v>4371</v>
      </c>
      <c r="K107" s="679">
        <v>5650000</v>
      </c>
      <c r="L107" s="66">
        <v>1</v>
      </c>
      <c r="M107" s="203" t="s">
        <v>4342</v>
      </c>
      <c r="N107" s="200" t="s">
        <v>5024</v>
      </c>
      <c r="O107" s="66" t="s">
        <v>3974</v>
      </c>
      <c r="P107" s="709">
        <f>2132500*E107</f>
        <v>12795000</v>
      </c>
    </row>
    <row r="108" spans="1:16" ht="33.75">
      <c r="A108" s="143" t="s">
        <v>4346</v>
      </c>
      <c r="B108" s="200" t="s">
        <v>5076</v>
      </c>
      <c r="C108" s="200" t="s">
        <v>5077</v>
      </c>
      <c r="D108" s="146" t="s">
        <v>5028</v>
      </c>
      <c r="E108" s="66">
        <v>3</v>
      </c>
      <c r="F108" s="66">
        <v>12</v>
      </c>
      <c r="G108" s="146"/>
      <c r="H108" s="146"/>
      <c r="I108" s="66">
        <v>39</v>
      </c>
      <c r="J108" s="200" t="s">
        <v>5078</v>
      </c>
      <c r="K108" s="679">
        <v>3950000</v>
      </c>
      <c r="L108" s="66">
        <v>1</v>
      </c>
      <c r="M108" s="203" t="s">
        <v>4342</v>
      </c>
      <c r="N108" s="200" t="s">
        <v>5024</v>
      </c>
      <c r="O108" s="146" t="s">
        <v>3974</v>
      </c>
      <c r="P108" s="709">
        <f>1851290*E108</f>
        <v>5553870</v>
      </c>
    </row>
    <row r="109" spans="1:16" ht="33.75">
      <c r="A109" s="121" t="s">
        <v>4346</v>
      </c>
      <c r="B109" s="200" t="s">
        <v>3366</v>
      </c>
      <c r="C109" s="200" t="s">
        <v>5079</v>
      </c>
      <c r="D109" s="66" t="s">
        <v>5023</v>
      </c>
      <c r="E109" s="66">
        <v>5</v>
      </c>
      <c r="F109" s="66">
        <v>40</v>
      </c>
      <c r="G109" s="146"/>
      <c r="H109" s="146"/>
      <c r="I109" s="66">
        <v>1</v>
      </c>
      <c r="J109" s="200" t="s">
        <v>4290</v>
      </c>
      <c r="K109" s="679">
        <v>8520000</v>
      </c>
      <c r="L109" s="66">
        <v>1</v>
      </c>
      <c r="M109" s="203" t="s">
        <v>4342</v>
      </c>
      <c r="N109" s="200" t="s">
        <v>5024</v>
      </c>
      <c r="O109" s="66" t="s">
        <v>3974</v>
      </c>
      <c r="P109" s="709">
        <f>2132500*E109</f>
        <v>10662500</v>
      </c>
    </row>
    <row r="110" spans="1:16" ht="33.75">
      <c r="A110" s="143" t="s">
        <v>4346</v>
      </c>
      <c r="B110" s="200" t="s">
        <v>3366</v>
      </c>
      <c r="C110" s="200" t="s">
        <v>5080</v>
      </c>
      <c r="D110" s="146" t="s">
        <v>5028</v>
      </c>
      <c r="E110" s="66">
        <v>2</v>
      </c>
      <c r="F110" s="66">
        <v>2</v>
      </c>
      <c r="G110" s="146"/>
      <c r="H110" s="146"/>
      <c r="I110" s="66">
        <v>7</v>
      </c>
      <c r="J110" s="200" t="s">
        <v>4290</v>
      </c>
      <c r="K110" s="679">
        <v>3325000</v>
      </c>
      <c r="L110" s="66">
        <v>1</v>
      </c>
      <c r="M110" s="203" t="s">
        <v>4342</v>
      </c>
      <c r="N110" s="200" t="s">
        <v>5024</v>
      </c>
      <c r="O110" s="146" t="s">
        <v>3974</v>
      </c>
      <c r="P110" s="709">
        <f t="shared" ref="P110:P111" si="8">1851290*E110</f>
        <v>3702580</v>
      </c>
    </row>
    <row r="111" spans="1:16" ht="33.75">
      <c r="A111" s="143" t="s">
        <v>4346</v>
      </c>
      <c r="B111" s="200" t="s">
        <v>4407</v>
      </c>
      <c r="C111" s="200" t="s">
        <v>5081</v>
      </c>
      <c r="D111" s="146" t="s">
        <v>5028</v>
      </c>
      <c r="E111" s="66">
        <v>1</v>
      </c>
      <c r="F111" s="66">
        <v>1</v>
      </c>
      <c r="G111" s="146"/>
      <c r="H111" s="146"/>
      <c r="I111" s="66"/>
      <c r="J111" s="200" t="s">
        <v>387</v>
      </c>
      <c r="K111" s="679">
        <v>500000</v>
      </c>
      <c r="L111" s="66">
        <v>1</v>
      </c>
      <c r="M111" s="203" t="s">
        <v>4342</v>
      </c>
      <c r="N111" s="200" t="s">
        <v>5024</v>
      </c>
      <c r="O111" s="146" t="s">
        <v>3974</v>
      </c>
      <c r="P111" s="709">
        <f t="shared" si="8"/>
        <v>1851290</v>
      </c>
    </row>
    <row r="112" spans="1:16" ht="33.75">
      <c r="A112" s="121" t="s">
        <v>4346</v>
      </c>
      <c r="B112" s="200" t="s">
        <v>5082</v>
      </c>
      <c r="C112" s="200" t="s">
        <v>2390</v>
      </c>
      <c r="D112" s="66" t="s">
        <v>5023</v>
      </c>
      <c r="E112" s="66">
        <v>3</v>
      </c>
      <c r="F112" s="66">
        <v>9</v>
      </c>
      <c r="G112" s="146"/>
      <c r="H112" s="146"/>
      <c r="I112" s="66">
        <v>1</v>
      </c>
      <c r="J112" s="200" t="s">
        <v>4371</v>
      </c>
      <c r="K112" s="679">
        <v>2280000</v>
      </c>
      <c r="L112" s="66">
        <v>1</v>
      </c>
      <c r="M112" s="203" t="s">
        <v>4342</v>
      </c>
      <c r="N112" s="200" t="s">
        <v>5024</v>
      </c>
      <c r="O112" s="66" t="s">
        <v>3974</v>
      </c>
      <c r="P112" s="709">
        <f>2132500*E112</f>
        <v>6397500</v>
      </c>
    </row>
    <row r="113" spans="1:16">
      <c r="A113" s="121" t="s">
        <v>4383</v>
      </c>
      <c r="B113" s="200" t="s">
        <v>2505</v>
      </c>
      <c r="C113" s="200" t="s">
        <v>5083</v>
      </c>
      <c r="D113" s="146" t="s">
        <v>5043</v>
      </c>
      <c r="E113" s="66">
        <v>2</v>
      </c>
      <c r="F113" s="66"/>
      <c r="G113" s="66"/>
      <c r="H113" s="66"/>
      <c r="I113" s="202"/>
      <c r="J113" s="200" t="s">
        <v>387</v>
      </c>
      <c r="K113" s="679">
        <v>6000000</v>
      </c>
      <c r="L113" s="66">
        <v>2</v>
      </c>
      <c r="M113" s="66" t="s">
        <v>4345</v>
      </c>
      <c r="N113" s="200" t="s">
        <v>5024</v>
      </c>
      <c r="O113" s="66" t="s">
        <v>4385</v>
      </c>
      <c r="P113" s="709">
        <f>300000*E113</f>
        <v>600000</v>
      </c>
    </row>
    <row r="114" spans="1:16" ht="15">
      <c r="A114" s="206" t="s">
        <v>304</v>
      </c>
      <c r="B114" s="690"/>
      <c r="C114" s="690"/>
      <c r="D114" s="691" t="s">
        <v>5084</v>
      </c>
      <c r="E114" s="207">
        <v>31</v>
      </c>
      <c r="F114" s="207">
        <v>1563</v>
      </c>
      <c r="G114" s="691"/>
      <c r="H114" s="691"/>
      <c r="I114" s="691">
        <v>1455</v>
      </c>
      <c r="J114" s="210" t="s">
        <v>3756</v>
      </c>
      <c r="K114" s="679">
        <v>17460000</v>
      </c>
      <c r="L114" s="207" t="s">
        <v>18</v>
      </c>
      <c r="M114" s="207">
        <v>1</v>
      </c>
      <c r="N114" s="208" t="s">
        <v>5085</v>
      </c>
      <c r="O114" s="207" t="s">
        <v>4460</v>
      </c>
      <c r="P114" s="709">
        <v>5400000</v>
      </c>
    </row>
    <row r="115" spans="1:16" ht="24">
      <c r="A115" s="234" t="s">
        <v>4521</v>
      </c>
      <c r="B115" s="204" t="s">
        <v>5086</v>
      </c>
      <c r="C115" s="204" t="s">
        <v>5087</v>
      </c>
      <c r="D115" s="691" t="s">
        <v>5084</v>
      </c>
      <c r="E115" s="197">
        <v>8</v>
      </c>
      <c r="F115" s="209" t="s">
        <v>4846</v>
      </c>
      <c r="G115" s="691" t="s">
        <v>5088</v>
      </c>
      <c r="H115" s="197"/>
      <c r="I115" s="691">
        <v>111</v>
      </c>
      <c r="J115" s="210" t="s">
        <v>4424</v>
      </c>
      <c r="K115" s="679">
        <v>109700000</v>
      </c>
      <c r="L115" s="207" t="s">
        <v>30</v>
      </c>
      <c r="M115" s="207">
        <v>1</v>
      </c>
      <c r="N115" s="210" t="s">
        <v>5089</v>
      </c>
      <c r="O115" s="207" t="s">
        <v>3974</v>
      </c>
      <c r="P115" s="709">
        <v>14500000</v>
      </c>
    </row>
    <row r="116" spans="1:16" ht="24">
      <c r="A116" s="234" t="s">
        <v>4521</v>
      </c>
      <c r="B116" s="205" t="s">
        <v>5090</v>
      </c>
      <c r="C116" s="205" t="s">
        <v>5090</v>
      </c>
      <c r="D116" s="691"/>
      <c r="E116" s="197">
        <v>5</v>
      </c>
      <c r="F116" s="209"/>
      <c r="G116" s="691" t="s">
        <v>5091</v>
      </c>
      <c r="H116" s="197"/>
      <c r="I116" s="691">
        <v>80</v>
      </c>
      <c r="J116" s="210"/>
      <c r="K116" s="679">
        <v>57150000</v>
      </c>
      <c r="L116" s="211" t="s">
        <v>30</v>
      </c>
      <c r="M116" s="207"/>
      <c r="N116" s="210" t="s">
        <v>5092</v>
      </c>
      <c r="O116" s="207"/>
      <c r="P116" s="709">
        <v>8100000</v>
      </c>
    </row>
    <row r="117" spans="1:16" ht="14.25" customHeight="1">
      <c r="A117" s="234" t="s">
        <v>4521</v>
      </c>
      <c r="B117" s="204" t="s">
        <v>4123</v>
      </c>
      <c r="C117" s="204" t="s">
        <v>4123</v>
      </c>
      <c r="D117" s="691"/>
      <c r="E117" s="197">
        <v>3</v>
      </c>
      <c r="F117" s="209"/>
      <c r="G117" s="691" t="s">
        <v>5093</v>
      </c>
      <c r="H117" s="197"/>
      <c r="I117" s="691">
        <v>40</v>
      </c>
      <c r="J117" s="210"/>
      <c r="K117" s="679">
        <v>32625000</v>
      </c>
      <c r="L117" s="211" t="s">
        <v>30</v>
      </c>
      <c r="M117" s="207"/>
      <c r="N117" s="210" t="s">
        <v>5092</v>
      </c>
      <c r="O117" s="207"/>
      <c r="P117" s="709">
        <v>4100000</v>
      </c>
    </row>
    <row r="118" spans="1:16" ht="24">
      <c r="A118" s="234" t="s">
        <v>4521</v>
      </c>
      <c r="B118" s="204" t="s">
        <v>58</v>
      </c>
      <c r="C118" s="204" t="s">
        <v>58</v>
      </c>
      <c r="D118" s="691"/>
      <c r="E118" s="197">
        <v>39</v>
      </c>
      <c r="F118" s="209"/>
      <c r="G118" s="691" t="s">
        <v>5094</v>
      </c>
      <c r="H118" s="197"/>
      <c r="I118" s="691">
        <v>190</v>
      </c>
      <c r="J118" s="210"/>
      <c r="K118" s="679">
        <v>203875000</v>
      </c>
      <c r="L118" s="211" t="s">
        <v>30</v>
      </c>
      <c r="M118" s="207"/>
      <c r="N118" s="210" t="s">
        <v>5092</v>
      </c>
      <c r="O118" s="207"/>
      <c r="P118" s="709">
        <v>22000000</v>
      </c>
    </row>
    <row r="119" spans="1:16" ht="38.25">
      <c r="A119" s="206" t="s">
        <v>130</v>
      </c>
      <c r="B119" s="204" t="s">
        <v>130</v>
      </c>
      <c r="C119" s="692" t="s">
        <v>4441</v>
      </c>
      <c r="D119" s="691" t="s">
        <v>5084</v>
      </c>
      <c r="E119" s="207">
        <v>12</v>
      </c>
      <c r="F119" s="207"/>
      <c r="G119" s="207"/>
      <c r="H119" s="207"/>
      <c r="I119" s="207">
        <v>21</v>
      </c>
      <c r="J119" s="208" t="s">
        <v>5095</v>
      </c>
      <c r="K119" s="679">
        <v>5250000</v>
      </c>
      <c r="L119" s="207" t="s">
        <v>18</v>
      </c>
      <c r="M119" s="207"/>
      <c r="N119" s="208" t="s">
        <v>5096</v>
      </c>
      <c r="O119" s="207" t="s">
        <v>4460</v>
      </c>
      <c r="P119" s="709">
        <v>1600000</v>
      </c>
    </row>
    <row r="120" spans="1:16" ht="14.1" customHeight="1">
      <c r="A120" s="234" t="s">
        <v>82</v>
      </c>
      <c r="B120" s="204" t="s">
        <v>3452</v>
      </c>
      <c r="C120" s="204" t="s">
        <v>3452</v>
      </c>
      <c r="D120" s="691" t="s">
        <v>5084</v>
      </c>
      <c r="E120" s="207">
        <v>8</v>
      </c>
      <c r="F120" s="207">
        <v>116</v>
      </c>
      <c r="G120" s="207"/>
      <c r="H120" s="207"/>
      <c r="I120" s="207">
        <v>78</v>
      </c>
      <c r="J120" s="208" t="s">
        <v>4045</v>
      </c>
      <c r="K120" s="679">
        <v>5850000</v>
      </c>
      <c r="L120" s="207" t="s">
        <v>30</v>
      </c>
      <c r="M120" s="207">
        <v>1</v>
      </c>
      <c r="N120" s="208" t="s">
        <v>5097</v>
      </c>
      <c r="O120" s="207" t="s">
        <v>5098</v>
      </c>
      <c r="P120" s="709">
        <v>6000000</v>
      </c>
    </row>
    <row r="121" spans="1:16" ht="14.25" customHeight="1">
      <c r="A121" s="234" t="s">
        <v>82</v>
      </c>
      <c r="B121" s="204" t="s">
        <v>4452</v>
      </c>
      <c r="C121" s="204" t="s">
        <v>4452</v>
      </c>
      <c r="D121" s="691"/>
      <c r="E121" s="209">
        <v>1</v>
      </c>
      <c r="F121" s="209">
        <v>0</v>
      </c>
      <c r="G121" s="207"/>
      <c r="H121" s="207"/>
      <c r="I121" s="207">
        <v>143</v>
      </c>
      <c r="J121" s="208"/>
      <c r="K121" s="679">
        <v>10725000</v>
      </c>
      <c r="L121" s="207"/>
      <c r="M121" s="207"/>
      <c r="N121" s="208"/>
      <c r="O121" s="207"/>
      <c r="P121" s="709">
        <v>10800000</v>
      </c>
    </row>
    <row r="122" spans="1:16" ht="14.25" customHeight="1">
      <c r="A122" s="234" t="s">
        <v>82</v>
      </c>
      <c r="B122" s="204"/>
      <c r="C122" s="204" t="s">
        <v>5099</v>
      </c>
      <c r="D122" s="691"/>
      <c r="E122" s="209">
        <v>22</v>
      </c>
      <c r="F122" s="209">
        <v>770</v>
      </c>
      <c r="G122" s="207"/>
      <c r="H122" s="207"/>
      <c r="I122" s="207">
        <v>661</v>
      </c>
      <c r="J122" s="208"/>
      <c r="K122" s="679">
        <v>49575000</v>
      </c>
      <c r="L122" s="207"/>
      <c r="M122" s="207"/>
      <c r="N122" s="208"/>
      <c r="O122" s="207"/>
      <c r="P122" s="709">
        <v>49600000</v>
      </c>
    </row>
    <row r="123" spans="1:16" ht="14.25" customHeight="1">
      <c r="A123" s="234" t="s">
        <v>82</v>
      </c>
      <c r="B123" s="204" t="s">
        <v>82</v>
      </c>
      <c r="C123" s="204" t="s">
        <v>82</v>
      </c>
      <c r="D123" s="691"/>
      <c r="E123" s="209">
        <v>1</v>
      </c>
      <c r="F123" s="209">
        <v>5</v>
      </c>
      <c r="G123" s="207"/>
      <c r="H123" s="207"/>
      <c r="I123" s="207">
        <v>2</v>
      </c>
      <c r="J123" s="208"/>
      <c r="K123" s="679">
        <v>50000</v>
      </c>
      <c r="L123" s="207"/>
      <c r="M123" s="207"/>
      <c r="N123" s="208"/>
      <c r="O123" s="207"/>
      <c r="P123" s="709">
        <v>150000</v>
      </c>
    </row>
    <row r="124" spans="1:16" ht="14.25" customHeight="1">
      <c r="A124" s="234" t="s">
        <v>82</v>
      </c>
      <c r="B124" s="204" t="s">
        <v>4452</v>
      </c>
      <c r="C124" s="204" t="s">
        <v>1839</v>
      </c>
      <c r="D124" s="691"/>
      <c r="E124" s="209">
        <v>12</v>
      </c>
      <c r="F124" s="209">
        <v>122</v>
      </c>
      <c r="G124" s="207"/>
      <c r="H124" s="207"/>
      <c r="I124" s="207">
        <v>311</v>
      </c>
      <c r="J124" s="208"/>
      <c r="K124" s="679">
        <v>25637400</v>
      </c>
      <c r="L124" s="207"/>
      <c r="M124" s="207"/>
      <c r="N124" s="208"/>
      <c r="O124" s="207"/>
      <c r="P124" s="709">
        <v>23400000</v>
      </c>
    </row>
    <row r="125" spans="1:16" ht="25.5">
      <c r="A125" s="206" t="s">
        <v>4526</v>
      </c>
      <c r="B125" s="204" t="s">
        <v>5100</v>
      </c>
      <c r="C125" s="693" t="s">
        <v>5101</v>
      </c>
      <c r="D125" s="691" t="s">
        <v>5084</v>
      </c>
      <c r="E125" s="207">
        <v>12</v>
      </c>
      <c r="F125" s="207"/>
      <c r="G125" s="207"/>
      <c r="H125" s="207"/>
      <c r="I125" s="207">
        <v>21</v>
      </c>
      <c r="J125" s="208" t="s">
        <v>5102</v>
      </c>
      <c r="K125" s="679">
        <v>5250000</v>
      </c>
      <c r="L125" s="211" t="s">
        <v>31</v>
      </c>
      <c r="M125" s="207"/>
      <c r="N125" s="208" t="s">
        <v>5085</v>
      </c>
      <c r="O125" s="207" t="s">
        <v>4460</v>
      </c>
      <c r="P125" s="709">
        <v>1600000</v>
      </c>
    </row>
    <row r="126" spans="1:16" ht="14.1" customHeight="1">
      <c r="A126" s="234" t="s">
        <v>1262</v>
      </c>
      <c r="B126" s="204" t="s">
        <v>1262</v>
      </c>
      <c r="C126" s="204" t="s">
        <v>5103</v>
      </c>
      <c r="D126" s="691" t="s">
        <v>5084</v>
      </c>
      <c r="E126" s="209">
        <v>5</v>
      </c>
      <c r="F126" s="209">
        <v>2</v>
      </c>
      <c r="G126" s="209"/>
      <c r="H126" s="209"/>
      <c r="I126" s="207">
        <v>26</v>
      </c>
      <c r="J126" s="204" t="s">
        <v>5104</v>
      </c>
      <c r="K126" s="679">
        <v>1000000</v>
      </c>
      <c r="L126" s="207" t="s">
        <v>18</v>
      </c>
      <c r="M126" s="212">
        <v>1</v>
      </c>
      <c r="N126" s="208" t="s">
        <v>5085</v>
      </c>
      <c r="O126" s="207" t="s">
        <v>4460</v>
      </c>
      <c r="P126" s="709">
        <v>2000000</v>
      </c>
    </row>
    <row r="127" spans="1:16" ht="14.25" customHeight="1">
      <c r="A127" s="234" t="s">
        <v>1262</v>
      </c>
      <c r="B127" s="204" t="s">
        <v>4484</v>
      </c>
      <c r="C127" s="204" t="s">
        <v>5105</v>
      </c>
      <c r="D127" s="691"/>
      <c r="E127" s="209">
        <v>2</v>
      </c>
      <c r="F127" s="209"/>
      <c r="G127" s="209"/>
      <c r="H127" s="209"/>
      <c r="I127" s="207">
        <v>8</v>
      </c>
      <c r="J127" s="204"/>
      <c r="K127" s="679">
        <v>700000</v>
      </c>
      <c r="L127" s="207"/>
      <c r="M127" s="212"/>
      <c r="N127" s="208"/>
      <c r="O127" s="207"/>
      <c r="P127" s="709">
        <v>600000</v>
      </c>
    </row>
    <row r="128" spans="1:16" ht="14.25" customHeight="1">
      <c r="A128" s="234" t="s">
        <v>1262</v>
      </c>
      <c r="B128" s="204" t="s">
        <v>1075</v>
      </c>
      <c r="C128" s="204" t="s">
        <v>5106</v>
      </c>
      <c r="D128" s="691"/>
      <c r="E128" s="209">
        <v>4</v>
      </c>
      <c r="F128" s="209">
        <v>9</v>
      </c>
      <c r="G128" s="209"/>
      <c r="H128" s="209"/>
      <c r="I128" s="207">
        <v>18</v>
      </c>
      <c r="J128" s="204"/>
      <c r="K128" s="679">
        <v>2000000</v>
      </c>
      <c r="L128" s="207"/>
      <c r="M128" s="212"/>
      <c r="N128" s="208"/>
      <c r="O128" s="207"/>
      <c r="P128" s="709">
        <v>1400000</v>
      </c>
    </row>
    <row r="129" spans="1:16" ht="14.25" customHeight="1">
      <c r="A129" s="234" t="s">
        <v>1262</v>
      </c>
      <c r="B129" s="204" t="s">
        <v>5107</v>
      </c>
      <c r="C129" s="204" t="s">
        <v>5108</v>
      </c>
      <c r="D129" s="691"/>
      <c r="E129" s="209">
        <v>3</v>
      </c>
      <c r="F129" s="209">
        <v>2</v>
      </c>
      <c r="G129" s="209"/>
      <c r="H129" s="209"/>
      <c r="I129" s="207">
        <v>20</v>
      </c>
      <c r="J129" s="204"/>
      <c r="K129" s="679">
        <v>900000</v>
      </c>
      <c r="L129" s="207"/>
      <c r="M129" s="212"/>
      <c r="N129" s="208"/>
      <c r="O129" s="207"/>
      <c r="P129" s="709">
        <v>1500000</v>
      </c>
    </row>
    <row r="130" spans="1:16" ht="25.5">
      <c r="A130" s="234" t="s">
        <v>867</v>
      </c>
      <c r="B130" s="204" t="s">
        <v>5109</v>
      </c>
      <c r="C130" s="204" t="s">
        <v>2501</v>
      </c>
      <c r="D130" s="691" t="s">
        <v>5084</v>
      </c>
      <c r="E130" s="209">
        <v>1</v>
      </c>
      <c r="F130" s="209"/>
      <c r="G130" s="209"/>
      <c r="H130" s="209"/>
      <c r="I130" s="209">
        <v>2</v>
      </c>
      <c r="J130" s="208" t="s">
        <v>5110</v>
      </c>
      <c r="K130" s="679">
        <v>500000</v>
      </c>
      <c r="L130" s="207" t="s">
        <v>125</v>
      </c>
      <c r="M130" s="207">
        <v>1</v>
      </c>
      <c r="N130" s="208" t="s">
        <v>5085</v>
      </c>
      <c r="O130" s="207" t="s">
        <v>4460</v>
      </c>
      <c r="P130" s="709">
        <v>150000</v>
      </c>
    </row>
    <row r="131" spans="1:16" ht="28.5">
      <c r="A131" s="234" t="s">
        <v>867</v>
      </c>
      <c r="B131" s="204" t="s">
        <v>3666</v>
      </c>
      <c r="C131" s="204" t="s">
        <v>5111</v>
      </c>
      <c r="D131" s="691" t="s">
        <v>5084</v>
      </c>
      <c r="E131" s="691">
        <v>11</v>
      </c>
      <c r="F131" s="209"/>
      <c r="G131" s="211" t="s">
        <v>5112</v>
      </c>
      <c r="H131" s="209"/>
      <c r="I131" s="209"/>
      <c r="J131" s="694" t="s">
        <v>5113</v>
      </c>
      <c r="K131" s="679">
        <v>2091000</v>
      </c>
      <c r="L131" s="207" t="s">
        <v>125</v>
      </c>
      <c r="M131" s="207"/>
      <c r="N131" s="208"/>
      <c r="O131" s="207"/>
      <c r="P131" s="709">
        <v>600000</v>
      </c>
    </row>
    <row r="132" spans="1:16" ht="15">
      <c r="A132" s="206" t="s">
        <v>5114</v>
      </c>
      <c r="B132" s="204" t="s">
        <v>5115</v>
      </c>
      <c r="C132" s="204" t="s">
        <v>5116</v>
      </c>
      <c r="D132" s="691" t="s">
        <v>5084</v>
      </c>
      <c r="E132" s="691">
        <v>21</v>
      </c>
      <c r="F132" s="21"/>
      <c r="G132" s="21"/>
      <c r="H132" s="21"/>
      <c r="I132" s="695">
        <v>209.5</v>
      </c>
      <c r="J132" s="205" t="s">
        <v>4446</v>
      </c>
      <c r="K132" s="679">
        <v>16220000</v>
      </c>
      <c r="L132" s="209" t="s">
        <v>30</v>
      </c>
      <c r="M132" s="21">
        <v>1</v>
      </c>
      <c r="N132" s="208" t="s">
        <v>4565</v>
      </c>
      <c r="O132" s="207">
        <v>1</v>
      </c>
      <c r="P132" s="709">
        <v>10000000</v>
      </c>
    </row>
    <row r="133" spans="1:16" ht="14.1" customHeight="1">
      <c r="A133" s="234" t="s">
        <v>1262</v>
      </c>
      <c r="B133" s="204" t="s">
        <v>1262</v>
      </c>
      <c r="C133" s="204" t="s">
        <v>5117</v>
      </c>
      <c r="D133" s="691" t="s">
        <v>5118</v>
      </c>
      <c r="E133" s="209">
        <v>2</v>
      </c>
      <c r="F133" s="209"/>
      <c r="G133" s="209"/>
      <c r="H133" s="209"/>
      <c r="I133" s="207">
        <v>15.5</v>
      </c>
      <c r="J133" s="213" t="s">
        <v>5119</v>
      </c>
      <c r="K133" s="679">
        <v>300000</v>
      </c>
      <c r="L133" s="207" t="s">
        <v>18</v>
      </c>
      <c r="M133" s="212">
        <v>1</v>
      </c>
      <c r="N133" s="208" t="s">
        <v>4524</v>
      </c>
      <c r="O133" s="207" t="s">
        <v>4460</v>
      </c>
      <c r="P133" s="709">
        <v>300000</v>
      </c>
    </row>
    <row r="134" spans="1:16" ht="14.25" customHeight="1">
      <c r="A134" s="234" t="s">
        <v>1262</v>
      </c>
      <c r="B134" s="204" t="s">
        <v>1043</v>
      </c>
      <c r="C134" s="204" t="s">
        <v>1041</v>
      </c>
      <c r="D134" s="691" t="s">
        <v>5120</v>
      </c>
      <c r="E134" s="209">
        <v>1</v>
      </c>
      <c r="F134" s="209"/>
      <c r="G134" s="209"/>
      <c r="H134" s="209"/>
      <c r="I134" s="207">
        <v>14</v>
      </c>
      <c r="J134" s="213"/>
      <c r="K134" s="679">
        <v>5000000</v>
      </c>
      <c r="L134" s="207"/>
      <c r="M134" s="212"/>
      <c r="N134" s="208"/>
      <c r="O134" s="207"/>
      <c r="P134" s="709">
        <v>1000000</v>
      </c>
    </row>
    <row r="135" spans="1:16" ht="15">
      <c r="A135" s="206" t="s">
        <v>4411</v>
      </c>
      <c r="B135" s="204" t="s">
        <v>380</v>
      </c>
      <c r="C135" s="204" t="s">
        <v>1662</v>
      </c>
      <c r="D135" s="691" t="s">
        <v>5121</v>
      </c>
      <c r="E135" s="207">
        <v>1</v>
      </c>
      <c r="F135" s="207"/>
      <c r="G135" s="696"/>
      <c r="H135" s="207"/>
      <c r="I135" s="207">
        <v>40</v>
      </c>
      <c r="J135" s="208" t="s">
        <v>4271</v>
      </c>
      <c r="K135" s="679">
        <v>18000000</v>
      </c>
      <c r="L135" s="207" t="s">
        <v>30</v>
      </c>
      <c r="M135" s="207"/>
      <c r="N135" s="208" t="s">
        <v>4524</v>
      </c>
      <c r="O135" s="207" t="s">
        <v>3974</v>
      </c>
      <c r="P135" s="709">
        <v>2600000</v>
      </c>
    </row>
    <row r="136" spans="1:16" ht="15">
      <c r="A136" s="206" t="s">
        <v>4526</v>
      </c>
      <c r="B136" s="204" t="s">
        <v>4527</v>
      </c>
      <c r="C136" s="204" t="s">
        <v>5122</v>
      </c>
      <c r="D136" s="691" t="s">
        <v>5121</v>
      </c>
      <c r="E136" s="207">
        <v>1</v>
      </c>
      <c r="F136" s="207"/>
      <c r="G136" s="207"/>
      <c r="H136" s="207"/>
      <c r="I136" s="207">
        <v>20</v>
      </c>
      <c r="J136" s="208" t="s">
        <v>4045</v>
      </c>
      <c r="K136" s="679">
        <v>9000000</v>
      </c>
      <c r="L136" s="211" t="s">
        <v>31</v>
      </c>
      <c r="M136" s="207"/>
      <c r="N136" s="208" t="s">
        <v>4524</v>
      </c>
      <c r="O136" s="207" t="s">
        <v>3974</v>
      </c>
      <c r="P136" s="709">
        <v>1300000</v>
      </c>
    </row>
    <row r="137" spans="1:16" ht="14.25" customHeight="1">
      <c r="A137" s="234" t="s">
        <v>4521</v>
      </c>
      <c r="B137" s="204" t="s">
        <v>4431</v>
      </c>
      <c r="C137" s="204" t="s">
        <v>4431</v>
      </c>
      <c r="D137" s="691" t="s">
        <v>5121</v>
      </c>
      <c r="E137" s="209">
        <v>3</v>
      </c>
      <c r="F137" s="209"/>
      <c r="G137" s="209"/>
      <c r="H137" s="207"/>
      <c r="I137" s="207">
        <v>90</v>
      </c>
      <c r="J137" s="208" t="s">
        <v>4424</v>
      </c>
      <c r="K137" s="679">
        <v>54000000</v>
      </c>
      <c r="L137" s="207" t="s">
        <v>30</v>
      </c>
      <c r="M137" s="207">
        <v>1</v>
      </c>
      <c r="N137" s="208" t="s">
        <v>4524</v>
      </c>
      <c r="O137" s="207" t="s">
        <v>4460</v>
      </c>
      <c r="P137" s="709">
        <v>5800000</v>
      </c>
    </row>
    <row r="138" spans="1:16" ht="15">
      <c r="A138" s="234" t="s">
        <v>4521</v>
      </c>
      <c r="B138" s="204" t="s">
        <v>4425</v>
      </c>
      <c r="C138" s="204" t="s">
        <v>4425</v>
      </c>
      <c r="D138" s="691" t="s">
        <v>5121</v>
      </c>
      <c r="E138" s="197">
        <v>1</v>
      </c>
      <c r="F138" s="197"/>
      <c r="G138" s="214"/>
      <c r="H138" s="197"/>
      <c r="I138" s="211">
        <v>60</v>
      </c>
      <c r="J138" s="208" t="s">
        <v>4424</v>
      </c>
      <c r="K138" s="679">
        <v>3000000</v>
      </c>
      <c r="L138" s="211" t="s">
        <v>30</v>
      </c>
      <c r="M138" s="211">
        <v>1</v>
      </c>
      <c r="N138" s="208"/>
      <c r="O138" s="207"/>
      <c r="P138" s="709">
        <v>3800000</v>
      </c>
    </row>
    <row r="139" spans="1:16" ht="15">
      <c r="A139" s="234" t="s">
        <v>4521</v>
      </c>
      <c r="B139" s="204" t="s">
        <v>4123</v>
      </c>
      <c r="C139" s="204" t="s">
        <v>4123</v>
      </c>
      <c r="D139" s="691" t="s">
        <v>5121</v>
      </c>
      <c r="E139" s="197">
        <v>2</v>
      </c>
      <c r="F139" s="197"/>
      <c r="G139" s="214"/>
      <c r="H139" s="197"/>
      <c r="I139" s="211">
        <v>20</v>
      </c>
      <c r="J139" s="208" t="s">
        <v>4424</v>
      </c>
      <c r="K139" s="679">
        <v>15000000</v>
      </c>
      <c r="L139" s="211" t="s">
        <v>30</v>
      </c>
      <c r="M139" s="211">
        <v>1</v>
      </c>
      <c r="N139" s="208"/>
      <c r="O139" s="207"/>
      <c r="P139" s="709">
        <v>1300000</v>
      </c>
    </row>
    <row r="140" spans="1:16" ht="15">
      <c r="A140" s="234" t="s">
        <v>4521</v>
      </c>
      <c r="B140" s="204" t="s">
        <v>58</v>
      </c>
      <c r="C140" s="204" t="s">
        <v>58</v>
      </c>
      <c r="D140" s="691" t="s">
        <v>5121</v>
      </c>
      <c r="E140" s="197">
        <v>3</v>
      </c>
      <c r="F140" s="197"/>
      <c r="G140" s="214"/>
      <c r="H140" s="211"/>
      <c r="I140" s="211">
        <v>90</v>
      </c>
      <c r="J140" s="208" t="s">
        <v>4424</v>
      </c>
      <c r="K140" s="679">
        <v>54000000</v>
      </c>
      <c r="L140" s="211" t="s">
        <v>30</v>
      </c>
      <c r="M140" s="211">
        <v>1</v>
      </c>
      <c r="N140" s="208"/>
      <c r="O140" s="207"/>
      <c r="P140" s="709">
        <v>5800000</v>
      </c>
    </row>
    <row r="141" spans="1:16" ht="14.25" customHeight="1">
      <c r="A141" s="234" t="s">
        <v>4469</v>
      </c>
      <c r="B141" s="204" t="s">
        <v>5123</v>
      </c>
      <c r="C141" s="204" t="s">
        <v>5124</v>
      </c>
      <c r="D141" s="691" t="s">
        <v>5118</v>
      </c>
      <c r="E141" s="197">
        <v>6</v>
      </c>
      <c r="F141" s="197"/>
      <c r="G141" s="207">
        <v>270</v>
      </c>
      <c r="H141" s="207"/>
      <c r="I141" s="207">
        <v>6</v>
      </c>
      <c r="J141" s="208" t="s">
        <v>4424</v>
      </c>
      <c r="K141" s="679">
        <v>56400000</v>
      </c>
      <c r="L141" s="211" t="s">
        <v>30</v>
      </c>
      <c r="M141" s="211">
        <v>1</v>
      </c>
      <c r="N141" s="208" t="s">
        <v>4524</v>
      </c>
      <c r="O141" s="207" t="s">
        <v>4460</v>
      </c>
      <c r="P141" s="709">
        <v>400000</v>
      </c>
    </row>
    <row r="142" spans="1:16" ht="14.25" customHeight="1">
      <c r="A142" s="234" t="s">
        <v>4469</v>
      </c>
      <c r="B142" s="204" t="s">
        <v>1601</v>
      </c>
      <c r="C142" s="204" t="s">
        <v>5125</v>
      </c>
      <c r="D142" s="691" t="s">
        <v>5118</v>
      </c>
      <c r="E142" s="197">
        <v>5</v>
      </c>
      <c r="F142" s="197"/>
      <c r="G142" s="207">
        <v>75</v>
      </c>
      <c r="H142" s="207"/>
      <c r="I142" s="207">
        <v>6.5</v>
      </c>
      <c r="J142" s="208"/>
      <c r="K142" s="679">
        <v>17600000</v>
      </c>
      <c r="L142" s="211"/>
      <c r="M142" s="211"/>
      <c r="N142" s="208"/>
      <c r="O142" s="207"/>
      <c r="P142" s="709">
        <v>420000</v>
      </c>
    </row>
    <row r="143" spans="1:16" ht="15">
      <c r="A143" s="206" t="s">
        <v>5114</v>
      </c>
      <c r="B143" s="204" t="s">
        <v>768</v>
      </c>
      <c r="C143" s="204" t="s">
        <v>768</v>
      </c>
      <c r="D143" s="691" t="s">
        <v>5121</v>
      </c>
      <c r="E143" s="21">
        <v>4</v>
      </c>
      <c r="F143" s="21"/>
      <c r="G143" s="21"/>
      <c r="H143" s="21"/>
      <c r="I143" s="695">
        <v>12.75</v>
      </c>
      <c r="J143" s="205" t="s">
        <v>4446</v>
      </c>
      <c r="K143" s="679">
        <v>5737500</v>
      </c>
      <c r="L143" s="207" t="s">
        <v>30</v>
      </c>
      <c r="M143" s="21">
        <v>1</v>
      </c>
      <c r="N143" s="208" t="s">
        <v>4524</v>
      </c>
      <c r="O143" s="207">
        <v>1</v>
      </c>
      <c r="P143" s="709">
        <v>3000000</v>
      </c>
    </row>
    <row r="144" spans="1:16" ht="24">
      <c r="A144" s="206" t="s">
        <v>4526</v>
      </c>
      <c r="B144" s="210" t="s">
        <v>4545</v>
      </c>
      <c r="C144" s="210" t="s">
        <v>633</v>
      </c>
      <c r="D144" s="691" t="s">
        <v>5126</v>
      </c>
      <c r="E144" s="207">
        <v>1</v>
      </c>
      <c r="F144" s="207"/>
      <c r="G144" s="207"/>
      <c r="H144" s="207"/>
      <c r="I144" s="207">
        <v>0.5</v>
      </c>
      <c r="J144" s="208" t="s">
        <v>4045</v>
      </c>
      <c r="K144" s="679">
        <v>175000</v>
      </c>
      <c r="L144" s="211" t="s">
        <v>31</v>
      </c>
      <c r="M144" s="207">
        <v>1</v>
      </c>
      <c r="N144" s="208" t="s">
        <v>4524</v>
      </c>
      <c r="O144" s="207" t="s">
        <v>4460</v>
      </c>
      <c r="P144" s="709">
        <v>32000</v>
      </c>
    </row>
    <row r="145" spans="1:16" ht="25.5">
      <c r="A145" s="206" t="s">
        <v>130</v>
      </c>
      <c r="B145" s="210" t="s">
        <v>130</v>
      </c>
      <c r="C145" s="210" t="s">
        <v>5127</v>
      </c>
      <c r="D145" s="691" t="s">
        <v>5126</v>
      </c>
      <c r="E145" s="209">
        <v>1</v>
      </c>
      <c r="F145" s="209"/>
      <c r="G145" s="209"/>
      <c r="H145" s="209"/>
      <c r="I145" s="207">
        <v>0.5</v>
      </c>
      <c r="J145" s="208" t="s">
        <v>5095</v>
      </c>
      <c r="K145" s="679">
        <v>75000</v>
      </c>
      <c r="L145" s="207" t="s">
        <v>125</v>
      </c>
      <c r="M145" s="207">
        <v>1</v>
      </c>
      <c r="N145" s="208" t="s">
        <v>4524</v>
      </c>
      <c r="O145" s="207" t="s">
        <v>4460</v>
      </c>
      <c r="P145" s="709">
        <v>32000</v>
      </c>
    </row>
    <row r="146" spans="1:16" ht="12.6" customHeight="1">
      <c r="A146" s="234" t="s">
        <v>4411</v>
      </c>
      <c r="B146" s="210" t="s">
        <v>371</v>
      </c>
      <c r="C146" s="210" t="s">
        <v>1676</v>
      </c>
      <c r="D146" s="691" t="s">
        <v>5128</v>
      </c>
      <c r="E146" s="207">
        <v>1</v>
      </c>
      <c r="F146" s="207"/>
      <c r="G146" s="696"/>
      <c r="H146" s="207"/>
      <c r="I146" s="207">
        <v>3</v>
      </c>
      <c r="J146" s="208" t="s">
        <v>4437</v>
      </c>
      <c r="K146" s="679">
        <v>300000</v>
      </c>
      <c r="L146" s="207" t="s">
        <v>725</v>
      </c>
      <c r="M146" s="207">
        <v>1</v>
      </c>
      <c r="N146" s="208" t="s">
        <v>4524</v>
      </c>
      <c r="O146" s="207" t="s">
        <v>4460</v>
      </c>
      <c r="P146" s="709">
        <v>192000</v>
      </c>
    </row>
    <row r="147" spans="1:16" ht="12.6" customHeight="1">
      <c r="A147" s="234" t="s">
        <v>4411</v>
      </c>
      <c r="B147" s="210" t="s">
        <v>435</v>
      </c>
      <c r="C147" s="210" t="s">
        <v>435</v>
      </c>
      <c r="D147" s="691"/>
      <c r="E147" s="207">
        <v>1</v>
      </c>
      <c r="F147" s="207"/>
      <c r="G147" s="696">
        <v>700000</v>
      </c>
      <c r="H147" s="207"/>
      <c r="I147" s="207">
        <v>0.5</v>
      </c>
      <c r="J147" s="208"/>
      <c r="K147" s="679">
        <v>595000</v>
      </c>
      <c r="L147" s="207" t="s">
        <v>725</v>
      </c>
      <c r="M147" s="207"/>
      <c r="N147" s="208"/>
      <c r="O147" s="207"/>
      <c r="P147" s="709">
        <v>32000</v>
      </c>
    </row>
    <row r="148" spans="1:16" ht="12.6" customHeight="1">
      <c r="A148" s="234" t="s">
        <v>4521</v>
      </c>
      <c r="B148" s="210" t="s">
        <v>5086</v>
      </c>
      <c r="C148" s="210" t="s">
        <v>4431</v>
      </c>
      <c r="D148" s="691" t="s">
        <v>5129</v>
      </c>
      <c r="E148" s="207">
        <v>1</v>
      </c>
      <c r="F148" s="209"/>
      <c r="G148" s="209"/>
      <c r="H148" s="207"/>
      <c r="I148" s="207">
        <v>22</v>
      </c>
      <c r="J148" s="208" t="s">
        <v>4424</v>
      </c>
      <c r="K148" s="679">
        <v>6600000</v>
      </c>
      <c r="L148" s="207" t="s">
        <v>30</v>
      </c>
      <c r="M148" s="207">
        <v>1</v>
      </c>
      <c r="N148" s="208" t="s">
        <v>4524</v>
      </c>
      <c r="O148" s="207" t="s">
        <v>4460</v>
      </c>
      <c r="P148" s="709">
        <v>1410000</v>
      </c>
    </row>
    <row r="149" spans="1:16" ht="14.25" customHeight="1">
      <c r="A149" s="234" t="s">
        <v>4521</v>
      </c>
      <c r="B149" s="210" t="s">
        <v>58</v>
      </c>
      <c r="C149" s="210" t="s">
        <v>58</v>
      </c>
      <c r="D149" s="691"/>
      <c r="E149" s="197">
        <v>2</v>
      </c>
      <c r="F149" s="209"/>
      <c r="G149" s="209"/>
      <c r="H149" s="207"/>
      <c r="I149" s="211">
        <v>40</v>
      </c>
      <c r="J149" s="208" t="s">
        <v>4424</v>
      </c>
      <c r="K149" s="679">
        <v>24000000</v>
      </c>
      <c r="L149" s="207"/>
      <c r="M149" s="207"/>
      <c r="N149" s="208"/>
      <c r="O149" s="207"/>
      <c r="P149" s="709">
        <v>2600000</v>
      </c>
    </row>
    <row r="150" spans="1:16" ht="12.95" customHeight="1">
      <c r="A150" s="234" t="s">
        <v>82</v>
      </c>
      <c r="B150" s="210" t="s">
        <v>82</v>
      </c>
      <c r="C150" s="210" t="s">
        <v>82</v>
      </c>
      <c r="D150" s="691" t="s">
        <v>5126</v>
      </c>
      <c r="E150" s="209">
        <v>1</v>
      </c>
      <c r="F150" s="209"/>
      <c r="G150" s="209"/>
      <c r="H150" s="209"/>
      <c r="I150" s="209">
        <v>3</v>
      </c>
      <c r="J150" s="208" t="s">
        <v>4045</v>
      </c>
      <c r="K150" s="679">
        <v>900000</v>
      </c>
      <c r="L150" s="207" t="s">
        <v>125</v>
      </c>
      <c r="M150" s="209">
        <v>1</v>
      </c>
      <c r="N150" s="694"/>
      <c r="O150" s="209" t="s">
        <v>4129</v>
      </c>
      <c r="P150" s="709">
        <v>192000</v>
      </c>
    </row>
    <row r="151" spans="1:16" ht="12.6" customHeight="1">
      <c r="A151" s="234" t="s">
        <v>82</v>
      </c>
      <c r="B151" s="210" t="s">
        <v>4452</v>
      </c>
      <c r="C151" s="210" t="s">
        <v>4452</v>
      </c>
      <c r="D151" s="691"/>
      <c r="E151" s="207">
        <v>6</v>
      </c>
      <c r="F151" s="207">
        <v>87</v>
      </c>
      <c r="G151" s="209"/>
      <c r="H151" s="209"/>
      <c r="I151" s="207">
        <v>197</v>
      </c>
      <c r="J151" s="208"/>
      <c r="K151" s="679">
        <v>14775000</v>
      </c>
      <c r="L151" s="207"/>
      <c r="M151" s="209"/>
      <c r="N151" s="694"/>
      <c r="O151" s="209"/>
      <c r="P151" s="709">
        <v>12600000</v>
      </c>
    </row>
    <row r="152" spans="1:16" ht="14.1" customHeight="1">
      <c r="A152" s="234" t="s">
        <v>4469</v>
      </c>
      <c r="B152" s="204" t="s">
        <v>5123</v>
      </c>
      <c r="C152" s="204" t="s">
        <v>1568</v>
      </c>
      <c r="D152" s="691" t="s">
        <v>5126</v>
      </c>
      <c r="E152" s="207">
        <v>6</v>
      </c>
      <c r="F152" s="209"/>
      <c r="G152" s="696">
        <v>1520</v>
      </c>
      <c r="H152" s="209"/>
      <c r="I152" s="207">
        <v>0.5</v>
      </c>
      <c r="J152" s="208" t="s">
        <v>4303</v>
      </c>
      <c r="K152" s="679">
        <v>304100000</v>
      </c>
      <c r="L152" s="207" t="s">
        <v>125</v>
      </c>
      <c r="M152" s="209"/>
      <c r="N152" s="208" t="s">
        <v>3939</v>
      </c>
      <c r="O152" s="209" t="s">
        <v>3974</v>
      </c>
      <c r="P152" s="709">
        <v>32000</v>
      </c>
    </row>
    <row r="153" spans="1:16" ht="14.25" customHeight="1">
      <c r="A153" s="234" t="s">
        <v>4469</v>
      </c>
      <c r="B153" s="204" t="s">
        <v>5130</v>
      </c>
      <c r="C153" s="204" t="s">
        <v>5131</v>
      </c>
      <c r="D153" s="691"/>
      <c r="E153" s="207">
        <v>8</v>
      </c>
      <c r="F153" s="209"/>
      <c r="G153" s="696">
        <v>4550</v>
      </c>
      <c r="H153" s="209"/>
      <c r="I153" s="207"/>
      <c r="J153" s="208" t="s">
        <v>4303</v>
      </c>
      <c r="K153" s="679">
        <v>910000000</v>
      </c>
      <c r="L153" s="207"/>
      <c r="M153" s="209"/>
      <c r="N153" s="208"/>
      <c r="O153" s="209"/>
      <c r="P153" s="709">
        <v>330000</v>
      </c>
    </row>
    <row r="154" spans="1:16" ht="14.25" customHeight="1">
      <c r="A154" s="234" t="s">
        <v>4469</v>
      </c>
      <c r="B154" s="204" t="s">
        <v>1601</v>
      </c>
      <c r="C154" s="204" t="s">
        <v>5132</v>
      </c>
      <c r="D154" s="691"/>
      <c r="E154" s="207">
        <v>7</v>
      </c>
      <c r="F154" s="209"/>
      <c r="G154" s="696">
        <v>895</v>
      </c>
      <c r="H154" s="209"/>
      <c r="I154" s="207">
        <v>2.5</v>
      </c>
      <c r="J154" s="208" t="s">
        <v>4303</v>
      </c>
      <c r="K154" s="679">
        <v>179500000</v>
      </c>
      <c r="L154" s="209"/>
      <c r="M154" s="209"/>
      <c r="N154" s="208"/>
      <c r="O154" s="209"/>
      <c r="P154" s="709">
        <v>160000</v>
      </c>
    </row>
    <row r="155" spans="1:16" ht="24">
      <c r="A155" s="206" t="s">
        <v>5114</v>
      </c>
      <c r="B155" s="204" t="s">
        <v>5133</v>
      </c>
      <c r="C155" s="690"/>
      <c r="D155" s="691" t="s">
        <v>5126</v>
      </c>
      <c r="E155" s="21">
        <v>6</v>
      </c>
      <c r="F155" s="21"/>
      <c r="G155" s="21"/>
      <c r="H155" s="21"/>
      <c r="I155" s="695">
        <v>19</v>
      </c>
      <c r="J155" s="205" t="s">
        <v>4446</v>
      </c>
      <c r="K155" s="679">
        <v>2280000</v>
      </c>
      <c r="L155" s="209" t="s">
        <v>30</v>
      </c>
      <c r="M155" s="209">
        <v>1</v>
      </c>
      <c r="N155" s="208" t="s">
        <v>4524</v>
      </c>
      <c r="O155" s="209">
        <v>1</v>
      </c>
      <c r="P155" s="709">
        <v>4320000</v>
      </c>
    </row>
    <row r="156" spans="1:16" ht="12.6" customHeight="1">
      <c r="A156" s="234" t="s">
        <v>4411</v>
      </c>
      <c r="B156" s="205" t="s">
        <v>435</v>
      </c>
      <c r="C156" s="205" t="s">
        <v>5134</v>
      </c>
      <c r="D156" s="691" t="s">
        <v>5135</v>
      </c>
      <c r="E156" s="207">
        <v>2</v>
      </c>
      <c r="F156" s="207"/>
      <c r="G156" s="696">
        <v>400000</v>
      </c>
      <c r="H156" s="207"/>
      <c r="I156" s="207"/>
      <c r="J156" s="208" t="s">
        <v>4303</v>
      </c>
      <c r="K156" s="679">
        <v>400000</v>
      </c>
      <c r="L156" s="207" t="s">
        <v>18</v>
      </c>
      <c r="M156" s="207">
        <v>1</v>
      </c>
      <c r="N156" s="208" t="s">
        <v>3939</v>
      </c>
      <c r="O156" s="207" t="s">
        <v>3974</v>
      </c>
      <c r="P156" s="709">
        <v>125000</v>
      </c>
    </row>
    <row r="157" spans="1:16" ht="12.6" customHeight="1">
      <c r="A157" s="234" t="s">
        <v>4411</v>
      </c>
      <c r="B157" s="205" t="s">
        <v>421</v>
      </c>
      <c r="C157" s="205" t="s">
        <v>421</v>
      </c>
      <c r="D157" s="691"/>
      <c r="E157" s="207">
        <v>1</v>
      </c>
      <c r="F157" s="207">
        <v>20</v>
      </c>
      <c r="G157" s="696"/>
      <c r="H157" s="207"/>
      <c r="I157" s="207">
        <v>4</v>
      </c>
      <c r="J157" s="208" t="s">
        <v>4045</v>
      </c>
      <c r="K157" s="679">
        <v>600000</v>
      </c>
      <c r="L157" s="207" t="s">
        <v>18</v>
      </c>
      <c r="M157" s="207"/>
      <c r="N157" s="208" t="s">
        <v>4524</v>
      </c>
      <c r="O157" s="207"/>
      <c r="P157" s="709">
        <v>260000</v>
      </c>
    </row>
    <row r="158" spans="1:16" ht="12.6" customHeight="1">
      <c r="A158" s="234" t="s">
        <v>4411</v>
      </c>
      <c r="B158" s="205" t="s">
        <v>376</v>
      </c>
      <c r="C158" s="205" t="s">
        <v>5136</v>
      </c>
      <c r="D158" s="691"/>
      <c r="E158" s="207">
        <v>20</v>
      </c>
      <c r="F158" s="207">
        <v>411</v>
      </c>
      <c r="G158" s="696">
        <v>2510000</v>
      </c>
      <c r="H158" s="207"/>
      <c r="I158" s="207">
        <v>114.5</v>
      </c>
      <c r="J158" s="208"/>
      <c r="K158" s="679">
        <v>10080000</v>
      </c>
      <c r="L158" s="207" t="s">
        <v>18</v>
      </c>
      <c r="M158" s="207"/>
      <c r="N158" s="208" t="s">
        <v>5137</v>
      </c>
      <c r="O158" s="207"/>
      <c r="P158" s="709">
        <v>3200000</v>
      </c>
    </row>
    <row r="159" spans="1:16" ht="24.95" customHeight="1">
      <c r="A159" s="234" t="s">
        <v>304</v>
      </c>
      <c r="B159" s="205" t="s">
        <v>304</v>
      </c>
      <c r="C159" s="205" t="s">
        <v>5138</v>
      </c>
      <c r="D159" s="21" t="s">
        <v>5139</v>
      </c>
      <c r="E159" s="691">
        <v>7</v>
      </c>
      <c r="F159" s="207">
        <v>5</v>
      </c>
      <c r="G159" s="207" t="s">
        <v>5140</v>
      </c>
      <c r="H159" s="207"/>
      <c r="I159" s="207"/>
      <c r="J159" s="208" t="s">
        <v>4045</v>
      </c>
      <c r="K159" s="679">
        <v>4103600</v>
      </c>
      <c r="L159" s="207" t="s">
        <v>30</v>
      </c>
      <c r="M159" s="207">
        <v>1</v>
      </c>
      <c r="N159" s="208" t="s">
        <v>5141</v>
      </c>
      <c r="O159" s="207" t="s">
        <v>3974</v>
      </c>
      <c r="P159" s="709">
        <v>220000</v>
      </c>
    </row>
    <row r="160" spans="1:16" ht="25.5">
      <c r="A160" s="234" t="s">
        <v>304</v>
      </c>
      <c r="B160" s="205" t="s">
        <v>4520</v>
      </c>
      <c r="C160" s="205" t="s">
        <v>5142</v>
      </c>
      <c r="D160" s="21" t="s">
        <v>5139</v>
      </c>
      <c r="E160" s="691">
        <v>5</v>
      </c>
      <c r="F160" s="207">
        <v>164</v>
      </c>
      <c r="G160" s="696"/>
      <c r="H160" s="207"/>
      <c r="I160" s="207">
        <v>619</v>
      </c>
      <c r="J160" s="208"/>
      <c r="K160" s="679">
        <v>2171250</v>
      </c>
      <c r="L160" s="207"/>
      <c r="M160" s="207"/>
      <c r="N160" s="208"/>
      <c r="O160" s="207"/>
      <c r="P160" s="709">
        <v>350000</v>
      </c>
    </row>
    <row r="161" spans="1:16" ht="25.5">
      <c r="A161" s="234" t="s">
        <v>304</v>
      </c>
      <c r="B161" s="205" t="s">
        <v>4415</v>
      </c>
      <c r="C161" s="205" t="s">
        <v>5143</v>
      </c>
      <c r="D161" s="691" t="s">
        <v>5144</v>
      </c>
      <c r="E161" s="207">
        <v>8</v>
      </c>
      <c r="F161" s="207">
        <v>335</v>
      </c>
      <c r="G161" s="207"/>
      <c r="H161" s="207"/>
      <c r="I161" s="207"/>
      <c r="J161" s="208"/>
      <c r="K161" s="679">
        <v>5015000</v>
      </c>
      <c r="L161" s="207"/>
      <c r="M161" s="207"/>
      <c r="N161" s="208"/>
      <c r="O161" s="207"/>
      <c r="P161" s="709">
        <v>350000</v>
      </c>
    </row>
    <row r="162" spans="1:16" ht="12.6" customHeight="1">
      <c r="A162" s="234" t="s">
        <v>4526</v>
      </c>
      <c r="B162" s="205" t="s">
        <v>1753</v>
      </c>
      <c r="C162" s="205" t="s">
        <v>1753</v>
      </c>
      <c r="D162" s="691" t="s">
        <v>5135</v>
      </c>
      <c r="E162" s="207">
        <v>1</v>
      </c>
      <c r="F162" s="207">
        <v>2</v>
      </c>
      <c r="G162" s="207"/>
      <c r="H162" s="207"/>
      <c r="I162" s="207"/>
      <c r="J162" s="208" t="s">
        <v>5145</v>
      </c>
      <c r="K162" s="679">
        <v>600000</v>
      </c>
      <c r="L162" s="211" t="s">
        <v>31</v>
      </c>
      <c r="M162" s="207">
        <v>1</v>
      </c>
      <c r="N162" s="208" t="s">
        <v>5141</v>
      </c>
      <c r="O162" s="207" t="s">
        <v>3974</v>
      </c>
      <c r="P162" s="709">
        <v>350000</v>
      </c>
    </row>
    <row r="163" spans="1:16" ht="38.25">
      <c r="A163" s="234" t="s">
        <v>4526</v>
      </c>
      <c r="B163" s="205" t="s">
        <v>5146</v>
      </c>
      <c r="C163" s="205" t="s">
        <v>5147</v>
      </c>
      <c r="D163" s="691"/>
      <c r="E163" s="207">
        <v>4</v>
      </c>
      <c r="F163" s="207">
        <v>10</v>
      </c>
      <c r="G163" s="207"/>
      <c r="H163" s="207"/>
      <c r="I163" s="207"/>
      <c r="J163" s="208"/>
      <c r="K163" s="679">
        <v>481000</v>
      </c>
      <c r="L163" s="211"/>
      <c r="M163" s="207"/>
      <c r="N163" s="208"/>
      <c r="O163" s="207"/>
      <c r="P163" s="709">
        <v>350001</v>
      </c>
    </row>
    <row r="164" spans="1:16" ht="12.6" customHeight="1">
      <c r="A164" s="234" t="s">
        <v>4521</v>
      </c>
      <c r="B164" s="205" t="s">
        <v>5087</v>
      </c>
      <c r="C164" s="205" t="s">
        <v>5087</v>
      </c>
      <c r="D164" s="691" t="s">
        <v>5135</v>
      </c>
      <c r="E164" s="197">
        <v>8</v>
      </c>
      <c r="F164" s="197">
        <v>26</v>
      </c>
      <c r="G164" s="207"/>
      <c r="H164" s="207"/>
      <c r="I164" s="207"/>
      <c r="J164" s="208" t="s">
        <v>4424</v>
      </c>
      <c r="K164" s="679">
        <v>10400000</v>
      </c>
      <c r="L164" s="207" t="s">
        <v>30</v>
      </c>
      <c r="M164" s="207">
        <v>1</v>
      </c>
      <c r="N164" s="208" t="s">
        <v>5141</v>
      </c>
      <c r="O164" s="207" t="s">
        <v>4460</v>
      </c>
      <c r="P164" s="709">
        <v>250000</v>
      </c>
    </row>
    <row r="165" spans="1:16" ht="15.75">
      <c r="A165" s="234" t="s">
        <v>4521</v>
      </c>
      <c r="B165" s="205" t="s">
        <v>5090</v>
      </c>
      <c r="C165" s="205" t="s">
        <v>5090</v>
      </c>
      <c r="D165" s="691"/>
      <c r="E165" s="197">
        <v>5</v>
      </c>
      <c r="F165" s="197">
        <v>3</v>
      </c>
      <c r="G165" s="207"/>
      <c r="H165" s="207"/>
      <c r="I165" s="207"/>
      <c r="J165" s="208"/>
      <c r="K165" s="679">
        <v>1200000</v>
      </c>
      <c r="L165" s="207"/>
      <c r="M165" s="207"/>
      <c r="N165" s="208"/>
      <c r="O165" s="207"/>
      <c r="P165" s="709">
        <v>122000</v>
      </c>
    </row>
    <row r="166" spans="1:16" ht="12.6" customHeight="1">
      <c r="A166" s="234" t="s">
        <v>4521</v>
      </c>
      <c r="B166" s="205" t="s">
        <v>4123</v>
      </c>
      <c r="C166" s="205" t="s">
        <v>4123</v>
      </c>
      <c r="D166" s="691"/>
      <c r="E166" s="197">
        <v>3</v>
      </c>
      <c r="F166" s="197">
        <v>2</v>
      </c>
      <c r="G166" s="207"/>
      <c r="H166" s="207"/>
      <c r="I166" s="207"/>
      <c r="J166" s="208"/>
      <c r="K166" s="679">
        <v>800000</v>
      </c>
      <c r="L166" s="207"/>
      <c r="M166" s="207"/>
      <c r="N166" s="208"/>
      <c r="O166" s="207"/>
      <c r="P166" s="709">
        <v>122000</v>
      </c>
    </row>
    <row r="167" spans="1:16" ht="12.6" customHeight="1">
      <c r="A167" s="234" t="s">
        <v>4521</v>
      </c>
      <c r="B167" s="205" t="s">
        <v>58</v>
      </c>
      <c r="C167" s="205" t="s">
        <v>58</v>
      </c>
      <c r="D167" s="691"/>
      <c r="E167" s="197">
        <v>40</v>
      </c>
      <c r="F167" s="197">
        <v>16</v>
      </c>
      <c r="G167" s="207"/>
      <c r="H167" s="207"/>
      <c r="I167" s="207"/>
      <c r="J167" s="208"/>
      <c r="K167" s="679">
        <v>6400000</v>
      </c>
      <c r="L167" s="207"/>
      <c r="M167" s="207"/>
      <c r="N167" s="208"/>
      <c r="O167" s="207"/>
      <c r="P167" s="709">
        <v>170000</v>
      </c>
    </row>
    <row r="168" spans="1:16" ht="14.1" customHeight="1">
      <c r="A168" s="234" t="s">
        <v>82</v>
      </c>
      <c r="B168" s="205" t="s">
        <v>82</v>
      </c>
      <c r="C168" s="210" t="s">
        <v>82</v>
      </c>
      <c r="D168" s="691" t="s">
        <v>5135</v>
      </c>
      <c r="E168" s="211">
        <v>7</v>
      </c>
      <c r="F168" s="211">
        <v>350</v>
      </c>
      <c r="G168" s="211"/>
      <c r="H168" s="211"/>
      <c r="I168" s="211">
        <v>430</v>
      </c>
      <c r="J168" s="204" t="s">
        <v>4045</v>
      </c>
      <c r="K168" s="679">
        <v>18995300</v>
      </c>
      <c r="L168" s="211" t="s">
        <v>30</v>
      </c>
      <c r="M168" s="211" t="s">
        <v>4572</v>
      </c>
      <c r="N168" s="204" t="s">
        <v>5141</v>
      </c>
      <c r="O168" s="211" t="s">
        <v>5098</v>
      </c>
      <c r="P168" s="709">
        <v>2600000</v>
      </c>
    </row>
    <row r="169" spans="1:16" ht="14.25" customHeight="1">
      <c r="A169" s="234" t="s">
        <v>82</v>
      </c>
      <c r="B169" s="205" t="s">
        <v>4452</v>
      </c>
      <c r="C169" s="210" t="s">
        <v>5099</v>
      </c>
      <c r="D169" s="691"/>
      <c r="E169" s="211">
        <v>1</v>
      </c>
      <c r="F169" s="211">
        <v>20</v>
      </c>
      <c r="G169" s="211"/>
      <c r="H169" s="211"/>
      <c r="I169" s="211">
        <v>3</v>
      </c>
      <c r="J169" s="204"/>
      <c r="K169" s="679">
        <v>984000</v>
      </c>
      <c r="L169" s="211"/>
      <c r="M169" s="211"/>
      <c r="N169" s="204"/>
      <c r="O169" s="211"/>
      <c r="P169" s="709">
        <v>500000</v>
      </c>
    </row>
    <row r="170" spans="1:16" ht="14.25" customHeight="1">
      <c r="A170" s="234" t="s">
        <v>82</v>
      </c>
      <c r="B170" s="205"/>
      <c r="C170" s="210" t="s">
        <v>4452</v>
      </c>
      <c r="D170" s="691"/>
      <c r="E170" s="211">
        <v>1</v>
      </c>
      <c r="F170" s="211">
        <v>45</v>
      </c>
      <c r="G170" s="211"/>
      <c r="H170" s="211"/>
      <c r="I170" s="211">
        <v>4</v>
      </c>
      <c r="J170" s="204"/>
      <c r="K170" s="679">
        <v>1389000</v>
      </c>
      <c r="L170" s="211"/>
      <c r="M170" s="211"/>
      <c r="N170" s="204"/>
      <c r="O170" s="211"/>
      <c r="P170" s="709">
        <v>366000</v>
      </c>
    </row>
    <row r="171" spans="1:16" ht="14.25" customHeight="1">
      <c r="A171" s="234" t="s">
        <v>82</v>
      </c>
      <c r="B171" s="205"/>
      <c r="C171" s="210" t="s">
        <v>1839</v>
      </c>
      <c r="D171" s="691"/>
      <c r="E171" s="211">
        <v>1</v>
      </c>
      <c r="F171" s="211">
        <v>20</v>
      </c>
      <c r="G171" s="211"/>
      <c r="H171" s="211"/>
      <c r="I171" s="211">
        <v>5</v>
      </c>
      <c r="J171" s="204"/>
      <c r="K171" s="679">
        <v>2184000</v>
      </c>
      <c r="L171" s="211"/>
      <c r="M171" s="211"/>
      <c r="N171" s="204"/>
      <c r="O171" s="211"/>
      <c r="P171" s="709">
        <v>500000</v>
      </c>
    </row>
    <row r="172" spans="1:16" ht="14.25" customHeight="1">
      <c r="A172" s="234" t="s">
        <v>82</v>
      </c>
      <c r="B172" s="205" t="s">
        <v>4455</v>
      </c>
      <c r="C172" s="210" t="s">
        <v>5148</v>
      </c>
      <c r="D172" s="691"/>
      <c r="E172" s="211">
        <v>1</v>
      </c>
      <c r="F172" s="211">
        <v>21</v>
      </c>
      <c r="G172" s="211"/>
      <c r="H172" s="211"/>
      <c r="I172" s="211">
        <v>3</v>
      </c>
      <c r="J172" s="204"/>
      <c r="K172" s="679">
        <v>988000</v>
      </c>
      <c r="L172" s="211"/>
      <c r="M172" s="211"/>
      <c r="N172" s="204"/>
      <c r="O172" s="211"/>
      <c r="P172" s="709">
        <v>244000</v>
      </c>
    </row>
    <row r="173" spans="1:16" ht="15">
      <c r="A173" s="206" t="s">
        <v>1262</v>
      </c>
      <c r="B173" s="205" t="s">
        <v>1043</v>
      </c>
      <c r="C173" s="210" t="s">
        <v>1041</v>
      </c>
      <c r="D173" s="691" t="s">
        <v>5149</v>
      </c>
      <c r="E173" s="207">
        <v>1</v>
      </c>
      <c r="F173" s="207">
        <v>19</v>
      </c>
      <c r="G173" s="209"/>
      <c r="H173" s="209"/>
      <c r="I173" s="209"/>
      <c r="J173" s="208" t="s">
        <v>5150</v>
      </c>
      <c r="K173" s="679">
        <v>1300000</v>
      </c>
      <c r="L173" s="207" t="s">
        <v>18</v>
      </c>
      <c r="M173" s="212">
        <v>1</v>
      </c>
      <c r="N173" s="213" t="s">
        <v>5141</v>
      </c>
      <c r="O173" s="211" t="s">
        <v>4460</v>
      </c>
      <c r="P173" s="709">
        <v>244000</v>
      </c>
    </row>
    <row r="174" spans="1:16" ht="25.5">
      <c r="A174" s="206" t="s">
        <v>867</v>
      </c>
      <c r="B174" s="205" t="s">
        <v>3666</v>
      </c>
      <c r="C174" s="210" t="s">
        <v>5111</v>
      </c>
      <c r="D174" s="691" t="s">
        <v>5151</v>
      </c>
      <c r="E174" s="209">
        <v>4</v>
      </c>
      <c r="F174" s="209">
        <v>5</v>
      </c>
      <c r="G174" s="209"/>
      <c r="H174" s="209"/>
      <c r="I174" s="209"/>
      <c r="J174" s="208" t="s">
        <v>5113</v>
      </c>
      <c r="K174" s="679">
        <v>2000000</v>
      </c>
      <c r="L174" s="207" t="s">
        <v>125</v>
      </c>
      <c r="M174" s="209">
        <v>1</v>
      </c>
      <c r="N174" s="213" t="s">
        <v>5141</v>
      </c>
      <c r="O174" s="211"/>
      <c r="P174" s="709">
        <v>408000</v>
      </c>
    </row>
    <row r="175" spans="1:16" ht="15">
      <c r="A175" s="206" t="s">
        <v>705</v>
      </c>
      <c r="B175" s="205" t="s">
        <v>5115</v>
      </c>
      <c r="C175" s="210" t="s">
        <v>594</v>
      </c>
      <c r="D175" s="691" t="s">
        <v>5135</v>
      </c>
      <c r="E175" s="21">
        <v>8</v>
      </c>
      <c r="F175" s="21">
        <v>34</v>
      </c>
      <c r="G175" s="21"/>
      <c r="H175" s="21"/>
      <c r="I175" s="697"/>
      <c r="J175" s="205" t="s">
        <v>4303</v>
      </c>
      <c r="K175" s="679">
        <v>11053000</v>
      </c>
      <c r="L175" s="211" t="s">
        <v>18</v>
      </c>
      <c r="M175" s="214">
        <v>2</v>
      </c>
      <c r="N175" s="213" t="s">
        <v>5141</v>
      </c>
      <c r="O175" s="211" t="s">
        <v>4460</v>
      </c>
      <c r="P175" s="709">
        <v>850000</v>
      </c>
    </row>
    <row r="176" spans="1:16" ht="37.5" customHeight="1">
      <c r="A176" s="234" t="s">
        <v>304</v>
      </c>
      <c r="B176" s="205" t="s">
        <v>304</v>
      </c>
      <c r="C176" s="205" t="s">
        <v>5152</v>
      </c>
      <c r="D176" s="691" t="s">
        <v>5153</v>
      </c>
      <c r="E176" s="207">
        <v>12</v>
      </c>
      <c r="F176" s="207">
        <v>773</v>
      </c>
      <c r="G176" s="207"/>
      <c r="H176" s="207"/>
      <c r="I176" s="207">
        <v>614</v>
      </c>
      <c r="J176" s="208" t="s">
        <v>4045</v>
      </c>
      <c r="K176" s="679">
        <v>8234100</v>
      </c>
      <c r="L176" s="207" t="s">
        <v>30</v>
      </c>
      <c r="M176" s="207">
        <v>1</v>
      </c>
      <c r="N176" s="204" t="s">
        <v>5141</v>
      </c>
      <c r="O176" s="207" t="s">
        <v>4460</v>
      </c>
      <c r="P176" s="709">
        <v>4400000</v>
      </c>
    </row>
    <row r="177" spans="1:16" ht="12.95" customHeight="1">
      <c r="A177" s="234" t="s">
        <v>304</v>
      </c>
      <c r="B177" s="205" t="s">
        <v>332</v>
      </c>
      <c r="C177" s="205" t="s">
        <v>4541</v>
      </c>
      <c r="D177" s="691"/>
      <c r="E177" s="207">
        <v>10</v>
      </c>
      <c r="F177" s="207">
        <v>392</v>
      </c>
      <c r="G177" s="207"/>
      <c r="H177" s="207"/>
      <c r="I177" s="207"/>
      <c r="J177" s="208"/>
      <c r="K177" s="679">
        <v>7269500</v>
      </c>
      <c r="L177" s="207"/>
      <c r="M177" s="207"/>
      <c r="N177" s="204"/>
      <c r="O177" s="207"/>
      <c r="P177" s="709">
        <v>3660000</v>
      </c>
    </row>
    <row r="178" spans="1:16" ht="13.5" customHeight="1">
      <c r="A178" s="234" t="s">
        <v>304</v>
      </c>
      <c r="B178" s="205" t="s">
        <v>4520</v>
      </c>
      <c r="C178" s="205" t="s">
        <v>5154</v>
      </c>
      <c r="D178" s="691"/>
      <c r="E178" s="207">
        <v>7</v>
      </c>
      <c r="F178" s="207">
        <v>222</v>
      </c>
      <c r="G178" s="207"/>
      <c r="H178" s="207"/>
      <c r="I178" s="207"/>
      <c r="J178" s="208"/>
      <c r="K178" s="679">
        <v>4765000</v>
      </c>
      <c r="L178" s="207"/>
      <c r="M178" s="207"/>
      <c r="N178" s="204"/>
      <c r="O178" s="207"/>
      <c r="P178" s="709">
        <v>2562000</v>
      </c>
    </row>
    <row r="179" spans="1:16" ht="14.25" customHeight="1">
      <c r="A179" s="234" t="s">
        <v>304</v>
      </c>
      <c r="B179" s="205" t="s">
        <v>4415</v>
      </c>
      <c r="C179" s="205" t="s">
        <v>5155</v>
      </c>
      <c r="D179" s="691"/>
      <c r="E179" s="207">
        <v>2</v>
      </c>
      <c r="F179" s="207">
        <v>176</v>
      </c>
      <c r="G179" s="207" t="s">
        <v>5156</v>
      </c>
      <c r="H179" s="207"/>
      <c r="I179" s="207"/>
      <c r="J179" s="208"/>
      <c r="K179" s="679">
        <v>2132000</v>
      </c>
      <c r="L179" s="207" t="s">
        <v>30</v>
      </c>
      <c r="M179" s="207">
        <v>1</v>
      </c>
      <c r="N179" s="213" t="s">
        <v>5141</v>
      </c>
      <c r="O179" s="207" t="s">
        <v>4519</v>
      </c>
      <c r="P179" s="709">
        <v>732000</v>
      </c>
    </row>
    <row r="180" spans="1:16" ht="15">
      <c r="A180" s="206" t="s">
        <v>4526</v>
      </c>
      <c r="B180" s="205" t="s">
        <v>1753</v>
      </c>
      <c r="C180" s="205" t="s">
        <v>1753</v>
      </c>
      <c r="D180" s="691" t="s">
        <v>5157</v>
      </c>
      <c r="E180" s="207">
        <v>1</v>
      </c>
      <c r="F180" s="207">
        <v>2</v>
      </c>
      <c r="G180" s="207"/>
      <c r="H180" s="207"/>
      <c r="I180" s="207"/>
      <c r="J180" s="208" t="s">
        <v>5145</v>
      </c>
      <c r="K180" s="679">
        <v>1500000</v>
      </c>
      <c r="L180" s="211" t="s">
        <v>31</v>
      </c>
      <c r="M180" s="207">
        <v>1</v>
      </c>
      <c r="N180" s="213" t="s">
        <v>5141</v>
      </c>
      <c r="O180" s="207" t="s">
        <v>4519</v>
      </c>
      <c r="P180" s="709">
        <v>244000</v>
      </c>
    </row>
    <row r="181" spans="1:16" ht="51">
      <c r="A181" s="206" t="s">
        <v>1262</v>
      </c>
      <c r="B181" s="205" t="s">
        <v>1268</v>
      </c>
      <c r="C181" s="205" t="s">
        <v>5158</v>
      </c>
      <c r="D181" s="691" t="s">
        <v>5159</v>
      </c>
      <c r="E181" s="209">
        <v>1</v>
      </c>
      <c r="F181" s="209">
        <v>3</v>
      </c>
      <c r="G181" s="209"/>
      <c r="H181" s="209"/>
      <c r="I181" s="209"/>
      <c r="J181" s="208" t="s">
        <v>5104</v>
      </c>
      <c r="K181" s="679">
        <v>450000</v>
      </c>
      <c r="L181" s="207" t="s">
        <v>18</v>
      </c>
      <c r="M181" s="212">
        <v>1</v>
      </c>
      <c r="N181" s="213" t="s">
        <v>5141</v>
      </c>
      <c r="O181" s="207" t="s">
        <v>4519</v>
      </c>
      <c r="P181" s="709">
        <v>488000</v>
      </c>
    </row>
    <row r="182" spans="1:16" ht="25.5">
      <c r="A182" s="206" t="s">
        <v>602</v>
      </c>
      <c r="B182" s="205" t="s">
        <v>594</v>
      </c>
      <c r="C182" s="205" t="s">
        <v>594</v>
      </c>
      <c r="D182" s="691" t="s">
        <v>5160</v>
      </c>
      <c r="E182" s="209">
        <v>1</v>
      </c>
      <c r="F182" s="209">
        <v>2</v>
      </c>
      <c r="G182" s="209"/>
      <c r="H182" s="209"/>
      <c r="I182" s="209">
        <v>0.4</v>
      </c>
      <c r="J182" s="208" t="s">
        <v>5161</v>
      </c>
      <c r="K182" s="679">
        <v>1335000</v>
      </c>
      <c r="L182" s="212"/>
      <c r="M182" s="212">
        <v>1</v>
      </c>
      <c r="N182" s="213" t="s">
        <v>5141</v>
      </c>
      <c r="O182" s="207" t="s">
        <v>4519</v>
      </c>
      <c r="P182" s="709">
        <v>102000</v>
      </c>
    </row>
    <row r="183" spans="1:16" ht="15">
      <c r="A183" s="206" t="s">
        <v>4411</v>
      </c>
      <c r="B183" s="205" t="s">
        <v>421</v>
      </c>
      <c r="C183" s="204" t="s">
        <v>5162</v>
      </c>
      <c r="D183" s="691" t="s">
        <v>5163</v>
      </c>
      <c r="E183" s="211">
        <v>2</v>
      </c>
      <c r="F183" s="211">
        <v>103</v>
      </c>
      <c r="G183" s="696">
        <v>340000</v>
      </c>
      <c r="H183" s="211"/>
      <c r="I183" s="207">
        <v>22</v>
      </c>
      <c r="J183" s="204"/>
      <c r="K183" s="679">
        <v>3283200</v>
      </c>
      <c r="L183" s="207" t="s">
        <v>18</v>
      </c>
      <c r="M183" s="211">
        <v>1</v>
      </c>
      <c r="N183" s="213" t="s">
        <v>5141</v>
      </c>
      <c r="O183" s="211" t="s">
        <v>4460</v>
      </c>
      <c r="P183" s="709">
        <v>732000</v>
      </c>
    </row>
    <row r="184" spans="1:16" ht="14.1" customHeight="1">
      <c r="A184" s="234" t="s">
        <v>304</v>
      </c>
      <c r="B184" s="205" t="s">
        <v>304</v>
      </c>
      <c r="C184" s="205" t="s">
        <v>5164</v>
      </c>
      <c r="D184" s="691" t="s">
        <v>5165</v>
      </c>
      <c r="E184" s="207">
        <v>3</v>
      </c>
      <c r="F184" s="207">
        <v>64</v>
      </c>
      <c r="G184" s="207"/>
      <c r="H184" s="207"/>
      <c r="I184" s="207">
        <v>222</v>
      </c>
      <c r="J184" s="208" t="s">
        <v>4045</v>
      </c>
      <c r="K184" s="679">
        <v>464180</v>
      </c>
      <c r="L184" s="207" t="s">
        <v>30</v>
      </c>
      <c r="M184" s="211">
        <v>1</v>
      </c>
      <c r="N184" s="213" t="s">
        <v>5141</v>
      </c>
      <c r="O184" s="211" t="s">
        <v>4460</v>
      </c>
      <c r="P184" s="709">
        <v>732000</v>
      </c>
    </row>
    <row r="185" spans="1:16" ht="14.25" customHeight="1">
      <c r="A185" s="234" t="s">
        <v>304</v>
      </c>
      <c r="B185" s="205" t="s">
        <v>332</v>
      </c>
      <c r="C185" s="205" t="s">
        <v>4541</v>
      </c>
      <c r="D185" s="691"/>
      <c r="E185" s="207">
        <v>3</v>
      </c>
      <c r="F185" s="207">
        <v>155</v>
      </c>
      <c r="G185" s="207"/>
      <c r="H185" s="207"/>
      <c r="I185" s="207"/>
      <c r="J185" s="208" t="s">
        <v>4045</v>
      </c>
      <c r="K185" s="679">
        <v>2639555</v>
      </c>
      <c r="L185" s="207" t="s">
        <v>30</v>
      </c>
      <c r="M185" s="211">
        <v>1</v>
      </c>
      <c r="N185" s="213"/>
      <c r="O185" s="211"/>
      <c r="P185" s="709">
        <v>1100000</v>
      </c>
    </row>
    <row r="186" spans="1:16" ht="14.25" customHeight="1">
      <c r="A186" s="234" t="s">
        <v>304</v>
      </c>
      <c r="B186" s="205" t="s">
        <v>4520</v>
      </c>
      <c r="C186" s="205" t="s">
        <v>5166</v>
      </c>
      <c r="D186" s="691"/>
      <c r="E186" s="207">
        <v>3</v>
      </c>
      <c r="F186" s="207">
        <v>162</v>
      </c>
      <c r="G186" s="207"/>
      <c r="H186" s="207"/>
      <c r="I186" s="207"/>
      <c r="J186" s="208" t="s">
        <v>4045</v>
      </c>
      <c r="K186" s="679">
        <v>3787500</v>
      </c>
      <c r="L186" s="207" t="s">
        <v>30</v>
      </c>
      <c r="M186" s="211">
        <v>1</v>
      </c>
      <c r="N186" s="213"/>
      <c r="O186" s="211"/>
      <c r="P186" s="709">
        <v>1100000</v>
      </c>
    </row>
    <row r="187" spans="1:16" ht="14.25" customHeight="1">
      <c r="A187" s="234" t="s">
        <v>304</v>
      </c>
      <c r="B187" s="205" t="s">
        <v>4434</v>
      </c>
      <c r="C187" s="205" t="s">
        <v>4434</v>
      </c>
      <c r="D187" s="691"/>
      <c r="E187" s="207">
        <v>1</v>
      </c>
      <c r="F187" s="207">
        <v>25</v>
      </c>
      <c r="G187" s="207"/>
      <c r="H187" s="207"/>
      <c r="I187" s="207"/>
      <c r="J187" s="208" t="s">
        <v>4045</v>
      </c>
      <c r="K187" s="679">
        <v>212500</v>
      </c>
      <c r="L187" s="207" t="s">
        <v>30</v>
      </c>
      <c r="M187" s="211">
        <v>1</v>
      </c>
      <c r="N187" s="213"/>
      <c r="O187" s="211"/>
      <c r="P187" s="709">
        <v>244000</v>
      </c>
    </row>
    <row r="188" spans="1:16" ht="38.25">
      <c r="A188" s="234" t="s">
        <v>130</v>
      </c>
      <c r="B188" s="205" t="s">
        <v>130</v>
      </c>
      <c r="C188" s="205" t="s">
        <v>4441</v>
      </c>
      <c r="D188" s="691" t="s">
        <v>5167</v>
      </c>
      <c r="E188" s="209">
        <v>9</v>
      </c>
      <c r="F188" s="207">
        <v>4</v>
      </c>
      <c r="G188" s="207" t="s">
        <v>5168</v>
      </c>
      <c r="H188" s="207"/>
      <c r="I188" s="207"/>
      <c r="J188" s="208" t="s">
        <v>5095</v>
      </c>
      <c r="K188" s="679">
        <v>2294000</v>
      </c>
      <c r="L188" s="207" t="s">
        <v>18</v>
      </c>
      <c r="M188" s="207">
        <v>1</v>
      </c>
      <c r="N188" s="213" t="s">
        <v>5141</v>
      </c>
      <c r="O188" s="211" t="s">
        <v>4460</v>
      </c>
      <c r="P188" s="709">
        <v>2196000</v>
      </c>
    </row>
    <row r="189" spans="1:16" ht="14.25" customHeight="1">
      <c r="A189" s="234" t="s">
        <v>130</v>
      </c>
      <c r="B189" s="205" t="s">
        <v>1137</v>
      </c>
      <c r="C189" s="205" t="s">
        <v>4500</v>
      </c>
      <c r="D189" s="691"/>
      <c r="E189" s="197">
        <v>2</v>
      </c>
      <c r="F189" s="215">
        <v>4</v>
      </c>
      <c r="G189" s="197"/>
      <c r="H189" s="207"/>
      <c r="I189" s="197"/>
      <c r="J189" s="208" t="s">
        <v>4303</v>
      </c>
      <c r="K189" s="679">
        <v>2500000</v>
      </c>
      <c r="L189" s="207"/>
      <c r="M189" s="207"/>
      <c r="N189" s="213"/>
      <c r="O189" s="211"/>
      <c r="P189" s="709">
        <v>500000</v>
      </c>
    </row>
    <row r="190" spans="1:16" ht="14.1" customHeight="1">
      <c r="A190" s="234" t="s">
        <v>82</v>
      </c>
      <c r="B190" s="205" t="s">
        <v>82</v>
      </c>
      <c r="C190" s="205" t="s">
        <v>82</v>
      </c>
      <c r="D190" s="197" t="s">
        <v>5163</v>
      </c>
      <c r="E190" s="197">
        <v>4</v>
      </c>
      <c r="F190" s="215">
        <v>320</v>
      </c>
      <c r="G190" s="197"/>
      <c r="H190" s="197"/>
      <c r="I190" s="215">
        <v>530</v>
      </c>
      <c r="J190" s="208" t="s">
        <v>4045</v>
      </c>
      <c r="K190" s="679">
        <v>39750000</v>
      </c>
      <c r="L190" s="207" t="s">
        <v>30</v>
      </c>
      <c r="M190" s="197" t="s">
        <v>4572</v>
      </c>
      <c r="N190" s="204" t="s">
        <v>5141</v>
      </c>
      <c r="O190" s="197" t="s">
        <v>5169</v>
      </c>
      <c r="P190" s="709">
        <v>1270000</v>
      </c>
    </row>
    <row r="191" spans="1:16" ht="14.25" customHeight="1">
      <c r="A191" s="234" t="s">
        <v>82</v>
      </c>
      <c r="B191" s="205" t="s">
        <v>4452</v>
      </c>
      <c r="C191" s="205" t="s">
        <v>4452</v>
      </c>
      <c r="D191" s="197"/>
      <c r="E191" s="197">
        <v>7</v>
      </c>
      <c r="F191" s="215">
        <v>230</v>
      </c>
      <c r="G191" s="197"/>
      <c r="H191" s="197"/>
      <c r="I191" s="215">
        <v>268</v>
      </c>
      <c r="J191" s="208"/>
      <c r="K191" s="679">
        <v>20100000</v>
      </c>
      <c r="L191" s="207"/>
      <c r="M191" s="197"/>
      <c r="N191" s="204"/>
      <c r="O191" s="197"/>
      <c r="P191" s="709">
        <v>2212000</v>
      </c>
    </row>
    <row r="192" spans="1:16" ht="14.25" customHeight="1">
      <c r="A192" s="234" t="s">
        <v>82</v>
      </c>
      <c r="B192" s="205" t="s">
        <v>4452</v>
      </c>
      <c r="C192" s="205" t="s">
        <v>5099</v>
      </c>
      <c r="D192" s="197"/>
      <c r="E192" s="197">
        <v>14</v>
      </c>
      <c r="F192" s="215">
        <v>321</v>
      </c>
      <c r="G192" s="197"/>
      <c r="H192" s="197"/>
      <c r="I192" s="215">
        <v>354</v>
      </c>
      <c r="J192" s="208"/>
      <c r="K192" s="679">
        <v>26550000</v>
      </c>
      <c r="L192" s="207"/>
      <c r="M192" s="197"/>
      <c r="N192" s="204"/>
      <c r="O192" s="197"/>
      <c r="P192" s="709">
        <v>3400000</v>
      </c>
    </row>
    <row r="193" spans="1:16" ht="14.25" customHeight="1">
      <c r="A193" s="234" t="s">
        <v>82</v>
      </c>
      <c r="B193" s="205" t="s">
        <v>4452</v>
      </c>
      <c r="C193" s="205" t="s">
        <v>1839</v>
      </c>
      <c r="D193" s="197"/>
      <c r="E193" s="197">
        <v>12</v>
      </c>
      <c r="F193" s="215">
        <v>245</v>
      </c>
      <c r="G193" s="197"/>
      <c r="H193" s="197"/>
      <c r="I193" s="215">
        <v>324</v>
      </c>
      <c r="J193" s="208"/>
      <c r="K193" s="679">
        <v>24300000</v>
      </c>
      <c r="L193" s="207"/>
      <c r="M193" s="197"/>
      <c r="N193" s="204"/>
      <c r="O193" s="197"/>
      <c r="P193" s="709">
        <v>2100000</v>
      </c>
    </row>
    <row r="194" spans="1:16" ht="14.25" customHeight="1">
      <c r="A194" s="234" t="s">
        <v>82</v>
      </c>
      <c r="B194" s="205" t="s">
        <v>3452</v>
      </c>
      <c r="C194" s="205" t="s">
        <v>3452</v>
      </c>
      <c r="D194" s="197"/>
      <c r="E194" s="197">
        <v>8</v>
      </c>
      <c r="F194" s="215">
        <v>103</v>
      </c>
      <c r="G194" s="197"/>
      <c r="H194" s="197"/>
      <c r="I194" s="215">
        <v>117</v>
      </c>
      <c r="J194" s="208"/>
      <c r="K194" s="679">
        <v>9836000</v>
      </c>
      <c r="L194" s="207"/>
      <c r="M194" s="197"/>
      <c r="N194" s="204"/>
      <c r="O194" s="197"/>
      <c r="P194" s="709">
        <v>13760000</v>
      </c>
    </row>
    <row r="195" spans="1:16" ht="15">
      <c r="A195" s="206" t="s">
        <v>4411</v>
      </c>
      <c r="B195" s="205" t="s">
        <v>380</v>
      </c>
      <c r="C195" s="205" t="s">
        <v>1662</v>
      </c>
      <c r="D195" s="197" t="s">
        <v>5163</v>
      </c>
      <c r="E195" s="197">
        <v>4</v>
      </c>
      <c r="F195" s="215">
        <v>540</v>
      </c>
      <c r="G195" s="197"/>
      <c r="H195" s="197"/>
      <c r="I195" s="215">
        <v>160</v>
      </c>
      <c r="J195" s="205" t="s">
        <v>5150</v>
      </c>
      <c r="K195" s="679">
        <v>18010000</v>
      </c>
      <c r="L195" s="197" t="s">
        <v>18</v>
      </c>
      <c r="M195" s="197">
        <v>1</v>
      </c>
      <c r="N195" s="205" t="s">
        <v>5141</v>
      </c>
      <c r="O195" s="197" t="s">
        <v>4460</v>
      </c>
      <c r="P195" s="709">
        <v>1200000</v>
      </c>
    </row>
    <row r="196" spans="1:16" ht="15">
      <c r="A196" s="206" t="s">
        <v>1262</v>
      </c>
      <c r="B196" s="205" t="s">
        <v>4484</v>
      </c>
      <c r="C196" s="205" t="s">
        <v>5105</v>
      </c>
      <c r="D196" s="691" t="s">
        <v>5163</v>
      </c>
      <c r="E196" s="211">
        <v>1</v>
      </c>
      <c r="F196" s="211"/>
      <c r="G196" s="211"/>
      <c r="H196" s="211"/>
      <c r="I196" s="211">
        <v>10</v>
      </c>
      <c r="J196" s="205" t="s">
        <v>5150</v>
      </c>
      <c r="K196" s="679">
        <v>200000</v>
      </c>
      <c r="L196" s="197" t="s">
        <v>18</v>
      </c>
      <c r="M196" s="212">
        <v>1</v>
      </c>
      <c r="N196" s="213" t="s">
        <v>4524</v>
      </c>
      <c r="O196" s="197" t="s">
        <v>4460</v>
      </c>
      <c r="P196" s="709">
        <v>1600000</v>
      </c>
    </row>
    <row r="197" spans="1:16" ht="15">
      <c r="A197" s="713" t="s">
        <v>602</v>
      </c>
      <c r="B197" s="205" t="s">
        <v>5170</v>
      </c>
      <c r="C197" s="205" t="s">
        <v>5170</v>
      </c>
      <c r="D197" s="691" t="s">
        <v>5171</v>
      </c>
      <c r="E197" s="211">
        <v>4</v>
      </c>
      <c r="F197" s="197"/>
      <c r="G197" s="214"/>
      <c r="H197" s="214"/>
      <c r="I197" s="211">
        <v>14.8</v>
      </c>
      <c r="J197" s="205" t="s">
        <v>5150</v>
      </c>
      <c r="K197" s="679">
        <v>1039500</v>
      </c>
      <c r="L197" s="209"/>
      <c r="M197" s="209"/>
      <c r="N197" s="213" t="s">
        <v>4524</v>
      </c>
      <c r="O197" s="207" t="s">
        <v>4460</v>
      </c>
      <c r="P197" s="709">
        <v>256000</v>
      </c>
    </row>
    <row r="198" spans="1:16" ht="14.25" customHeight="1">
      <c r="A198" s="713" t="s">
        <v>602</v>
      </c>
      <c r="B198" s="205" t="s">
        <v>589</v>
      </c>
      <c r="C198" s="205" t="s">
        <v>589</v>
      </c>
      <c r="D198" s="691"/>
      <c r="E198" s="197">
        <v>4</v>
      </c>
      <c r="F198" s="698"/>
      <c r="G198" s="212"/>
      <c r="H198" s="691"/>
      <c r="I198" s="211">
        <v>46.349999999999994</v>
      </c>
      <c r="J198" s="205"/>
      <c r="K198" s="679">
        <v>2763000</v>
      </c>
      <c r="L198" s="209"/>
      <c r="M198" s="209"/>
      <c r="N198" s="213"/>
      <c r="O198" s="207"/>
      <c r="P198" s="709">
        <v>704000</v>
      </c>
    </row>
    <row r="199" spans="1:16" ht="14.25" customHeight="1">
      <c r="A199" s="713" t="s">
        <v>602</v>
      </c>
      <c r="B199" s="205" t="s">
        <v>594</v>
      </c>
      <c r="C199" s="205" t="s">
        <v>594</v>
      </c>
      <c r="D199" s="691"/>
      <c r="E199" s="197">
        <v>69</v>
      </c>
      <c r="F199" s="197">
        <v>6</v>
      </c>
      <c r="G199" s="696">
        <v>10000000</v>
      </c>
      <c r="H199" s="691"/>
      <c r="I199" s="211">
        <v>4.6675000000000004</v>
      </c>
      <c r="J199" s="205"/>
      <c r="K199" s="679">
        <v>43677660</v>
      </c>
      <c r="L199" s="209"/>
      <c r="M199" s="209"/>
      <c r="N199" s="204" t="s">
        <v>5141</v>
      </c>
      <c r="O199" s="207"/>
      <c r="P199" s="709">
        <v>11870000</v>
      </c>
    </row>
    <row r="200" spans="1:16" ht="14.25" customHeight="1">
      <c r="A200" s="713" t="s">
        <v>602</v>
      </c>
      <c r="B200" s="205" t="s">
        <v>621</v>
      </c>
      <c r="C200" s="205" t="s">
        <v>621</v>
      </c>
      <c r="D200" s="691"/>
      <c r="E200" s="197">
        <v>8</v>
      </c>
      <c r="F200" s="197">
        <v>3</v>
      </c>
      <c r="G200" s="212"/>
      <c r="H200" s="691"/>
      <c r="I200" s="211">
        <v>25.355</v>
      </c>
      <c r="J200" s="205"/>
      <c r="K200" s="679">
        <v>3784650</v>
      </c>
      <c r="L200" s="209"/>
      <c r="M200" s="209"/>
      <c r="N200" s="204" t="s">
        <v>4524</v>
      </c>
      <c r="O200" s="207"/>
      <c r="P200" s="709">
        <v>1500000</v>
      </c>
    </row>
    <row r="201" spans="1:16" ht="14.25" customHeight="1">
      <c r="A201" s="713" t="s">
        <v>602</v>
      </c>
      <c r="B201" s="205" t="s">
        <v>4535</v>
      </c>
      <c r="C201" s="205" t="s">
        <v>4535</v>
      </c>
      <c r="D201" s="691"/>
      <c r="E201" s="197">
        <v>5</v>
      </c>
      <c r="F201" s="197"/>
      <c r="G201" s="212"/>
      <c r="H201" s="691"/>
      <c r="I201" s="211">
        <v>18.900000000000002</v>
      </c>
      <c r="J201" s="205"/>
      <c r="K201" s="679">
        <v>1092000</v>
      </c>
      <c r="L201" s="209"/>
      <c r="M201" s="209"/>
      <c r="N201" s="204"/>
      <c r="O201" s="207"/>
      <c r="P201" s="709">
        <v>1216000</v>
      </c>
    </row>
    <row r="202" spans="1:16" ht="14.1" customHeight="1">
      <c r="A202" s="713" t="s">
        <v>602</v>
      </c>
      <c r="B202" s="205" t="s">
        <v>602</v>
      </c>
      <c r="C202" s="205" t="s">
        <v>602</v>
      </c>
      <c r="D202" s="691"/>
      <c r="E202" s="197">
        <v>15</v>
      </c>
      <c r="F202" s="197">
        <v>7</v>
      </c>
      <c r="G202" s="696">
        <v>1250000</v>
      </c>
      <c r="H202" s="696">
        <v>300000</v>
      </c>
      <c r="I202" s="211">
        <v>14</v>
      </c>
      <c r="J202" s="205"/>
      <c r="K202" s="679">
        <v>9244240</v>
      </c>
      <c r="L202" s="209"/>
      <c r="M202" s="209"/>
      <c r="N202" s="204" t="s">
        <v>5172</v>
      </c>
      <c r="O202" s="207"/>
      <c r="P202" s="709">
        <v>4500000</v>
      </c>
    </row>
    <row r="203" spans="1:16" ht="14.25" customHeight="1">
      <c r="A203" s="713" t="s">
        <v>602</v>
      </c>
      <c r="B203" s="205" t="s">
        <v>617</v>
      </c>
      <c r="C203" s="205" t="s">
        <v>617</v>
      </c>
      <c r="D203" s="691"/>
      <c r="E203" s="197">
        <v>2</v>
      </c>
      <c r="F203" s="197">
        <v>12</v>
      </c>
      <c r="G203" s="212"/>
      <c r="H203" s="691"/>
      <c r="I203" s="211">
        <v>9</v>
      </c>
      <c r="J203" s="205"/>
      <c r="K203" s="679">
        <v>153300</v>
      </c>
      <c r="L203" s="209"/>
      <c r="M203" s="209"/>
      <c r="N203" s="204"/>
      <c r="O203" s="207"/>
      <c r="P203" s="709">
        <v>204000</v>
      </c>
    </row>
    <row r="204" spans="1:16" ht="15">
      <c r="A204" s="206" t="s">
        <v>705</v>
      </c>
      <c r="B204" s="204" t="s">
        <v>5173</v>
      </c>
      <c r="C204" s="204" t="s">
        <v>768</v>
      </c>
      <c r="D204" s="691" t="s">
        <v>5163</v>
      </c>
      <c r="E204" s="21">
        <v>18</v>
      </c>
      <c r="F204" s="21">
        <v>6</v>
      </c>
      <c r="G204" s="21"/>
      <c r="H204" s="21"/>
      <c r="I204" s="697"/>
      <c r="J204" s="205" t="s">
        <v>4303</v>
      </c>
      <c r="K204" s="679">
        <v>1870000</v>
      </c>
      <c r="L204" s="211" t="s">
        <v>18</v>
      </c>
      <c r="M204" s="211">
        <v>2</v>
      </c>
      <c r="N204" s="204" t="s">
        <v>5141</v>
      </c>
      <c r="O204" s="211" t="s">
        <v>4460</v>
      </c>
      <c r="P204" s="709">
        <v>650000</v>
      </c>
    </row>
    <row r="205" spans="1:16" ht="14.1" customHeight="1">
      <c r="A205" s="234" t="s">
        <v>82</v>
      </c>
      <c r="B205" s="210" t="s">
        <v>4452</v>
      </c>
      <c r="C205" s="210" t="s">
        <v>4452</v>
      </c>
      <c r="D205" s="691" t="s">
        <v>5174</v>
      </c>
      <c r="E205" s="211">
        <v>3</v>
      </c>
      <c r="F205" s="211">
        <v>30</v>
      </c>
      <c r="G205" s="211"/>
      <c r="H205" s="211"/>
      <c r="I205" s="211">
        <v>49</v>
      </c>
      <c r="J205" s="208" t="s">
        <v>4045</v>
      </c>
      <c r="K205" s="679">
        <v>3675000</v>
      </c>
      <c r="L205" s="211" t="s">
        <v>30</v>
      </c>
      <c r="M205" s="211">
        <v>1</v>
      </c>
      <c r="N205" s="204" t="s">
        <v>5141</v>
      </c>
      <c r="O205" s="211" t="s">
        <v>4460</v>
      </c>
      <c r="P205" s="709">
        <v>42000000</v>
      </c>
    </row>
    <row r="206" spans="1:16" ht="14.25" customHeight="1">
      <c r="A206" s="234" t="s">
        <v>82</v>
      </c>
      <c r="B206" s="210" t="s">
        <v>3452</v>
      </c>
      <c r="C206" s="210" t="s">
        <v>3452</v>
      </c>
      <c r="D206" s="691"/>
      <c r="E206" s="211">
        <v>4</v>
      </c>
      <c r="F206" s="211">
        <v>190</v>
      </c>
      <c r="G206" s="211"/>
      <c r="H206" s="211"/>
      <c r="I206" s="211">
        <v>182</v>
      </c>
      <c r="J206" s="208"/>
      <c r="K206" s="679">
        <v>14557400</v>
      </c>
      <c r="L206" s="211"/>
      <c r="M206" s="211"/>
      <c r="N206" s="204"/>
      <c r="O206" s="211"/>
      <c r="P206" s="709">
        <v>1264000</v>
      </c>
    </row>
    <row r="207" spans="1:16" ht="14.25" customHeight="1">
      <c r="A207" s="234" t="s">
        <v>82</v>
      </c>
      <c r="B207" s="210" t="s">
        <v>4452</v>
      </c>
      <c r="C207" s="210" t="s">
        <v>5099</v>
      </c>
      <c r="D207" s="691"/>
      <c r="E207" s="211">
        <v>4</v>
      </c>
      <c r="F207" s="211">
        <v>258</v>
      </c>
      <c r="G207" s="211"/>
      <c r="H207" s="211"/>
      <c r="I207" s="211">
        <v>321</v>
      </c>
      <c r="J207" s="208"/>
      <c r="K207" s="679">
        <v>24075000</v>
      </c>
      <c r="L207" s="211"/>
      <c r="M207" s="211"/>
      <c r="N207" s="204"/>
      <c r="O207" s="211"/>
      <c r="P207" s="709">
        <v>1264000</v>
      </c>
    </row>
    <row r="208" spans="1:16" ht="22.5">
      <c r="A208" s="206" t="s">
        <v>602</v>
      </c>
      <c r="B208" s="210" t="s">
        <v>594</v>
      </c>
      <c r="C208" s="210" t="s">
        <v>1191</v>
      </c>
      <c r="D208" s="691" t="s">
        <v>5174</v>
      </c>
      <c r="E208" s="211">
        <v>6</v>
      </c>
      <c r="F208" s="211">
        <v>0</v>
      </c>
      <c r="G208" s="211"/>
      <c r="H208" s="211"/>
      <c r="I208" s="211">
        <v>52</v>
      </c>
      <c r="J208" s="201" t="s">
        <v>5175</v>
      </c>
      <c r="K208" s="679">
        <v>20000000</v>
      </c>
      <c r="L208" s="207" t="s">
        <v>30</v>
      </c>
      <c r="M208" s="207">
        <v>1</v>
      </c>
      <c r="N208" s="204" t="s">
        <v>5141</v>
      </c>
      <c r="O208" s="207" t="s">
        <v>4460</v>
      </c>
      <c r="P208" s="709">
        <v>3000000</v>
      </c>
    </row>
    <row r="209" spans="1:16" ht="25.5">
      <c r="A209" s="206" t="s">
        <v>705</v>
      </c>
      <c r="B209" s="210" t="s">
        <v>5115</v>
      </c>
      <c r="C209" s="205" t="s">
        <v>594</v>
      </c>
      <c r="D209" s="691" t="s">
        <v>5174</v>
      </c>
      <c r="E209" s="197">
        <v>12</v>
      </c>
      <c r="F209" s="197"/>
      <c r="G209" s="197"/>
      <c r="H209" s="197"/>
      <c r="I209" s="216"/>
      <c r="J209" s="205" t="s">
        <v>4446</v>
      </c>
      <c r="K209" s="679">
        <v>8708550</v>
      </c>
      <c r="L209" s="197" t="s">
        <v>1725</v>
      </c>
      <c r="M209" s="197">
        <v>2</v>
      </c>
      <c r="N209" s="205" t="s">
        <v>5176</v>
      </c>
      <c r="O209" s="197" t="s">
        <v>4460</v>
      </c>
      <c r="P209" s="709">
        <v>3440000</v>
      </c>
    </row>
    <row r="210" spans="1:16" ht="14.1" customHeight="1">
      <c r="A210" s="234" t="s">
        <v>4521</v>
      </c>
      <c r="B210" s="210" t="s">
        <v>5087</v>
      </c>
      <c r="C210" s="210" t="s">
        <v>5087</v>
      </c>
      <c r="D210" s="691" t="s">
        <v>4930</v>
      </c>
      <c r="E210" s="197">
        <v>5</v>
      </c>
      <c r="F210" s="197">
        <v>45</v>
      </c>
      <c r="G210" s="209"/>
      <c r="H210" s="214"/>
      <c r="I210" s="209"/>
      <c r="J210" s="208" t="s">
        <v>4424</v>
      </c>
      <c r="K210" s="679">
        <v>3375000</v>
      </c>
      <c r="L210" s="207" t="s">
        <v>3652</v>
      </c>
      <c r="M210" s="207">
        <v>1</v>
      </c>
      <c r="N210" s="204" t="s">
        <v>5177</v>
      </c>
      <c r="O210" s="207" t="s">
        <v>4460</v>
      </c>
      <c r="P210" s="709">
        <v>660000</v>
      </c>
    </row>
    <row r="211" spans="1:16" ht="15.75">
      <c r="A211" s="234" t="s">
        <v>4521</v>
      </c>
      <c r="B211" s="699" t="s">
        <v>4425</v>
      </c>
      <c r="C211" s="700" t="s">
        <v>4425</v>
      </c>
      <c r="D211" s="691"/>
      <c r="E211" s="197">
        <v>4</v>
      </c>
      <c r="F211" s="197">
        <v>15</v>
      </c>
      <c r="G211" s="209"/>
      <c r="H211" s="214"/>
      <c r="I211" s="209"/>
      <c r="J211" s="208"/>
      <c r="K211" s="679">
        <v>1125000</v>
      </c>
      <c r="L211" s="207"/>
      <c r="M211" s="207"/>
      <c r="N211" s="204"/>
      <c r="O211" s="207"/>
      <c r="P211" s="709">
        <v>270000</v>
      </c>
    </row>
    <row r="212" spans="1:16" ht="12.75" customHeight="1">
      <c r="A212" s="234" t="s">
        <v>4521</v>
      </c>
      <c r="B212" s="210" t="s">
        <v>4123</v>
      </c>
      <c r="C212" s="210" t="s">
        <v>4123</v>
      </c>
      <c r="D212" s="691"/>
      <c r="E212" s="197">
        <v>1</v>
      </c>
      <c r="F212" s="197">
        <v>3</v>
      </c>
      <c r="G212" s="209"/>
      <c r="H212" s="214"/>
      <c r="I212" s="209"/>
      <c r="J212" s="208"/>
      <c r="K212" s="679">
        <v>225000</v>
      </c>
      <c r="L212" s="207"/>
      <c r="M212" s="207"/>
      <c r="N212" s="204"/>
      <c r="O212" s="207"/>
      <c r="P212" s="709">
        <v>54000</v>
      </c>
    </row>
    <row r="213" spans="1:16" ht="12.75" customHeight="1">
      <c r="A213" s="234" t="s">
        <v>4521</v>
      </c>
      <c r="B213" s="210" t="s">
        <v>58</v>
      </c>
      <c r="C213" s="210" t="s">
        <v>58</v>
      </c>
      <c r="D213" s="691"/>
      <c r="E213" s="197">
        <v>5</v>
      </c>
      <c r="F213" s="197">
        <v>22</v>
      </c>
      <c r="G213" s="209"/>
      <c r="H213" s="214"/>
      <c r="I213" s="209"/>
      <c r="J213" s="208"/>
      <c r="K213" s="679">
        <v>1650000</v>
      </c>
      <c r="L213" s="207"/>
      <c r="M213" s="207"/>
      <c r="N213" s="204"/>
      <c r="O213" s="207"/>
      <c r="P213" s="709">
        <v>1700000</v>
      </c>
    </row>
    <row r="214" spans="1:16" ht="14.1" customHeight="1">
      <c r="A214" s="234" t="s">
        <v>130</v>
      </c>
      <c r="B214" s="205" t="s">
        <v>768</v>
      </c>
      <c r="C214" s="205" t="s">
        <v>5178</v>
      </c>
      <c r="D214" s="691" t="s">
        <v>4930</v>
      </c>
      <c r="E214" s="211">
        <v>1</v>
      </c>
      <c r="F214" s="211">
        <v>4</v>
      </c>
      <c r="G214" s="214"/>
      <c r="H214" s="214"/>
      <c r="I214" s="214"/>
      <c r="J214" s="208" t="s">
        <v>5095</v>
      </c>
      <c r="K214" s="679">
        <v>320000</v>
      </c>
      <c r="L214" s="207" t="s">
        <v>18</v>
      </c>
      <c r="M214" s="211">
        <v>1</v>
      </c>
      <c r="N214" s="204" t="s">
        <v>5177</v>
      </c>
      <c r="O214" s="211" t="s">
        <v>4460</v>
      </c>
      <c r="P214" s="709">
        <v>54000</v>
      </c>
    </row>
    <row r="215" spans="1:16" ht="15">
      <c r="A215" s="234" t="s">
        <v>705</v>
      </c>
      <c r="B215" s="205" t="s">
        <v>768</v>
      </c>
      <c r="C215" s="205" t="s">
        <v>768</v>
      </c>
      <c r="D215" s="691" t="s">
        <v>4930</v>
      </c>
      <c r="E215" s="211">
        <v>2</v>
      </c>
      <c r="F215" s="211">
        <v>6</v>
      </c>
      <c r="G215" s="214"/>
      <c r="H215" s="214"/>
      <c r="I215" s="214"/>
      <c r="J215" s="208"/>
      <c r="K215" s="679">
        <v>350000</v>
      </c>
      <c r="L215" s="207" t="s">
        <v>18</v>
      </c>
      <c r="M215" s="211">
        <v>1</v>
      </c>
      <c r="N215" s="204"/>
      <c r="O215" s="211"/>
      <c r="P215" s="709">
        <v>108000</v>
      </c>
    </row>
    <row r="216" spans="1:16" ht="25.5">
      <c r="A216" s="65" t="s">
        <v>4526</v>
      </c>
      <c r="B216" s="126" t="s">
        <v>4545</v>
      </c>
      <c r="C216" s="126" t="s">
        <v>633</v>
      </c>
      <c r="D216" s="691" t="s">
        <v>5179</v>
      </c>
      <c r="E216" s="197">
        <v>2</v>
      </c>
      <c r="F216" s="197">
        <v>50</v>
      </c>
      <c r="G216" s="197"/>
      <c r="H216" s="197"/>
      <c r="I216" s="197"/>
      <c r="J216" s="205" t="s">
        <v>5180</v>
      </c>
      <c r="K216" s="679">
        <v>200000</v>
      </c>
      <c r="L216" s="197" t="s">
        <v>31</v>
      </c>
      <c r="M216" s="207">
        <v>1</v>
      </c>
      <c r="N216" s="204" t="s">
        <v>5177</v>
      </c>
      <c r="O216" s="197" t="s">
        <v>4460</v>
      </c>
      <c r="P216" s="709">
        <v>48000</v>
      </c>
    </row>
    <row r="217" spans="1:16" ht="25.5">
      <c r="A217" s="65" t="s">
        <v>130</v>
      </c>
      <c r="B217" s="126" t="s">
        <v>130</v>
      </c>
      <c r="C217" s="205" t="s">
        <v>5178</v>
      </c>
      <c r="D217" s="691" t="s">
        <v>5179</v>
      </c>
      <c r="E217" s="207">
        <v>5</v>
      </c>
      <c r="F217" s="207">
        <v>77</v>
      </c>
      <c r="G217" s="209"/>
      <c r="H217" s="209"/>
      <c r="I217" s="209"/>
      <c r="J217" s="208" t="s">
        <v>5095</v>
      </c>
      <c r="K217" s="679">
        <v>231000</v>
      </c>
      <c r="L217" s="207" t="s">
        <v>18</v>
      </c>
      <c r="M217" s="207">
        <v>1</v>
      </c>
      <c r="N217" s="204" t="s">
        <v>5177</v>
      </c>
      <c r="O217" s="207" t="s">
        <v>4460</v>
      </c>
      <c r="P217" s="709">
        <v>48000</v>
      </c>
    </row>
    <row r="218" spans="1:16" ht="14.25">
      <c r="A218" s="65" t="s">
        <v>705</v>
      </c>
      <c r="B218" s="126" t="s">
        <v>5181</v>
      </c>
      <c r="C218" s="205" t="s">
        <v>594</v>
      </c>
      <c r="D218" s="691" t="s">
        <v>5179</v>
      </c>
      <c r="E218" s="207">
        <v>3</v>
      </c>
      <c r="F218" s="207">
        <v>70</v>
      </c>
      <c r="G218" s="209"/>
      <c r="H218" s="209"/>
      <c r="I218" s="209"/>
      <c r="J218" s="208" t="s">
        <v>4303</v>
      </c>
      <c r="K218" s="679">
        <v>190000</v>
      </c>
      <c r="L218" s="207" t="s">
        <v>18</v>
      </c>
      <c r="M218" s="207">
        <v>1</v>
      </c>
      <c r="N218" s="204" t="s">
        <v>5177</v>
      </c>
      <c r="O218" s="207" t="s">
        <v>4460</v>
      </c>
      <c r="P218" s="709">
        <v>48000</v>
      </c>
    </row>
    <row r="219" spans="1:16" ht="15.6" customHeight="1">
      <c r="A219" s="234" t="s">
        <v>4521</v>
      </c>
      <c r="B219" s="700" t="s">
        <v>5087</v>
      </c>
      <c r="C219" s="700" t="s">
        <v>5087</v>
      </c>
      <c r="D219" s="691" t="s">
        <v>5182</v>
      </c>
      <c r="E219" s="197">
        <v>9</v>
      </c>
      <c r="F219" s="197">
        <v>105</v>
      </c>
      <c r="G219" s="214"/>
      <c r="H219" s="214"/>
      <c r="I219" s="214"/>
      <c r="J219" s="208" t="s">
        <v>4424</v>
      </c>
      <c r="K219" s="679">
        <v>525000</v>
      </c>
      <c r="L219" s="211" t="s">
        <v>3652</v>
      </c>
      <c r="M219" s="211">
        <v>1</v>
      </c>
      <c r="N219" s="204" t="s">
        <v>5183</v>
      </c>
      <c r="O219" s="211" t="s">
        <v>4460</v>
      </c>
      <c r="P219" s="709">
        <v>108000</v>
      </c>
    </row>
    <row r="220" spans="1:16" ht="15.75">
      <c r="A220" s="234" t="s">
        <v>4521</v>
      </c>
      <c r="B220" s="700" t="s">
        <v>4425</v>
      </c>
      <c r="C220" s="700" t="s">
        <v>4425</v>
      </c>
      <c r="D220" s="691"/>
      <c r="E220" s="197">
        <v>5</v>
      </c>
      <c r="F220" s="197">
        <v>50</v>
      </c>
      <c r="G220" s="214"/>
      <c r="H220" s="214"/>
      <c r="I220" s="214"/>
      <c r="J220" s="208"/>
      <c r="K220" s="679">
        <v>250000</v>
      </c>
      <c r="L220" s="211"/>
      <c r="M220" s="211"/>
      <c r="N220" s="204"/>
      <c r="O220" s="211"/>
      <c r="P220" s="709">
        <v>54000</v>
      </c>
    </row>
    <row r="221" spans="1:16" ht="15.75">
      <c r="A221" s="234" t="s">
        <v>4521</v>
      </c>
      <c r="B221" s="700" t="s">
        <v>58</v>
      </c>
      <c r="C221" s="700" t="s">
        <v>58</v>
      </c>
      <c r="D221" s="691"/>
      <c r="E221" s="197">
        <v>7</v>
      </c>
      <c r="F221" s="197">
        <v>110</v>
      </c>
      <c r="G221" s="214"/>
      <c r="H221" s="214"/>
      <c r="I221" s="214"/>
      <c r="J221" s="208"/>
      <c r="K221" s="679">
        <v>550000</v>
      </c>
      <c r="L221" s="211"/>
      <c r="M221" s="211"/>
      <c r="N221" s="204"/>
      <c r="O221" s="211"/>
      <c r="P221" s="709">
        <v>108000</v>
      </c>
    </row>
    <row r="222" spans="1:16" ht="25.5">
      <c r="A222" s="206" t="s">
        <v>602</v>
      </c>
      <c r="B222" s="204" t="s">
        <v>602</v>
      </c>
      <c r="C222" s="205" t="s">
        <v>602</v>
      </c>
      <c r="D222" s="691" t="s">
        <v>5184</v>
      </c>
      <c r="E222" s="197">
        <v>2</v>
      </c>
      <c r="F222" s="197">
        <v>14030</v>
      </c>
      <c r="G222" s="197"/>
      <c r="H222" s="197"/>
      <c r="I222" s="217">
        <v>1</v>
      </c>
      <c r="J222" s="208" t="s">
        <v>5161</v>
      </c>
      <c r="K222" s="679">
        <v>210000</v>
      </c>
      <c r="L222" s="197"/>
      <c r="M222" s="197"/>
      <c r="N222" s="701" t="s">
        <v>5183</v>
      </c>
      <c r="O222" s="207" t="s">
        <v>4460</v>
      </c>
      <c r="P222" s="709">
        <v>216000</v>
      </c>
    </row>
    <row r="223" spans="1:16" ht="25.5">
      <c r="A223" s="206" t="s">
        <v>130</v>
      </c>
      <c r="B223" s="204" t="s">
        <v>130</v>
      </c>
      <c r="C223" s="205" t="s">
        <v>5185</v>
      </c>
      <c r="D223" s="691" t="s">
        <v>5186</v>
      </c>
      <c r="E223" s="207">
        <v>1</v>
      </c>
      <c r="F223" s="207">
        <v>15</v>
      </c>
      <c r="G223" s="209"/>
      <c r="H223" s="209"/>
      <c r="I223" s="209"/>
      <c r="J223" s="208" t="s">
        <v>5095</v>
      </c>
      <c r="K223" s="679">
        <v>900000</v>
      </c>
      <c r="L223" s="207" t="s">
        <v>125</v>
      </c>
      <c r="M223" s="209"/>
      <c r="N223" s="701" t="s">
        <v>5183</v>
      </c>
      <c r="O223" s="207" t="s">
        <v>4460</v>
      </c>
      <c r="P223" s="709">
        <v>48000</v>
      </c>
    </row>
    <row r="224" spans="1:16" ht="15">
      <c r="A224" s="65" t="s">
        <v>705</v>
      </c>
      <c r="B224" s="126" t="s">
        <v>705</v>
      </c>
      <c r="C224" s="126"/>
      <c r="D224" s="691" t="s">
        <v>5187</v>
      </c>
      <c r="E224" s="197">
        <v>6</v>
      </c>
      <c r="F224" s="197">
        <v>63</v>
      </c>
      <c r="G224" s="197"/>
      <c r="H224" s="197"/>
      <c r="I224" s="216"/>
      <c r="J224" s="126" t="s">
        <v>4303</v>
      </c>
      <c r="K224" s="679">
        <v>2660000</v>
      </c>
      <c r="L224" s="197" t="s">
        <v>18</v>
      </c>
      <c r="M224" s="197">
        <v>2</v>
      </c>
      <c r="N224" s="205" t="s">
        <v>5188</v>
      </c>
      <c r="O224" s="197" t="s">
        <v>4460</v>
      </c>
      <c r="P224" s="709">
        <v>140000</v>
      </c>
    </row>
    <row r="225" spans="1:16" ht="22.5">
      <c r="A225" s="206" t="s">
        <v>602</v>
      </c>
      <c r="B225" s="204" t="s">
        <v>589</v>
      </c>
      <c r="C225" s="205" t="s">
        <v>589</v>
      </c>
      <c r="D225" s="691" t="s">
        <v>5187</v>
      </c>
      <c r="E225" s="197">
        <v>1</v>
      </c>
      <c r="F225" s="215">
        <v>0</v>
      </c>
      <c r="G225" s="197"/>
      <c r="H225" s="197"/>
      <c r="I225" s="217">
        <v>0.78749999999999998</v>
      </c>
      <c r="J225" s="201" t="s">
        <v>5161</v>
      </c>
      <c r="K225" s="679">
        <v>355000</v>
      </c>
      <c r="L225" s="197"/>
      <c r="M225" s="197"/>
      <c r="N225" s="701" t="s">
        <v>4524</v>
      </c>
      <c r="O225" s="197" t="s">
        <v>4460</v>
      </c>
      <c r="P225" s="709">
        <v>64000</v>
      </c>
    </row>
    <row r="226" spans="1:16" ht="14.1" customHeight="1">
      <c r="A226" s="206" t="s">
        <v>4411</v>
      </c>
      <c r="B226" s="126" t="s">
        <v>376</v>
      </c>
      <c r="C226" s="126" t="s">
        <v>1686</v>
      </c>
      <c r="D226" s="691" t="s">
        <v>5023</v>
      </c>
      <c r="E226" s="197">
        <v>1</v>
      </c>
      <c r="F226" s="197">
        <v>10</v>
      </c>
      <c r="G226" s="702"/>
      <c r="H226" s="197"/>
      <c r="I226" s="197"/>
      <c r="J226" s="208" t="s">
        <v>5095</v>
      </c>
      <c r="K226" s="679">
        <v>2000000</v>
      </c>
      <c r="L226" s="197" t="s">
        <v>31</v>
      </c>
      <c r="M226" s="197">
        <v>1</v>
      </c>
      <c r="N226" s="208" t="s">
        <v>5189</v>
      </c>
      <c r="O226" s="197" t="s">
        <v>4460</v>
      </c>
      <c r="P226" s="709">
        <v>400000</v>
      </c>
    </row>
    <row r="227" spans="1:16" ht="15">
      <c r="A227" s="206" t="s">
        <v>130</v>
      </c>
      <c r="B227" s="204" t="s">
        <v>130</v>
      </c>
      <c r="C227" s="205" t="s">
        <v>5190</v>
      </c>
      <c r="D227" s="691" t="s">
        <v>5023</v>
      </c>
      <c r="E227" s="207">
        <v>1</v>
      </c>
      <c r="F227" s="207">
        <v>6</v>
      </c>
      <c r="G227" s="209"/>
      <c r="H227" s="209"/>
      <c r="I227" s="209"/>
      <c r="J227" s="208"/>
      <c r="K227" s="679">
        <v>2100000</v>
      </c>
      <c r="L227" s="207" t="s">
        <v>226</v>
      </c>
      <c r="M227" s="209">
        <v>1</v>
      </c>
      <c r="N227" s="208" t="s">
        <v>5191</v>
      </c>
      <c r="O227" s="197" t="s">
        <v>4460</v>
      </c>
      <c r="P227" s="709">
        <v>240000</v>
      </c>
    </row>
    <row r="228" spans="1:16" ht="12.95" customHeight="1">
      <c r="A228" s="234" t="s">
        <v>82</v>
      </c>
      <c r="B228" s="126" t="s">
        <v>82</v>
      </c>
      <c r="C228" s="126" t="s">
        <v>82</v>
      </c>
      <c r="D228" s="691" t="s">
        <v>5023</v>
      </c>
      <c r="E228" s="197">
        <v>2</v>
      </c>
      <c r="F228" s="197">
        <v>75</v>
      </c>
      <c r="G228" s="197"/>
      <c r="H228" s="197"/>
      <c r="I228" s="197"/>
      <c r="J228" s="208" t="s">
        <v>5095</v>
      </c>
      <c r="K228" s="679">
        <v>2680000</v>
      </c>
      <c r="L228" s="197" t="s">
        <v>30</v>
      </c>
      <c r="M228" s="197">
        <v>1</v>
      </c>
      <c r="N228" s="208" t="s">
        <v>5191</v>
      </c>
      <c r="O228" s="197" t="s">
        <v>4460</v>
      </c>
      <c r="P228" s="709">
        <v>1400000</v>
      </c>
    </row>
    <row r="229" spans="1:16" ht="12.95" customHeight="1">
      <c r="A229" s="234" t="s">
        <v>82</v>
      </c>
      <c r="B229" s="126" t="s">
        <v>4452</v>
      </c>
      <c r="C229" s="126" t="s">
        <v>4452</v>
      </c>
      <c r="D229" s="691"/>
      <c r="E229" s="197">
        <v>2</v>
      </c>
      <c r="F229" s="197">
        <v>84</v>
      </c>
      <c r="G229" s="197"/>
      <c r="H229" s="197"/>
      <c r="I229" s="197"/>
      <c r="J229" s="208"/>
      <c r="K229" s="679">
        <v>3000000</v>
      </c>
      <c r="L229" s="197"/>
      <c r="M229" s="197"/>
      <c r="N229" s="208"/>
      <c r="O229" s="197"/>
      <c r="P229" s="709">
        <v>1400000</v>
      </c>
    </row>
    <row r="230" spans="1:16" ht="15">
      <c r="A230" s="206" t="s">
        <v>705</v>
      </c>
      <c r="B230" s="126" t="s">
        <v>5192</v>
      </c>
      <c r="C230" s="126" t="s">
        <v>5193</v>
      </c>
      <c r="D230" s="197" t="s">
        <v>5194</v>
      </c>
      <c r="E230" s="197">
        <v>10</v>
      </c>
      <c r="F230" s="197">
        <v>75</v>
      </c>
      <c r="G230" s="197"/>
      <c r="H230" s="197"/>
      <c r="I230" s="197"/>
      <c r="J230" s="205" t="s">
        <v>5040</v>
      </c>
      <c r="K230" s="679">
        <v>17829400</v>
      </c>
      <c r="L230" s="197" t="s">
        <v>30</v>
      </c>
      <c r="M230" s="197">
        <v>1</v>
      </c>
      <c r="N230" s="126" t="s">
        <v>5195</v>
      </c>
      <c r="O230" s="197" t="s">
        <v>4460</v>
      </c>
      <c r="P230" s="709">
        <v>17829400</v>
      </c>
    </row>
    <row r="231" spans="1:16" ht="15">
      <c r="A231" s="206" t="s">
        <v>705</v>
      </c>
      <c r="B231" s="205" t="s">
        <v>768</v>
      </c>
      <c r="C231" s="126" t="s">
        <v>768</v>
      </c>
      <c r="D231" s="197" t="s">
        <v>4937</v>
      </c>
      <c r="E231" s="197">
        <v>5</v>
      </c>
      <c r="F231" s="197">
        <v>4</v>
      </c>
      <c r="G231" s="197"/>
      <c r="H231" s="197"/>
      <c r="I231" s="216"/>
      <c r="J231" s="126" t="s">
        <v>4303</v>
      </c>
      <c r="K231" s="679">
        <v>1800000</v>
      </c>
      <c r="L231" s="197" t="s">
        <v>18</v>
      </c>
      <c r="M231" s="197">
        <v>2</v>
      </c>
      <c r="N231" s="690"/>
      <c r="O231" s="197" t="s">
        <v>4460</v>
      </c>
      <c r="P231" s="709">
        <v>1200000</v>
      </c>
    </row>
    <row r="232" spans="1:16" ht="25.5">
      <c r="A232" s="206" t="s">
        <v>130</v>
      </c>
      <c r="B232" s="204" t="s">
        <v>130</v>
      </c>
      <c r="C232" s="205" t="s">
        <v>5178</v>
      </c>
      <c r="D232" s="691" t="s">
        <v>4937</v>
      </c>
      <c r="E232" s="209">
        <v>2</v>
      </c>
      <c r="F232" s="209">
        <v>3</v>
      </c>
      <c r="G232" s="209"/>
      <c r="H232" s="209"/>
      <c r="I232" s="209"/>
      <c r="J232" s="208" t="s">
        <v>5095</v>
      </c>
      <c r="K232" s="679">
        <v>1500000</v>
      </c>
      <c r="L232" s="207" t="s">
        <v>125</v>
      </c>
      <c r="M232" s="207"/>
      <c r="N232" s="208" t="s">
        <v>5183</v>
      </c>
      <c r="O232" s="207" t="s">
        <v>4460</v>
      </c>
      <c r="P232" s="709">
        <v>48000</v>
      </c>
    </row>
    <row r="233" spans="1:16" ht="15">
      <c r="A233" s="65" t="s">
        <v>705</v>
      </c>
      <c r="B233" s="126" t="s">
        <v>705</v>
      </c>
      <c r="C233" s="126" t="s">
        <v>705</v>
      </c>
      <c r="D233" s="691" t="s">
        <v>5196</v>
      </c>
      <c r="E233" s="197">
        <v>3</v>
      </c>
      <c r="F233" s="197">
        <v>16</v>
      </c>
      <c r="G233" s="197"/>
      <c r="H233" s="197"/>
      <c r="I233" s="216"/>
      <c r="J233" s="126" t="s">
        <v>4303</v>
      </c>
      <c r="K233" s="679">
        <v>800000</v>
      </c>
      <c r="L233" s="197" t="s">
        <v>18</v>
      </c>
      <c r="M233" s="197">
        <v>2</v>
      </c>
      <c r="N233" s="205" t="s">
        <v>5188</v>
      </c>
      <c r="O233" s="197" t="s">
        <v>4460</v>
      </c>
      <c r="P233" s="709">
        <v>72000</v>
      </c>
    </row>
    <row r="234" spans="1:16" ht="25.5">
      <c r="A234" s="65" t="s">
        <v>304</v>
      </c>
      <c r="B234" s="205" t="s">
        <v>4415</v>
      </c>
      <c r="C234" s="205" t="s">
        <v>5143</v>
      </c>
      <c r="D234" s="691" t="s">
        <v>5197</v>
      </c>
      <c r="E234" s="197">
        <v>1</v>
      </c>
      <c r="F234" s="197">
        <v>31</v>
      </c>
      <c r="G234" s="702"/>
      <c r="H234" s="197"/>
      <c r="I234" s="197"/>
      <c r="J234" s="126"/>
      <c r="K234" s="679">
        <v>200000</v>
      </c>
      <c r="L234" s="197"/>
      <c r="M234" s="197"/>
      <c r="N234" s="205" t="s">
        <v>5141</v>
      </c>
      <c r="O234" s="197" t="s">
        <v>4460</v>
      </c>
      <c r="P234" s="709">
        <v>316000</v>
      </c>
    </row>
    <row r="235" spans="1:16" ht="33.75">
      <c r="A235" s="714" t="s">
        <v>4526</v>
      </c>
      <c r="B235" s="118" t="s">
        <v>4653</v>
      </c>
      <c r="C235" s="200" t="s">
        <v>4653</v>
      </c>
      <c r="D235" s="66" t="s">
        <v>5198</v>
      </c>
      <c r="E235" s="116">
        <v>1</v>
      </c>
      <c r="F235" s="116">
        <v>20</v>
      </c>
      <c r="G235" s="116"/>
      <c r="H235" s="116" t="s">
        <v>5183</v>
      </c>
      <c r="I235" s="116" t="s">
        <v>5199</v>
      </c>
      <c r="J235" s="118" t="s">
        <v>5200</v>
      </c>
      <c r="K235" s="470">
        <v>0</v>
      </c>
      <c r="L235" s="116">
        <v>1</v>
      </c>
      <c r="M235" s="116" t="s">
        <v>4345</v>
      </c>
      <c r="N235" s="119"/>
      <c r="O235" s="66" t="s">
        <v>5201</v>
      </c>
      <c r="P235" s="468">
        <v>0</v>
      </c>
    </row>
    <row r="236" spans="1:16" ht="33.75">
      <c r="A236" s="714" t="s">
        <v>4526</v>
      </c>
      <c r="B236" s="118"/>
      <c r="C236" s="200"/>
      <c r="D236" s="66" t="s">
        <v>5202</v>
      </c>
      <c r="E236" s="116">
        <v>1</v>
      </c>
      <c r="F236" s="116">
        <v>75</v>
      </c>
      <c r="G236" s="116" t="s">
        <v>5203</v>
      </c>
      <c r="H236" s="116" t="s">
        <v>5204</v>
      </c>
      <c r="I236" s="116"/>
      <c r="J236" s="118" t="s">
        <v>5200</v>
      </c>
      <c r="K236" s="470">
        <v>0</v>
      </c>
      <c r="L236" s="116">
        <v>1</v>
      </c>
      <c r="M236" s="116" t="s">
        <v>4345</v>
      </c>
      <c r="N236" s="119"/>
      <c r="O236" s="66" t="s">
        <v>5201</v>
      </c>
      <c r="P236" s="468">
        <v>0</v>
      </c>
    </row>
    <row r="237" spans="1:16" ht="32.1" customHeight="1">
      <c r="A237" s="714" t="s">
        <v>4526</v>
      </c>
      <c r="B237" s="118"/>
      <c r="C237" s="200"/>
      <c r="D237" s="66" t="s">
        <v>5205</v>
      </c>
      <c r="E237" s="116">
        <v>21</v>
      </c>
      <c r="F237" s="116">
        <v>10</v>
      </c>
      <c r="G237" s="66" t="s">
        <v>5206</v>
      </c>
      <c r="H237" s="66" t="s">
        <v>5207</v>
      </c>
      <c r="I237" s="66">
        <v>359</v>
      </c>
      <c r="J237" s="200" t="s">
        <v>5208</v>
      </c>
      <c r="K237" s="470">
        <v>51959283</v>
      </c>
      <c r="L237" s="116">
        <v>1</v>
      </c>
      <c r="M237" s="116" t="s">
        <v>4345</v>
      </c>
      <c r="N237" s="118" t="s">
        <v>5209</v>
      </c>
      <c r="O237" s="66" t="s">
        <v>5201</v>
      </c>
      <c r="P237" s="468">
        <v>5250000</v>
      </c>
    </row>
    <row r="238" spans="1:16" ht="18.95" customHeight="1">
      <c r="A238" s="714" t="s">
        <v>4526</v>
      </c>
      <c r="B238" s="118"/>
      <c r="C238" s="200"/>
      <c r="D238" s="66"/>
      <c r="E238" s="116"/>
      <c r="F238" s="116"/>
      <c r="G238" s="66"/>
      <c r="H238" s="66"/>
      <c r="I238" s="66"/>
      <c r="J238" s="200"/>
      <c r="K238" s="470"/>
      <c r="L238" s="116"/>
      <c r="M238" s="116"/>
      <c r="N238" s="118" t="s">
        <v>5210</v>
      </c>
      <c r="O238" s="66"/>
      <c r="P238" s="468">
        <v>734000</v>
      </c>
    </row>
    <row r="239" spans="1:16" ht="23.1" customHeight="1">
      <c r="A239" s="714" t="s">
        <v>4526</v>
      </c>
      <c r="B239" s="118"/>
      <c r="C239" s="200"/>
      <c r="D239" s="66"/>
      <c r="E239" s="116"/>
      <c r="F239" s="116"/>
      <c r="G239" s="66"/>
      <c r="H239" s="66"/>
      <c r="I239" s="66"/>
      <c r="J239" s="200"/>
      <c r="K239" s="470"/>
      <c r="L239" s="116"/>
      <c r="M239" s="116"/>
      <c r="N239" s="118" t="s">
        <v>5211</v>
      </c>
      <c r="O239" s="66"/>
      <c r="P239" s="468">
        <v>500000</v>
      </c>
    </row>
    <row r="240" spans="1:16" ht="21" customHeight="1">
      <c r="A240" s="714" t="s">
        <v>4526</v>
      </c>
      <c r="B240" s="118"/>
      <c r="C240" s="200"/>
      <c r="D240" s="66"/>
      <c r="E240" s="116"/>
      <c r="F240" s="116"/>
      <c r="G240" s="66"/>
      <c r="H240" s="66"/>
      <c r="I240" s="66"/>
      <c r="J240" s="200"/>
      <c r="K240" s="470"/>
      <c r="L240" s="116"/>
      <c r="M240" s="116"/>
      <c r="N240" s="118" t="s">
        <v>5212</v>
      </c>
      <c r="O240" s="66"/>
      <c r="P240" s="468">
        <v>310000</v>
      </c>
    </row>
    <row r="241" spans="1:16" ht="41.1" customHeight="1">
      <c r="A241" s="714" t="s">
        <v>4526</v>
      </c>
      <c r="B241" s="118"/>
      <c r="C241" s="200"/>
      <c r="D241" s="66"/>
      <c r="E241" s="116"/>
      <c r="F241" s="116"/>
      <c r="G241" s="66"/>
      <c r="H241" s="66"/>
      <c r="I241" s="66"/>
      <c r="J241" s="200"/>
      <c r="K241" s="470"/>
      <c r="L241" s="116"/>
      <c r="M241" s="116"/>
      <c r="N241" s="200" t="s">
        <v>5213</v>
      </c>
      <c r="O241" s="66"/>
      <c r="P241" s="468">
        <v>2822400</v>
      </c>
    </row>
    <row r="242" spans="1:16" ht="12.6" customHeight="1">
      <c r="A242" s="714" t="s">
        <v>4358</v>
      </c>
      <c r="B242" s="118" t="s">
        <v>2057</v>
      </c>
      <c r="C242" s="118" t="s">
        <v>5214</v>
      </c>
      <c r="D242" s="116" t="s">
        <v>5215</v>
      </c>
      <c r="E242" s="116">
        <v>1</v>
      </c>
      <c r="F242" s="116">
        <v>90</v>
      </c>
      <c r="G242" s="116" t="s">
        <v>4846</v>
      </c>
      <c r="H242" s="66" t="s">
        <v>5216</v>
      </c>
      <c r="I242" s="116">
        <v>20</v>
      </c>
      <c r="J242" s="200" t="s">
        <v>4740</v>
      </c>
      <c r="K242" s="470">
        <v>10820000</v>
      </c>
      <c r="L242" s="116">
        <v>1</v>
      </c>
      <c r="M242" s="116" t="s">
        <v>4345</v>
      </c>
      <c r="N242" s="118" t="s">
        <v>5217</v>
      </c>
      <c r="O242" s="66" t="s">
        <v>5201</v>
      </c>
      <c r="P242" s="468">
        <v>95000</v>
      </c>
    </row>
    <row r="243" spans="1:16">
      <c r="A243" s="714" t="s">
        <v>4358</v>
      </c>
      <c r="B243" s="118"/>
      <c r="C243" s="118"/>
      <c r="D243" s="116"/>
      <c r="E243" s="116"/>
      <c r="F243" s="116"/>
      <c r="G243" s="116"/>
      <c r="H243" s="66"/>
      <c r="I243" s="116"/>
      <c r="J243" s="200"/>
      <c r="K243" s="470"/>
      <c r="L243" s="116"/>
      <c r="M243" s="116"/>
      <c r="N243" s="118" t="s">
        <v>5218</v>
      </c>
      <c r="O243" s="66"/>
      <c r="P243" s="468">
        <v>650000</v>
      </c>
    </row>
    <row r="244" spans="1:16">
      <c r="A244" s="714" t="s">
        <v>4358</v>
      </c>
      <c r="B244" s="118"/>
      <c r="C244" s="118"/>
      <c r="D244" s="116"/>
      <c r="E244" s="116"/>
      <c r="F244" s="116"/>
      <c r="G244" s="116"/>
      <c r="H244" s="66"/>
      <c r="I244" s="116"/>
      <c r="J244" s="200"/>
      <c r="K244" s="470"/>
      <c r="L244" s="116"/>
      <c r="M244" s="116"/>
      <c r="N244" s="118" t="s">
        <v>5210</v>
      </c>
      <c r="O244" s="66"/>
      <c r="P244" s="468">
        <v>367000</v>
      </c>
    </row>
    <row r="245" spans="1:16">
      <c r="A245" s="714" t="s">
        <v>4358</v>
      </c>
      <c r="B245" s="118"/>
      <c r="C245" s="118"/>
      <c r="D245" s="116"/>
      <c r="E245" s="116"/>
      <c r="F245" s="116"/>
      <c r="G245" s="116"/>
      <c r="H245" s="66"/>
      <c r="I245" s="116"/>
      <c r="J245" s="200"/>
      <c r="K245" s="470"/>
      <c r="L245" s="116"/>
      <c r="M245" s="116"/>
      <c r="N245" s="118" t="s">
        <v>5211</v>
      </c>
      <c r="O245" s="66"/>
      <c r="P245" s="468">
        <v>250000</v>
      </c>
    </row>
    <row r="246" spans="1:16">
      <c r="A246" s="714" t="s">
        <v>4358</v>
      </c>
      <c r="B246" s="118"/>
      <c r="C246" s="118"/>
      <c r="D246" s="116"/>
      <c r="E246" s="116"/>
      <c r="F246" s="116"/>
      <c r="G246" s="116"/>
      <c r="H246" s="66"/>
      <c r="I246" s="116"/>
      <c r="J246" s="200"/>
      <c r="K246" s="470"/>
      <c r="L246" s="116"/>
      <c r="M246" s="116"/>
      <c r="N246" s="118" t="s">
        <v>5212</v>
      </c>
      <c r="O246" s="66"/>
      <c r="P246" s="468">
        <v>62000</v>
      </c>
    </row>
    <row r="247" spans="1:16">
      <c r="A247" s="714" t="s">
        <v>4358</v>
      </c>
      <c r="B247" s="118"/>
      <c r="C247" s="118"/>
      <c r="D247" s="116"/>
      <c r="E247" s="116"/>
      <c r="F247" s="116"/>
      <c r="G247" s="116"/>
      <c r="H247" s="66"/>
      <c r="I247" s="116"/>
      <c r="J247" s="200"/>
      <c r="K247" s="470"/>
      <c r="L247" s="116"/>
      <c r="M247" s="116"/>
      <c r="N247" s="118" t="s">
        <v>5219</v>
      </c>
      <c r="O247" s="66"/>
      <c r="P247" s="468">
        <v>90000</v>
      </c>
    </row>
    <row r="248" spans="1:16" ht="12.6" customHeight="1">
      <c r="A248" s="714" t="s">
        <v>4156</v>
      </c>
      <c r="B248" s="118" t="s">
        <v>3494</v>
      </c>
      <c r="C248" s="118" t="s">
        <v>5220</v>
      </c>
      <c r="D248" s="116" t="s">
        <v>4994</v>
      </c>
      <c r="E248" s="116"/>
      <c r="F248" s="116" t="s">
        <v>5221</v>
      </c>
      <c r="G248" s="116" t="s">
        <v>5222</v>
      </c>
      <c r="H248" s="66"/>
      <c r="I248" s="116">
        <v>7</v>
      </c>
      <c r="J248" s="200" t="s">
        <v>5223</v>
      </c>
      <c r="K248" s="470">
        <v>1830000</v>
      </c>
      <c r="L248" s="116">
        <v>1</v>
      </c>
      <c r="M248" s="116" t="s">
        <v>4345</v>
      </c>
      <c r="N248" s="118" t="s">
        <v>5217</v>
      </c>
      <c r="O248" s="66" t="s">
        <v>5201</v>
      </c>
      <c r="P248" s="468">
        <v>95000</v>
      </c>
    </row>
    <row r="249" spans="1:16">
      <c r="A249" s="714" t="s">
        <v>4156</v>
      </c>
      <c r="B249" s="118"/>
      <c r="C249" s="118"/>
      <c r="D249" s="116"/>
      <c r="E249" s="116"/>
      <c r="F249" s="116"/>
      <c r="G249" s="116"/>
      <c r="H249" s="66"/>
      <c r="I249" s="116"/>
      <c r="J249" s="200"/>
      <c r="K249" s="470"/>
      <c r="L249" s="116"/>
      <c r="M249" s="116"/>
      <c r="N249" s="118" t="s">
        <v>5218</v>
      </c>
      <c r="O249" s="66"/>
      <c r="P249" s="468">
        <v>650000</v>
      </c>
    </row>
    <row r="250" spans="1:16">
      <c r="A250" s="714" t="s">
        <v>4156</v>
      </c>
      <c r="B250" s="118"/>
      <c r="C250" s="118"/>
      <c r="D250" s="116"/>
      <c r="E250" s="116"/>
      <c r="F250" s="116"/>
      <c r="G250" s="116"/>
      <c r="H250" s="66"/>
      <c r="I250" s="116"/>
      <c r="J250" s="200"/>
      <c r="K250" s="470"/>
      <c r="L250" s="116"/>
      <c r="M250" s="116"/>
      <c r="N250" s="118" t="s">
        <v>5210</v>
      </c>
      <c r="O250" s="66"/>
      <c r="P250" s="468">
        <v>367000</v>
      </c>
    </row>
    <row r="251" spans="1:16">
      <c r="A251" s="714" t="s">
        <v>4156</v>
      </c>
      <c r="B251" s="118"/>
      <c r="C251" s="118"/>
      <c r="D251" s="116"/>
      <c r="E251" s="116"/>
      <c r="F251" s="116"/>
      <c r="G251" s="116"/>
      <c r="H251" s="66"/>
      <c r="I251" s="116"/>
      <c r="J251" s="200"/>
      <c r="K251" s="470"/>
      <c r="L251" s="116"/>
      <c r="M251" s="116"/>
      <c r="N251" s="118" t="s">
        <v>5211</v>
      </c>
      <c r="O251" s="66"/>
      <c r="P251" s="468">
        <v>250000</v>
      </c>
    </row>
    <row r="252" spans="1:16">
      <c r="A252" s="714" t="s">
        <v>4156</v>
      </c>
      <c r="B252" s="118"/>
      <c r="C252" s="118"/>
      <c r="D252" s="116"/>
      <c r="E252" s="116"/>
      <c r="F252" s="116"/>
      <c r="G252" s="116"/>
      <c r="H252" s="66"/>
      <c r="I252" s="116"/>
      <c r="J252" s="200"/>
      <c r="K252" s="470"/>
      <c r="L252" s="116"/>
      <c r="M252" s="116"/>
      <c r="N252" s="118" t="s">
        <v>5212</v>
      </c>
      <c r="O252" s="66"/>
      <c r="P252" s="468">
        <v>62000</v>
      </c>
    </row>
    <row r="253" spans="1:16">
      <c r="A253" s="714" t="s">
        <v>4156</v>
      </c>
      <c r="B253" s="118"/>
      <c r="C253" s="118"/>
      <c r="D253" s="116"/>
      <c r="E253" s="116"/>
      <c r="F253" s="116"/>
      <c r="G253" s="116"/>
      <c r="H253" s="66"/>
      <c r="I253" s="116"/>
      <c r="J253" s="200"/>
      <c r="K253" s="470"/>
      <c r="L253" s="116"/>
      <c r="M253" s="116"/>
      <c r="N253" s="118" t="s">
        <v>5219</v>
      </c>
      <c r="O253" s="66"/>
      <c r="P253" s="468">
        <v>90000</v>
      </c>
    </row>
    <row r="254" spans="1:16" ht="12.6" customHeight="1">
      <c r="A254" s="221" t="s">
        <v>5224</v>
      </c>
      <c r="B254" s="200" t="s">
        <v>5225</v>
      </c>
      <c r="C254" s="200" t="s">
        <v>5226</v>
      </c>
      <c r="D254" s="66" t="s">
        <v>5227</v>
      </c>
      <c r="E254" s="116">
        <v>7</v>
      </c>
      <c r="F254" s="116">
        <v>0</v>
      </c>
      <c r="G254" s="116"/>
      <c r="H254" s="116"/>
      <c r="I254" s="116">
        <v>42</v>
      </c>
      <c r="J254" s="200" t="s">
        <v>4740</v>
      </c>
      <c r="K254" s="470">
        <f>22000000+2880000</f>
        <v>24880000</v>
      </c>
      <c r="L254" s="116">
        <v>1</v>
      </c>
      <c r="M254" s="116" t="s">
        <v>4345</v>
      </c>
      <c r="N254" s="118" t="s">
        <v>5217</v>
      </c>
      <c r="O254" s="66" t="s">
        <v>5201</v>
      </c>
      <c r="P254" s="468">
        <v>665000</v>
      </c>
    </row>
    <row r="255" spans="1:16">
      <c r="A255" s="221" t="s">
        <v>5224</v>
      </c>
      <c r="B255" s="200"/>
      <c r="C255" s="200"/>
      <c r="D255" s="66"/>
      <c r="E255" s="116"/>
      <c r="F255" s="116"/>
      <c r="G255" s="116"/>
      <c r="H255" s="116"/>
      <c r="I255" s="116"/>
      <c r="J255" s="200"/>
      <c r="K255" s="470"/>
      <c r="L255" s="116"/>
      <c r="M255" s="116"/>
      <c r="N255" s="118" t="s">
        <v>5218</v>
      </c>
      <c r="O255" s="66"/>
      <c r="P255" s="468">
        <v>1300000</v>
      </c>
    </row>
    <row r="256" spans="1:16">
      <c r="A256" s="221" t="s">
        <v>5224</v>
      </c>
      <c r="B256" s="200"/>
      <c r="C256" s="200"/>
      <c r="D256" s="66"/>
      <c r="E256" s="116"/>
      <c r="F256" s="116"/>
      <c r="G256" s="116"/>
      <c r="H256" s="116"/>
      <c r="I256" s="116"/>
      <c r="J256" s="200"/>
      <c r="K256" s="470"/>
      <c r="L256" s="116"/>
      <c r="M256" s="116"/>
      <c r="N256" s="118" t="s">
        <v>5210</v>
      </c>
      <c r="O256" s="66"/>
      <c r="P256" s="468">
        <v>734000</v>
      </c>
    </row>
    <row r="257" spans="1:16">
      <c r="A257" s="221" t="s">
        <v>5224</v>
      </c>
      <c r="B257" s="200"/>
      <c r="C257" s="200"/>
      <c r="D257" s="66"/>
      <c r="E257" s="116"/>
      <c r="F257" s="116"/>
      <c r="G257" s="116"/>
      <c r="H257" s="116"/>
      <c r="I257" s="116"/>
      <c r="J257" s="200"/>
      <c r="K257" s="470"/>
      <c r="L257" s="116"/>
      <c r="M257" s="116"/>
      <c r="N257" s="118" t="s">
        <v>5211</v>
      </c>
      <c r="O257" s="66"/>
      <c r="P257" s="468">
        <v>500000</v>
      </c>
    </row>
    <row r="258" spans="1:16">
      <c r="A258" s="221" t="s">
        <v>5224</v>
      </c>
      <c r="B258" s="200"/>
      <c r="C258" s="200"/>
      <c r="D258" s="66"/>
      <c r="E258" s="116"/>
      <c r="F258" s="116"/>
      <c r="G258" s="116"/>
      <c r="H258" s="116"/>
      <c r="I258" s="116"/>
      <c r="J258" s="200"/>
      <c r="K258" s="470"/>
      <c r="L258" s="116"/>
      <c r="M258" s="116"/>
      <c r="N258" s="118" t="s">
        <v>5212</v>
      </c>
      <c r="O258" s="66"/>
      <c r="P258" s="468">
        <v>372000</v>
      </c>
    </row>
    <row r="259" spans="1:16">
      <c r="A259" s="221" t="s">
        <v>5224</v>
      </c>
      <c r="B259" s="200"/>
      <c r="C259" s="200"/>
      <c r="D259" s="66"/>
      <c r="E259" s="116"/>
      <c r="F259" s="116"/>
      <c r="G259" s="116"/>
      <c r="H259" s="116"/>
      <c r="I259" s="116"/>
      <c r="J259" s="200"/>
      <c r="K259" s="470"/>
      <c r="L259" s="116"/>
      <c r="M259" s="116"/>
      <c r="N259" s="118" t="s">
        <v>5219</v>
      </c>
      <c r="O259" s="66"/>
      <c r="P259" s="468">
        <v>630000</v>
      </c>
    </row>
    <row r="260" spans="1:16" ht="12.75" customHeight="1">
      <c r="A260" s="714" t="s">
        <v>4705</v>
      </c>
      <c r="B260" s="118" t="s">
        <v>5228</v>
      </c>
      <c r="C260" s="118" t="s">
        <v>5229</v>
      </c>
      <c r="D260" s="116" t="s">
        <v>4994</v>
      </c>
      <c r="E260" s="116">
        <v>12</v>
      </c>
      <c r="F260" s="116">
        <v>5</v>
      </c>
      <c r="G260" s="116" t="s">
        <v>4892</v>
      </c>
      <c r="H260" s="116" t="s">
        <v>4708</v>
      </c>
      <c r="I260" s="116">
        <f>7+148+3</f>
        <v>158</v>
      </c>
      <c r="J260" s="200" t="s">
        <v>4271</v>
      </c>
      <c r="K260" s="470">
        <f>6000000+18800000+750000</f>
        <v>25550000</v>
      </c>
      <c r="L260" s="116">
        <v>1</v>
      </c>
      <c r="M260" s="116" t="s">
        <v>4345</v>
      </c>
      <c r="N260" s="118" t="s">
        <v>5217</v>
      </c>
      <c r="O260" s="66" t="s">
        <v>5201</v>
      </c>
      <c r="P260" s="468">
        <v>1140000</v>
      </c>
    </row>
    <row r="261" spans="1:16">
      <c r="A261" s="714" t="s">
        <v>4705</v>
      </c>
      <c r="B261" s="118"/>
      <c r="C261" s="118"/>
      <c r="D261" s="116"/>
      <c r="E261" s="116"/>
      <c r="F261" s="116"/>
      <c r="G261" s="116"/>
      <c r="H261" s="116"/>
      <c r="I261" s="116"/>
      <c r="J261" s="200"/>
      <c r="K261" s="470"/>
      <c r="L261" s="116"/>
      <c r="M261" s="116"/>
      <c r="N261" s="118" t="s">
        <v>5218</v>
      </c>
      <c r="O261" s="66"/>
      <c r="P261" s="468">
        <v>0</v>
      </c>
    </row>
    <row r="262" spans="1:16">
      <c r="A262" s="714" t="s">
        <v>4705</v>
      </c>
      <c r="B262" s="118"/>
      <c r="C262" s="118"/>
      <c r="D262" s="116"/>
      <c r="E262" s="116"/>
      <c r="F262" s="116"/>
      <c r="G262" s="116"/>
      <c r="H262" s="116"/>
      <c r="I262" s="116"/>
      <c r="J262" s="200"/>
      <c r="K262" s="470"/>
      <c r="L262" s="116"/>
      <c r="M262" s="116"/>
      <c r="N262" s="118" t="s">
        <v>5210</v>
      </c>
      <c r="O262" s="66"/>
      <c r="P262" s="468">
        <v>0</v>
      </c>
    </row>
    <row r="263" spans="1:16">
      <c r="A263" s="714" t="s">
        <v>4705</v>
      </c>
      <c r="B263" s="118"/>
      <c r="C263" s="118"/>
      <c r="D263" s="116"/>
      <c r="E263" s="116"/>
      <c r="F263" s="116"/>
      <c r="G263" s="116"/>
      <c r="H263" s="116"/>
      <c r="I263" s="116"/>
      <c r="J263" s="200"/>
      <c r="K263" s="470"/>
      <c r="L263" s="116"/>
      <c r="M263" s="116"/>
      <c r="N263" s="118" t="s">
        <v>5211</v>
      </c>
      <c r="O263" s="66"/>
      <c r="P263" s="468">
        <v>0</v>
      </c>
    </row>
    <row r="264" spans="1:16">
      <c r="A264" s="714" t="s">
        <v>4705</v>
      </c>
      <c r="B264" s="118"/>
      <c r="C264" s="118"/>
      <c r="D264" s="116"/>
      <c r="E264" s="116"/>
      <c r="F264" s="116"/>
      <c r="G264" s="116"/>
      <c r="H264" s="116"/>
      <c r="I264" s="116"/>
      <c r="J264" s="200"/>
      <c r="K264" s="470"/>
      <c r="L264" s="116"/>
      <c r="M264" s="116"/>
      <c r="N264" s="118" t="s">
        <v>5212</v>
      </c>
      <c r="O264" s="66"/>
      <c r="P264" s="468">
        <v>124000</v>
      </c>
    </row>
    <row r="265" spans="1:16">
      <c r="A265" s="714" t="s">
        <v>4705</v>
      </c>
      <c r="B265" s="118"/>
      <c r="C265" s="118"/>
      <c r="D265" s="116"/>
      <c r="E265" s="116"/>
      <c r="F265" s="116"/>
      <c r="G265" s="116"/>
      <c r="H265" s="116"/>
      <c r="I265" s="116"/>
      <c r="J265" s="200"/>
      <c r="K265" s="470"/>
      <c r="L265" s="116"/>
      <c r="M265" s="116"/>
      <c r="N265" s="118" t="s">
        <v>5219</v>
      </c>
      <c r="O265" s="66"/>
      <c r="P265" s="468">
        <v>1080000</v>
      </c>
    </row>
    <row r="266" spans="1:16" ht="12.6" customHeight="1">
      <c r="A266" s="714" t="s">
        <v>4705</v>
      </c>
      <c r="B266" s="118" t="s">
        <v>4706</v>
      </c>
      <c r="C266" s="118" t="s">
        <v>5230</v>
      </c>
      <c r="D266" s="116" t="s">
        <v>4994</v>
      </c>
      <c r="E266" s="116">
        <v>5</v>
      </c>
      <c r="F266" s="116">
        <f>4+4+58+4</f>
        <v>70</v>
      </c>
      <c r="G266" s="116" t="s">
        <v>5231</v>
      </c>
      <c r="H266" s="116" t="s">
        <v>4708</v>
      </c>
      <c r="I266" s="116">
        <f>10+15+135+150</f>
        <v>310</v>
      </c>
      <c r="J266" s="200" t="s">
        <v>5232</v>
      </c>
      <c r="K266" s="470">
        <f>5000000+1500000+45600000+25000000</f>
        <v>77100000</v>
      </c>
      <c r="L266" s="116">
        <v>1</v>
      </c>
      <c r="M266" s="116" t="s">
        <v>4345</v>
      </c>
      <c r="N266" s="118" t="s">
        <v>5217</v>
      </c>
      <c r="O266" s="66" t="s">
        <v>5201</v>
      </c>
      <c r="P266" s="468">
        <v>475000</v>
      </c>
    </row>
    <row r="267" spans="1:16">
      <c r="A267" s="714" t="s">
        <v>4705</v>
      </c>
      <c r="B267" s="118"/>
      <c r="C267" s="118"/>
      <c r="D267" s="116"/>
      <c r="E267" s="116"/>
      <c r="F267" s="116"/>
      <c r="G267" s="116"/>
      <c r="H267" s="116"/>
      <c r="I267" s="116"/>
      <c r="J267" s="200"/>
      <c r="K267" s="470"/>
      <c r="L267" s="116"/>
      <c r="M267" s="116"/>
      <c r="N267" s="118" t="s">
        <v>5218</v>
      </c>
      <c r="O267" s="66"/>
      <c r="P267" s="468">
        <v>0</v>
      </c>
    </row>
    <row r="268" spans="1:16">
      <c r="A268" s="714" t="s">
        <v>4705</v>
      </c>
      <c r="B268" s="118"/>
      <c r="C268" s="118"/>
      <c r="D268" s="116"/>
      <c r="E268" s="116"/>
      <c r="F268" s="116"/>
      <c r="G268" s="116"/>
      <c r="H268" s="116"/>
      <c r="I268" s="116"/>
      <c r="J268" s="200"/>
      <c r="K268" s="470"/>
      <c r="L268" s="116"/>
      <c r="M268" s="116"/>
      <c r="N268" s="118" t="s">
        <v>5210</v>
      </c>
      <c r="O268" s="66"/>
      <c r="P268" s="468">
        <v>0</v>
      </c>
    </row>
    <row r="269" spans="1:16">
      <c r="A269" s="714" t="s">
        <v>4705</v>
      </c>
      <c r="B269" s="118"/>
      <c r="C269" s="118"/>
      <c r="D269" s="116"/>
      <c r="E269" s="116"/>
      <c r="F269" s="116"/>
      <c r="G269" s="116"/>
      <c r="H269" s="116"/>
      <c r="I269" s="116"/>
      <c r="J269" s="200"/>
      <c r="K269" s="470"/>
      <c r="L269" s="116"/>
      <c r="M269" s="116"/>
      <c r="N269" s="118" t="s">
        <v>5211</v>
      </c>
      <c r="O269" s="66"/>
      <c r="P269" s="468">
        <v>0</v>
      </c>
    </row>
    <row r="270" spans="1:16">
      <c r="A270" s="714" t="s">
        <v>4705</v>
      </c>
      <c r="B270" s="118"/>
      <c r="C270" s="118"/>
      <c r="D270" s="116"/>
      <c r="E270" s="116"/>
      <c r="F270" s="116"/>
      <c r="G270" s="116"/>
      <c r="H270" s="116"/>
      <c r="I270" s="116"/>
      <c r="J270" s="200"/>
      <c r="K270" s="470"/>
      <c r="L270" s="116"/>
      <c r="M270" s="116"/>
      <c r="N270" s="118" t="s">
        <v>5212</v>
      </c>
      <c r="O270" s="66"/>
      <c r="P270" s="468">
        <v>124000</v>
      </c>
    </row>
    <row r="271" spans="1:16">
      <c r="A271" s="714" t="s">
        <v>4705</v>
      </c>
      <c r="B271" s="118"/>
      <c r="C271" s="118"/>
      <c r="D271" s="116"/>
      <c r="E271" s="116"/>
      <c r="F271" s="116"/>
      <c r="G271" s="116"/>
      <c r="H271" s="116"/>
      <c r="I271" s="116"/>
      <c r="J271" s="200"/>
      <c r="K271" s="470"/>
      <c r="L271" s="116"/>
      <c r="M271" s="116"/>
      <c r="N271" s="118" t="s">
        <v>5219</v>
      </c>
      <c r="O271" s="66"/>
      <c r="P271" s="468">
        <v>450000</v>
      </c>
    </row>
    <row r="272" spans="1:16" ht="33.75">
      <c r="A272" s="714" t="s">
        <v>135</v>
      </c>
      <c r="B272" s="118" t="s">
        <v>4711</v>
      </c>
      <c r="C272" s="200" t="s">
        <v>5233</v>
      </c>
      <c r="D272" s="66" t="s">
        <v>5023</v>
      </c>
      <c r="E272" s="116">
        <v>1</v>
      </c>
      <c r="F272" s="116"/>
      <c r="G272" s="116" t="s">
        <v>5234</v>
      </c>
      <c r="H272" s="116"/>
      <c r="I272" s="116"/>
      <c r="J272" s="118"/>
      <c r="K272" s="470">
        <v>2600000</v>
      </c>
      <c r="L272" s="116">
        <v>1</v>
      </c>
      <c r="M272" s="116" t="s">
        <v>4345</v>
      </c>
      <c r="N272" s="118" t="s">
        <v>5235</v>
      </c>
      <c r="O272" s="66" t="s">
        <v>5201</v>
      </c>
      <c r="P272" s="468">
        <v>22000</v>
      </c>
    </row>
    <row r="273" spans="1:16" ht="12.6" customHeight="1">
      <c r="A273" s="714" t="s">
        <v>135</v>
      </c>
      <c r="B273" s="118"/>
      <c r="C273" s="200" t="s">
        <v>5236</v>
      </c>
      <c r="D273" s="66" t="s">
        <v>4903</v>
      </c>
      <c r="E273" s="116">
        <f>19+20</f>
        <v>39</v>
      </c>
      <c r="F273" s="116">
        <f>648+188</f>
        <v>836</v>
      </c>
      <c r="G273" s="66" t="s">
        <v>5237</v>
      </c>
      <c r="H273" s="66"/>
      <c r="I273" s="66">
        <v>13</v>
      </c>
      <c r="J273" s="200" t="s">
        <v>5238</v>
      </c>
      <c r="K273" s="470">
        <f>6152500+800000+2500000+2351250+4260000+1050000</f>
        <v>17113750</v>
      </c>
      <c r="L273" s="116">
        <v>1</v>
      </c>
      <c r="M273" s="116" t="s">
        <v>4345</v>
      </c>
      <c r="N273" s="118" t="s">
        <v>5209</v>
      </c>
      <c r="O273" s="66" t="s">
        <v>5201</v>
      </c>
      <c r="P273" s="468">
        <v>9750000</v>
      </c>
    </row>
    <row r="274" spans="1:16">
      <c r="A274" s="714" t="s">
        <v>135</v>
      </c>
      <c r="B274" s="118"/>
      <c r="C274" s="200"/>
      <c r="D274" s="66"/>
      <c r="E274" s="116"/>
      <c r="F274" s="116"/>
      <c r="G274" s="66"/>
      <c r="H274" s="66"/>
      <c r="I274" s="66"/>
      <c r="J274" s="200"/>
      <c r="K274" s="470"/>
      <c r="L274" s="116"/>
      <c r="M274" s="116"/>
      <c r="N274" s="118" t="s">
        <v>5210</v>
      </c>
      <c r="O274" s="66"/>
      <c r="P274" s="468">
        <v>367000</v>
      </c>
    </row>
    <row r="275" spans="1:16">
      <c r="A275" s="714" t="s">
        <v>135</v>
      </c>
      <c r="B275" s="118"/>
      <c r="C275" s="200"/>
      <c r="D275" s="66"/>
      <c r="E275" s="116"/>
      <c r="F275" s="116"/>
      <c r="G275" s="66"/>
      <c r="H275" s="66"/>
      <c r="I275" s="66"/>
      <c r="J275" s="200"/>
      <c r="K275" s="470"/>
      <c r="L275" s="116"/>
      <c r="M275" s="116"/>
      <c r="N275" s="118" t="s">
        <v>5211</v>
      </c>
      <c r="O275" s="66"/>
      <c r="P275" s="468">
        <v>250000</v>
      </c>
    </row>
    <row r="276" spans="1:16">
      <c r="A276" s="714" t="s">
        <v>135</v>
      </c>
      <c r="B276" s="118"/>
      <c r="C276" s="200"/>
      <c r="D276" s="66"/>
      <c r="E276" s="116"/>
      <c r="F276" s="116"/>
      <c r="G276" s="66"/>
      <c r="H276" s="66"/>
      <c r="I276" s="66"/>
      <c r="J276" s="200"/>
      <c r="K276" s="470"/>
      <c r="L276" s="116"/>
      <c r="M276" s="116"/>
      <c r="N276" s="118" t="s">
        <v>5212</v>
      </c>
      <c r="O276" s="66"/>
      <c r="P276" s="468">
        <v>248000</v>
      </c>
    </row>
    <row r="277" spans="1:16" ht="22.5">
      <c r="A277" s="714" t="s">
        <v>135</v>
      </c>
      <c r="B277" s="118"/>
      <c r="C277" s="200"/>
      <c r="D277" s="66"/>
      <c r="E277" s="116"/>
      <c r="F277" s="116"/>
      <c r="G277" s="66"/>
      <c r="H277" s="66"/>
      <c r="I277" s="66"/>
      <c r="J277" s="200"/>
      <c r="K277" s="470"/>
      <c r="L277" s="116"/>
      <c r="M277" s="116"/>
      <c r="N277" s="118" t="s">
        <v>5213</v>
      </c>
      <c r="O277" s="66"/>
      <c r="P277" s="468">
        <v>5241600</v>
      </c>
    </row>
    <row r="278" spans="1:16" ht="101.25">
      <c r="A278" s="714" t="s">
        <v>135</v>
      </c>
      <c r="B278" s="118"/>
      <c r="C278" s="200" t="s">
        <v>5236</v>
      </c>
      <c r="D278" s="66" t="s">
        <v>4970</v>
      </c>
      <c r="E278" s="116">
        <v>14</v>
      </c>
      <c r="F278" s="116">
        <f>1453+46</f>
        <v>1499</v>
      </c>
      <c r="G278" s="66" t="s">
        <v>5239</v>
      </c>
      <c r="H278" s="116"/>
      <c r="I278" s="116"/>
      <c r="J278" s="118" t="s">
        <v>5240</v>
      </c>
      <c r="K278" s="470">
        <f>141500+125000+400000</f>
        <v>666500</v>
      </c>
      <c r="L278" s="116">
        <v>1</v>
      </c>
      <c r="M278" s="116" t="s">
        <v>4345</v>
      </c>
      <c r="N278" s="118" t="s">
        <v>5241</v>
      </c>
      <c r="O278" s="66" t="s">
        <v>5201</v>
      </c>
      <c r="P278" s="468">
        <v>6720000</v>
      </c>
    </row>
    <row r="279" spans="1:16" ht="12.6" customHeight="1">
      <c r="A279" s="714" t="s">
        <v>135</v>
      </c>
      <c r="B279" s="118" t="s">
        <v>5242</v>
      </c>
      <c r="C279" s="200" t="s">
        <v>371</v>
      </c>
      <c r="D279" s="66" t="s">
        <v>4903</v>
      </c>
      <c r="E279" s="116">
        <v>5</v>
      </c>
      <c r="F279" s="116">
        <f>117+27</f>
        <v>144</v>
      </c>
      <c r="G279" s="66" t="s">
        <v>5243</v>
      </c>
      <c r="H279" s="116">
        <v>202500</v>
      </c>
      <c r="I279" s="116">
        <v>0.25</v>
      </c>
      <c r="J279" s="200" t="s">
        <v>5244</v>
      </c>
      <c r="K279" s="470">
        <v>2903105</v>
      </c>
      <c r="L279" s="116">
        <v>1</v>
      </c>
      <c r="M279" s="116" t="s">
        <v>4345</v>
      </c>
      <c r="N279" s="118" t="s">
        <v>5209</v>
      </c>
      <c r="O279" s="66" t="s">
        <v>5201</v>
      </c>
      <c r="P279" s="468">
        <v>1250000</v>
      </c>
    </row>
    <row r="280" spans="1:16">
      <c r="A280" s="714" t="s">
        <v>135</v>
      </c>
      <c r="B280" s="118"/>
      <c r="C280" s="200"/>
      <c r="D280" s="66"/>
      <c r="E280" s="116"/>
      <c r="F280" s="116"/>
      <c r="G280" s="66"/>
      <c r="H280" s="116"/>
      <c r="I280" s="116"/>
      <c r="J280" s="200"/>
      <c r="K280" s="470"/>
      <c r="L280" s="116"/>
      <c r="M280" s="116"/>
      <c r="N280" s="118" t="s">
        <v>5210</v>
      </c>
      <c r="O280" s="66"/>
      <c r="P280" s="468">
        <v>367000</v>
      </c>
    </row>
    <row r="281" spans="1:16">
      <c r="A281" s="714" t="s">
        <v>135</v>
      </c>
      <c r="B281" s="118"/>
      <c r="C281" s="200"/>
      <c r="D281" s="66"/>
      <c r="E281" s="116"/>
      <c r="F281" s="116"/>
      <c r="G281" s="66"/>
      <c r="H281" s="116"/>
      <c r="I281" s="116"/>
      <c r="J281" s="200"/>
      <c r="K281" s="470"/>
      <c r="L281" s="116"/>
      <c r="M281" s="116"/>
      <c r="N281" s="118" t="s">
        <v>5211</v>
      </c>
      <c r="O281" s="66"/>
      <c r="P281" s="468">
        <v>250000</v>
      </c>
    </row>
    <row r="282" spans="1:16">
      <c r="A282" s="714" t="s">
        <v>135</v>
      </c>
      <c r="B282" s="118"/>
      <c r="C282" s="200"/>
      <c r="D282" s="66"/>
      <c r="E282" s="116"/>
      <c r="F282" s="116"/>
      <c r="G282" s="66"/>
      <c r="H282" s="116"/>
      <c r="I282" s="116"/>
      <c r="J282" s="200"/>
      <c r="K282" s="470"/>
      <c r="L282" s="116"/>
      <c r="M282" s="116"/>
      <c r="N282" s="118" t="s">
        <v>5212</v>
      </c>
      <c r="O282" s="66"/>
      <c r="P282" s="468">
        <v>248000</v>
      </c>
    </row>
    <row r="283" spans="1:16" ht="22.5">
      <c r="A283" s="714" t="s">
        <v>135</v>
      </c>
      <c r="B283" s="118"/>
      <c r="C283" s="200"/>
      <c r="D283" s="66"/>
      <c r="E283" s="116"/>
      <c r="F283" s="116"/>
      <c r="G283" s="66"/>
      <c r="H283" s="116"/>
      <c r="I283" s="116"/>
      <c r="J283" s="200"/>
      <c r="K283" s="470"/>
      <c r="L283" s="116"/>
      <c r="M283" s="116"/>
      <c r="N283" s="118" t="s">
        <v>5245</v>
      </c>
      <c r="O283" s="66"/>
      <c r="P283" s="468">
        <v>5040000</v>
      </c>
    </row>
    <row r="284" spans="1:16" ht="22.5">
      <c r="A284" s="714" t="s">
        <v>135</v>
      </c>
      <c r="B284" s="118"/>
      <c r="C284" s="200"/>
      <c r="D284" s="66"/>
      <c r="E284" s="116"/>
      <c r="F284" s="116"/>
      <c r="G284" s="66"/>
      <c r="H284" s="116"/>
      <c r="I284" s="116"/>
      <c r="J284" s="200"/>
      <c r="K284" s="470"/>
      <c r="L284" s="116"/>
      <c r="M284" s="116"/>
      <c r="N284" s="118" t="s">
        <v>5213</v>
      </c>
      <c r="O284" s="66"/>
      <c r="P284" s="468">
        <v>672000</v>
      </c>
    </row>
    <row r="285" spans="1:16" ht="33.75">
      <c r="A285" s="714" t="s">
        <v>135</v>
      </c>
      <c r="B285" s="118"/>
      <c r="C285" s="200" t="s">
        <v>371</v>
      </c>
      <c r="D285" s="66" t="s">
        <v>4970</v>
      </c>
      <c r="E285" s="116">
        <v>3</v>
      </c>
      <c r="F285" s="116">
        <v>15</v>
      </c>
      <c r="G285" s="66" t="s">
        <v>5246</v>
      </c>
      <c r="H285" s="116"/>
      <c r="I285" s="116"/>
      <c r="J285" s="118" t="s">
        <v>5240</v>
      </c>
      <c r="K285" s="470"/>
      <c r="L285" s="116">
        <v>1</v>
      </c>
      <c r="M285" s="116" t="s">
        <v>4345</v>
      </c>
      <c r="N285" s="118" t="s">
        <v>5241</v>
      </c>
      <c r="O285" s="66" t="s">
        <v>5201</v>
      </c>
      <c r="P285" s="468">
        <v>1440000</v>
      </c>
    </row>
    <row r="286" spans="1:16" ht="33.75">
      <c r="A286" s="714" t="s">
        <v>135</v>
      </c>
      <c r="B286" s="118" t="s">
        <v>4711</v>
      </c>
      <c r="C286" s="118" t="s">
        <v>5247</v>
      </c>
      <c r="D286" s="116" t="s">
        <v>4970</v>
      </c>
      <c r="E286" s="116">
        <v>2</v>
      </c>
      <c r="F286" s="116">
        <v>11</v>
      </c>
      <c r="G286" s="116"/>
      <c r="H286" s="116"/>
      <c r="I286" s="116"/>
      <c r="J286" s="200" t="s">
        <v>5248</v>
      </c>
      <c r="K286" s="470">
        <v>1000000</v>
      </c>
      <c r="L286" s="116">
        <v>1</v>
      </c>
      <c r="M286" s="116" t="s">
        <v>4345</v>
      </c>
      <c r="N286" s="118" t="s">
        <v>5241</v>
      </c>
      <c r="O286" s="66" t="s">
        <v>5201</v>
      </c>
      <c r="P286" s="468">
        <v>960000</v>
      </c>
    </row>
    <row r="287" spans="1:16" ht="12.6" customHeight="1">
      <c r="A287" s="714" t="s">
        <v>135</v>
      </c>
      <c r="B287" s="118"/>
      <c r="C287" s="118" t="s">
        <v>5249</v>
      </c>
      <c r="D287" s="116" t="s">
        <v>5215</v>
      </c>
      <c r="E287" s="116">
        <f>21+10+5+5</f>
        <v>41</v>
      </c>
      <c r="F287" s="116">
        <v>16</v>
      </c>
      <c r="G287" s="66" t="s">
        <v>5250</v>
      </c>
      <c r="H287" s="116"/>
      <c r="I287" s="116">
        <v>19.8</v>
      </c>
      <c r="J287" s="200" t="s">
        <v>5251</v>
      </c>
      <c r="K287" s="470">
        <v>29000000</v>
      </c>
      <c r="L287" s="116">
        <v>1</v>
      </c>
      <c r="M287" s="116" t="s">
        <v>4345</v>
      </c>
      <c r="N287" s="118" t="s">
        <v>5217</v>
      </c>
      <c r="O287" s="66" t="s">
        <v>5201</v>
      </c>
      <c r="P287" s="468">
        <v>3895000</v>
      </c>
    </row>
    <row r="288" spans="1:16">
      <c r="A288" s="714" t="s">
        <v>135</v>
      </c>
      <c r="B288" s="118"/>
      <c r="C288" s="118"/>
      <c r="D288" s="116"/>
      <c r="E288" s="116"/>
      <c r="F288" s="116"/>
      <c r="G288" s="66"/>
      <c r="H288" s="116"/>
      <c r="I288" s="116"/>
      <c r="J288" s="200"/>
      <c r="K288" s="470"/>
      <c r="L288" s="116"/>
      <c r="M288" s="116"/>
      <c r="N288" s="118" t="s">
        <v>5218</v>
      </c>
      <c r="O288" s="66"/>
      <c r="P288" s="468"/>
    </row>
    <row r="289" spans="1:16">
      <c r="A289" s="714" t="s">
        <v>135</v>
      </c>
      <c r="B289" s="118"/>
      <c r="C289" s="118"/>
      <c r="D289" s="116"/>
      <c r="E289" s="116"/>
      <c r="F289" s="116"/>
      <c r="G289" s="66"/>
      <c r="H289" s="116"/>
      <c r="I289" s="116"/>
      <c r="J289" s="200"/>
      <c r="K289" s="470"/>
      <c r="L289" s="116"/>
      <c r="M289" s="116"/>
      <c r="N289" s="118" t="s">
        <v>5210</v>
      </c>
      <c r="O289" s="66"/>
      <c r="P289" s="468"/>
    </row>
    <row r="290" spans="1:16">
      <c r="A290" s="714" t="s">
        <v>135</v>
      </c>
      <c r="B290" s="118"/>
      <c r="C290" s="118"/>
      <c r="D290" s="116"/>
      <c r="E290" s="116"/>
      <c r="F290" s="116"/>
      <c r="G290" s="66"/>
      <c r="H290" s="116"/>
      <c r="I290" s="116"/>
      <c r="J290" s="200"/>
      <c r="K290" s="470"/>
      <c r="L290" s="116"/>
      <c r="M290" s="116"/>
      <c r="N290" s="118" t="s">
        <v>5211</v>
      </c>
      <c r="O290" s="66"/>
      <c r="P290" s="468">
        <v>250000</v>
      </c>
    </row>
    <row r="291" spans="1:16">
      <c r="A291" s="714" t="s">
        <v>135</v>
      </c>
      <c r="B291" s="118"/>
      <c r="C291" s="118"/>
      <c r="D291" s="116"/>
      <c r="E291" s="116"/>
      <c r="F291" s="116"/>
      <c r="G291" s="66"/>
      <c r="H291" s="116"/>
      <c r="I291" s="116"/>
      <c r="J291" s="200"/>
      <c r="K291" s="470"/>
      <c r="L291" s="116"/>
      <c r="M291" s="116"/>
      <c r="N291" s="118" t="s">
        <v>5212</v>
      </c>
      <c r="O291" s="66"/>
      <c r="P291" s="468">
        <v>186000</v>
      </c>
    </row>
    <row r="292" spans="1:16">
      <c r="A292" s="714" t="s">
        <v>135</v>
      </c>
      <c r="B292" s="118"/>
      <c r="C292" s="118"/>
      <c r="D292" s="116"/>
      <c r="E292" s="116"/>
      <c r="F292" s="116"/>
      <c r="G292" s="66"/>
      <c r="H292" s="116"/>
      <c r="I292" s="116"/>
      <c r="J292" s="200"/>
      <c r="K292" s="470"/>
      <c r="L292" s="116"/>
      <c r="M292" s="116"/>
      <c r="N292" s="118" t="s">
        <v>5219</v>
      </c>
      <c r="O292" s="66"/>
      <c r="P292" s="468">
        <v>3690000</v>
      </c>
    </row>
    <row r="293" spans="1:16" ht="12.6" customHeight="1">
      <c r="A293" s="714" t="s">
        <v>135</v>
      </c>
      <c r="B293" s="118" t="s">
        <v>5242</v>
      </c>
      <c r="C293" s="118" t="s">
        <v>5252</v>
      </c>
      <c r="D293" s="116" t="s">
        <v>5215</v>
      </c>
      <c r="E293" s="116">
        <v>1</v>
      </c>
      <c r="F293" s="116">
        <v>1</v>
      </c>
      <c r="G293" s="116"/>
      <c r="H293" s="116"/>
      <c r="I293" s="116"/>
      <c r="J293" s="200" t="s">
        <v>5253</v>
      </c>
      <c r="K293" s="470">
        <v>400000</v>
      </c>
      <c r="L293" s="116">
        <v>1</v>
      </c>
      <c r="M293" s="116" t="s">
        <v>4345</v>
      </c>
      <c r="N293" s="118" t="s">
        <v>5217</v>
      </c>
      <c r="O293" s="66" t="s">
        <v>5201</v>
      </c>
      <c r="P293" s="468">
        <v>95000</v>
      </c>
    </row>
    <row r="294" spans="1:16">
      <c r="A294" s="714" t="s">
        <v>135</v>
      </c>
      <c r="B294" s="118"/>
      <c r="C294" s="118"/>
      <c r="D294" s="116"/>
      <c r="E294" s="116"/>
      <c r="F294" s="116"/>
      <c r="G294" s="116"/>
      <c r="H294" s="116"/>
      <c r="I294" s="116"/>
      <c r="J294" s="200"/>
      <c r="K294" s="470"/>
      <c r="L294" s="116"/>
      <c r="M294" s="116"/>
      <c r="N294" s="118" t="s">
        <v>5218</v>
      </c>
      <c r="O294" s="66"/>
      <c r="P294" s="468">
        <v>0</v>
      </c>
    </row>
    <row r="295" spans="1:16">
      <c r="A295" s="714" t="s">
        <v>135</v>
      </c>
      <c r="B295" s="118"/>
      <c r="C295" s="118"/>
      <c r="D295" s="116"/>
      <c r="E295" s="116"/>
      <c r="F295" s="116"/>
      <c r="G295" s="116"/>
      <c r="H295" s="116"/>
      <c r="I295" s="116"/>
      <c r="J295" s="200"/>
      <c r="K295" s="470"/>
      <c r="L295" s="116"/>
      <c r="M295" s="116"/>
      <c r="N295" s="118" t="s">
        <v>5210</v>
      </c>
      <c r="O295" s="66"/>
      <c r="P295" s="468">
        <v>0</v>
      </c>
    </row>
    <row r="296" spans="1:16">
      <c r="A296" s="714" t="s">
        <v>135</v>
      </c>
      <c r="B296" s="118"/>
      <c r="C296" s="118"/>
      <c r="D296" s="116"/>
      <c r="E296" s="116"/>
      <c r="F296" s="116"/>
      <c r="G296" s="116"/>
      <c r="H296" s="116"/>
      <c r="I296" s="116"/>
      <c r="J296" s="200"/>
      <c r="K296" s="470"/>
      <c r="L296" s="116"/>
      <c r="M296" s="116"/>
      <c r="N296" s="118" t="s">
        <v>5211</v>
      </c>
      <c r="O296" s="66"/>
      <c r="P296" s="468">
        <v>0</v>
      </c>
    </row>
    <row r="297" spans="1:16">
      <c r="A297" s="714" t="s">
        <v>135</v>
      </c>
      <c r="B297" s="118"/>
      <c r="C297" s="118"/>
      <c r="D297" s="116"/>
      <c r="E297" s="116"/>
      <c r="F297" s="116"/>
      <c r="G297" s="116"/>
      <c r="H297" s="116"/>
      <c r="I297" s="116"/>
      <c r="J297" s="200"/>
      <c r="K297" s="470"/>
      <c r="L297" s="116"/>
      <c r="M297" s="116"/>
      <c r="N297" s="118" t="s">
        <v>5212</v>
      </c>
      <c r="O297" s="66"/>
      <c r="P297" s="468">
        <v>62000</v>
      </c>
    </row>
    <row r="298" spans="1:16">
      <c r="A298" s="714" t="s">
        <v>135</v>
      </c>
      <c r="B298" s="118"/>
      <c r="C298" s="118"/>
      <c r="D298" s="116"/>
      <c r="E298" s="116"/>
      <c r="F298" s="116"/>
      <c r="G298" s="116"/>
      <c r="H298" s="116"/>
      <c r="I298" s="116"/>
      <c r="J298" s="200"/>
      <c r="K298" s="470"/>
      <c r="L298" s="116"/>
      <c r="M298" s="116"/>
      <c r="N298" s="118" t="s">
        <v>5219</v>
      </c>
      <c r="O298" s="66"/>
      <c r="P298" s="468">
        <v>90000</v>
      </c>
    </row>
    <row r="299" spans="1:16" ht="12.6" customHeight="1">
      <c r="A299" s="714" t="s">
        <v>4729</v>
      </c>
      <c r="B299" s="118" t="s">
        <v>5254</v>
      </c>
      <c r="C299" s="200" t="s">
        <v>5255</v>
      </c>
      <c r="D299" s="116" t="s">
        <v>4994</v>
      </c>
      <c r="E299" s="116">
        <f>8+7+4+2+1+1</f>
        <v>23</v>
      </c>
      <c r="F299" s="116">
        <v>25</v>
      </c>
      <c r="G299" s="116" t="s">
        <v>4892</v>
      </c>
      <c r="H299" s="116" t="s">
        <v>4708</v>
      </c>
      <c r="I299" s="116">
        <f>55+48+10+11+1+1</f>
        <v>126</v>
      </c>
      <c r="J299" s="200" t="s">
        <v>4271</v>
      </c>
      <c r="K299" s="470">
        <v>22700000</v>
      </c>
      <c r="L299" s="116">
        <v>1</v>
      </c>
      <c r="M299" s="116" t="s">
        <v>4345</v>
      </c>
      <c r="N299" s="118" t="s">
        <v>5217</v>
      </c>
      <c r="O299" s="66" t="s">
        <v>5201</v>
      </c>
      <c r="P299" s="468">
        <v>2185000</v>
      </c>
    </row>
    <row r="300" spans="1:16">
      <c r="A300" s="714" t="s">
        <v>4729</v>
      </c>
      <c r="B300" s="118"/>
      <c r="C300" s="200"/>
      <c r="D300" s="116"/>
      <c r="E300" s="116"/>
      <c r="F300" s="116"/>
      <c r="G300" s="116"/>
      <c r="H300" s="116"/>
      <c r="I300" s="116"/>
      <c r="J300" s="200"/>
      <c r="K300" s="470"/>
      <c r="L300" s="116"/>
      <c r="M300" s="116"/>
      <c r="N300" s="118" t="s">
        <v>5218</v>
      </c>
      <c r="O300" s="66"/>
      <c r="P300" s="468">
        <v>650000</v>
      </c>
    </row>
    <row r="301" spans="1:16">
      <c r="A301" s="714" t="s">
        <v>4729</v>
      </c>
      <c r="B301" s="118"/>
      <c r="C301" s="200"/>
      <c r="D301" s="116"/>
      <c r="E301" s="116"/>
      <c r="F301" s="116"/>
      <c r="G301" s="116"/>
      <c r="H301" s="116"/>
      <c r="I301" s="116"/>
      <c r="J301" s="200"/>
      <c r="K301" s="470"/>
      <c r="L301" s="116"/>
      <c r="M301" s="116"/>
      <c r="N301" s="118" t="s">
        <v>5210</v>
      </c>
      <c r="O301" s="66"/>
      <c r="P301" s="468">
        <v>367000</v>
      </c>
    </row>
    <row r="302" spans="1:16">
      <c r="A302" s="714" t="s">
        <v>4729</v>
      </c>
      <c r="B302" s="118"/>
      <c r="C302" s="200"/>
      <c r="D302" s="116"/>
      <c r="E302" s="116"/>
      <c r="F302" s="116"/>
      <c r="G302" s="116"/>
      <c r="H302" s="116"/>
      <c r="I302" s="116"/>
      <c r="J302" s="200"/>
      <c r="K302" s="470"/>
      <c r="L302" s="116"/>
      <c r="M302" s="116"/>
      <c r="N302" s="118" t="s">
        <v>5211</v>
      </c>
      <c r="O302" s="66"/>
      <c r="P302" s="468">
        <v>250000</v>
      </c>
    </row>
    <row r="303" spans="1:16">
      <c r="A303" s="714" t="s">
        <v>4729</v>
      </c>
      <c r="B303" s="118"/>
      <c r="C303" s="200"/>
      <c r="D303" s="116"/>
      <c r="E303" s="116"/>
      <c r="F303" s="116"/>
      <c r="G303" s="116"/>
      <c r="H303" s="116"/>
      <c r="I303" s="116"/>
      <c r="J303" s="200"/>
      <c r="K303" s="470"/>
      <c r="L303" s="116"/>
      <c r="M303" s="116"/>
      <c r="N303" s="118" t="s">
        <v>5212</v>
      </c>
      <c r="O303" s="66"/>
      <c r="P303" s="468">
        <v>310000</v>
      </c>
    </row>
    <row r="304" spans="1:16">
      <c r="A304" s="714" t="s">
        <v>4729</v>
      </c>
      <c r="B304" s="118"/>
      <c r="C304" s="200"/>
      <c r="D304" s="116"/>
      <c r="E304" s="116"/>
      <c r="F304" s="116"/>
      <c r="G304" s="116"/>
      <c r="H304" s="116"/>
      <c r="I304" s="116"/>
      <c r="J304" s="200"/>
      <c r="K304" s="470"/>
      <c r="L304" s="116"/>
      <c r="M304" s="116"/>
      <c r="N304" s="118" t="s">
        <v>5219</v>
      </c>
      <c r="O304" s="66"/>
      <c r="P304" s="468">
        <v>2070000</v>
      </c>
    </row>
    <row r="305" spans="1:16" ht="12.6" customHeight="1">
      <c r="A305" s="714" t="s">
        <v>4729</v>
      </c>
      <c r="B305" s="118" t="s">
        <v>3319</v>
      </c>
      <c r="C305" s="200" t="s">
        <v>5256</v>
      </c>
      <c r="D305" s="116" t="s">
        <v>4994</v>
      </c>
      <c r="E305" s="116">
        <v>6</v>
      </c>
      <c r="F305" s="116">
        <v>4</v>
      </c>
      <c r="G305" s="116" t="s">
        <v>4892</v>
      </c>
      <c r="H305" s="116" t="s">
        <v>4708</v>
      </c>
      <c r="I305" s="116">
        <v>18</v>
      </c>
      <c r="J305" s="200" t="s">
        <v>4271</v>
      </c>
      <c r="K305" s="470">
        <v>4500000</v>
      </c>
      <c r="L305" s="116">
        <v>1</v>
      </c>
      <c r="M305" s="116" t="s">
        <v>4345</v>
      </c>
      <c r="N305" s="118" t="s">
        <v>5217</v>
      </c>
      <c r="O305" s="66" t="s">
        <v>5201</v>
      </c>
      <c r="P305" s="468">
        <v>570000</v>
      </c>
    </row>
    <row r="306" spans="1:16">
      <c r="A306" s="714" t="s">
        <v>4729</v>
      </c>
      <c r="B306" s="118"/>
      <c r="C306" s="200"/>
      <c r="D306" s="116"/>
      <c r="E306" s="116"/>
      <c r="F306" s="116"/>
      <c r="G306" s="116"/>
      <c r="H306" s="116"/>
      <c r="I306" s="116"/>
      <c r="J306" s="200"/>
      <c r="K306" s="470"/>
      <c r="L306" s="116"/>
      <c r="M306" s="116"/>
      <c r="N306" s="118" t="s">
        <v>5218</v>
      </c>
      <c r="O306" s="66"/>
      <c r="P306" s="468">
        <v>0</v>
      </c>
    </row>
    <row r="307" spans="1:16">
      <c r="A307" s="714" t="s">
        <v>4729</v>
      </c>
      <c r="B307" s="118"/>
      <c r="C307" s="200"/>
      <c r="D307" s="116"/>
      <c r="E307" s="116"/>
      <c r="F307" s="116"/>
      <c r="G307" s="116"/>
      <c r="H307" s="116"/>
      <c r="I307" s="116"/>
      <c r="J307" s="200"/>
      <c r="K307" s="470"/>
      <c r="L307" s="116"/>
      <c r="M307" s="116"/>
      <c r="N307" s="118" t="s">
        <v>5210</v>
      </c>
      <c r="O307" s="66"/>
      <c r="P307" s="468">
        <v>0</v>
      </c>
    </row>
    <row r="308" spans="1:16">
      <c r="A308" s="714" t="s">
        <v>4729</v>
      </c>
      <c r="B308" s="118"/>
      <c r="C308" s="200"/>
      <c r="D308" s="116"/>
      <c r="E308" s="116"/>
      <c r="F308" s="116"/>
      <c r="G308" s="116"/>
      <c r="H308" s="116"/>
      <c r="I308" s="116"/>
      <c r="J308" s="200"/>
      <c r="K308" s="470"/>
      <c r="L308" s="116"/>
      <c r="M308" s="116"/>
      <c r="N308" s="118" t="s">
        <v>5211</v>
      </c>
      <c r="O308" s="66"/>
      <c r="P308" s="468">
        <v>0</v>
      </c>
    </row>
    <row r="309" spans="1:16">
      <c r="A309" s="714" t="s">
        <v>4729</v>
      </c>
      <c r="B309" s="118"/>
      <c r="C309" s="200"/>
      <c r="D309" s="116"/>
      <c r="E309" s="116"/>
      <c r="F309" s="116"/>
      <c r="G309" s="116"/>
      <c r="H309" s="116"/>
      <c r="I309" s="116"/>
      <c r="J309" s="200"/>
      <c r="K309" s="470"/>
      <c r="L309" s="116"/>
      <c r="M309" s="116"/>
      <c r="N309" s="118" t="s">
        <v>5212</v>
      </c>
      <c r="O309" s="66"/>
      <c r="P309" s="468">
        <v>62000</v>
      </c>
    </row>
    <row r="310" spans="1:16">
      <c r="A310" s="714" t="s">
        <v>4729</v>
      </c>
      <c r="B310" s="118"/>
      <c r="C310" s="200"/>
      <c r="D310" s="116"/>
      <c r="E310" s="116"/>
      <c r="F310" s="116"/>
      <c r="G310" s="116"/>
      <c r="H310" s="116"/>
      <c r="I310" s="116"/>
      <c r="J310" s="200"/>
      <c r="K310" s="470"/>
      <c r="L310" s="116"/>
      <c r="M310" s="116"/>
      <c r="N310" s="118" t="s">
        <v>5219</v>
      </c>
      <c r="O310" s="66"/>
      <c r="P310" s="468">
        <v>540000</v>
      </c>
    </row>
    <row r="311" spans="1:16" ht="33.75">
      <c r="A311" s="714" t="s">
        <v>4738</v>
      </c>
      <c r="B311" s="118" t="s">
        <v>4738</v>
      </c>
      <c r="C311" s="118" t="s">
        <v>1697</v>
      </c>
      <c r="D311" s="116" t="s">
        <v>5257</v>
      </c>
      <c r="E311" s="116">
        <v>1</v>
      </c>
      <c r="F311" s="116">
        <v>25</v>
      </c>
      <c r="G311" s="116" t="s">
        <v>4846</v>
      </c>
      <c r="H311" s="116" t="s">
        <v>5258</v>
      </c>
      <c r="I311" s="116">
        <v>7.1999999999999995E-2</v>
      </c>
      <c r="J311" s="200" t="s">
        <v>5259</v>
      </c>
      <c r="K311" s="470">
        <v>355000</v>
      </c>
      <c r="L311" s="116">
        <v>1</v>
      </c>
      <c r="M311" s="116" t="s">
        <v>4345</v>
      </c>
      <c r="N311" s="118"/>
      <c r="O311" s="66" t="s">
        <v>5201</v>
      </c>
      <c r="P311" s="468">
        <v>0</v>
      </c>
    </row>
    <row r="312" spans="1:16" ht="12.6" customHeight="1">
      <c r="A312" s="714" t="s">
        <v>4738</v>
      </c>
      <c r="B312" s="118"/>
      <c r="C312" s="118" t="s">
        <v>5260</v>
      </c>
      <c r="D312" s="116" t="s">
        <v>5215</v>
      </c>
      <c r="E312" s="116">
        <v>22</v>
      </c>
      <c r="F312" s="116">
        <v>563</v>
      </c>
      <c r="G312" s="66" t="s">
        <v>5261</v>
      </c>
      <c r="H312" s="66" t="s">
        <v>5262</v>
      </c>
      <c r="I312" s="116">
        <v>145.1</v>
      </c>
      <c r="J312" s="200" t="s">
        <v>5263</v>
      </c>
      <c r="K312" s="470">
        <v>113936500</v>
      </c>
      <c r="L312" s="116">
        <v>1</v>
      </c>
      <c r="M312" s="116" t="s">
        <v>4345</v>
      </c>
      <c r="N312" s="118" t="s">
        <v>5217</v>
      </c>
      <c r="O312" s="66" t="s">
        <v>5201</v>
      </c>
      <c r="P312" s="468">
        <v>2090000</v>
      </c>
    </row>
    <row r="313" spans="1:16">
      <c r="A313" s="714" t="s">
        <v>4738</v>
      </c>
      <c r="B313" s="118"/>
      <c r="C313" s="118"/>
      <c r="D313" s="116"/>
      <c r="E313" s="116"/>
      <c r="F313" s="116"/>
      <c r="G313" s="66"/>
      <c r="H313" s="66"/>
      <c r="I313" s="116"/>
      <c r="J313" s="200"/>
      <c r="K313" s="470"/>
      <c r="L313" s="116"/>
      <c r="M313" s="116"/>
      <c r="N313" s="118" t="s">
        <v>5218</v>
      </c>
      <c r="O313" s="66"/>
      <c r="P313" s="468">
        <v>1300000</v>
      </c>
    </row>
    <row r="314" spans="1:16">
      <c r="A314" s="714" t="s">
        <v>4738</v>
      </c>
      <c r="B314" s="118"/>
      <c r="C314" s="118"/>
      <c r="D314" s="116"/>
      <c r="E314" s="116"/>
      <c r="F314" s="116"/>
      <c r="G314" s="66"/>
      <c r="H314" s="66"/>
      <c r="I314" s="116"/>
      <c r="J314" s="200"/>
      <c r="K314" s="470"/>
      <c r="L314" s="116"/>
      <c r="M314" s="116"/>
      <c r="N314" s="118" t="s">
        <v>5210</v>
      </c>
      <c r="O314" s="66"/>
      <c r="P314" s="468">
        <v>734000</v>
      </c>
    </row>
    <row r="315" spans="1:16">
      <c r="A315" s="714" t="s">
        <v>4738</v>
      </c>
      <c r="B315" s="118"/>
      <c r="C315" s="118"/>
      <c r="D315" s="116"/>
      <c r="E315" s="116"/>
      <c r="F315" s="116"/>
      <c r="G315" s="66"/>
      <c r="H315" s="66"/>
      <c r="I315" s="116"/>
      <c r="J315" s="200"/>
      <c r="K315" s="470"/>
      <c r="L315" s="116"/>
      <c r="M315" s="116"/>
      <c r="N315" s="118" t="s">
        <v>5211</v>
      </c>
      <c r="O315" s="66"/>
      <c r="P315" s="468">
        <v>500000</v>
      </c>
    </row>
    <row r="316" spans="1:16">
      <c r="A316" s="714" t="s">
        <v>4738</v>
      </c>
      <c r="B316" s="118"/>
      <c r="C316" s="118"/>
      <c r="D316" s="116"/>
      <c r="E316" s="116"/>
      <c r="F316" s="116"/>
      <c r="G316" s="66"/>
      <c r="H316" s="66"/>
      <c r="I316" s="116"/>
      <c r="J316" s="200"/>
      <c r="K316" s="470"/>
      <c r="L316" s="116"/>
      <c r="M316" s="116"/>
      <c r="N316" s="118" t="s">
        <v>5212</v>
      </c>
      <c r="O316" s="66"/>
      <c r="P316" s="468">
        <v>372000</v>
      </c>
    </row>
    <row r="317" spans="1:16">
      <c r="A317" s="714" t="s">
        <v>4738</v>
      </c>
      <c r="B317" s="118"/>
      <c r="C317" s="118"/>
      <c r="D317" s="116"/>
      <c r="E317" s="116"/>
      <c r="F317" s="116"/>
      <c r="G317" s="66"/>
      <c r="H317" s="66"/>
      <c r="I317" s="116"/>
      <c r="J317" s="200"/>
      <c r="K317" s="470"/>
      <c r="L317" s="116"/>
      <c r="M317" s="116"/>
      <c r="N317" s="118" t="s">
        <v>5219</v>
      </c>
      <c r="O317" s="66"/>
      <c r="P317" s="468">
        <v>1980000</v>
      </c>
    </row>
    <row r="318" spans="1:16" ht="33.75">
      <c r="A318" s="714" t="s">
        <v>4738</v>
      </c>
      <c r="B318" s="118"/>
      <c r="C318" s="118" t="s">
        <v>5264</v>
      </c>
      <c r="D318" s="116" t="s">
        <v>5265</v>
      </c>
      <c r="E318" s="116">
        <v>1</v>
      </c>
      <c r="F318" s="116">
        <v>33</v>
      </c>
      <c r="G318" s="116" t="s">
        <v>5266</v>
      </c>
      <c r="H318" s="116"/>
      <c r="I318" s="116">
        <v>5.5</v>
      </c>
      <c r="J318" s="200" t="s">
        <v>5267</v>
      </c>
      <c r="K318" s="470">
        <v>2940000</v>
      </c>
      <c r="L318" s="116">
        <v>1</v>
      </c>
      <c r="M318" s="116" t="s">
        <v>4345</v>
      </c>
      <c r="N318" s="118"/>
      <c r="O318" s="66" t="s">
        <v>5201</v>
      </c>
      <c r="P318" s="468">
        <v>0</v>
      </c>
    </row>
    <row r="319" spans="1:16" ht="12.6" customHeight="1">
      <c r="A319" s="714" t="s">
        <v>3770</v>
      </c>
      <c r="B319" s="118" t="s">
        <v>4940</v>
      </c>
      <c r="C319" s="118" t="s">
        <v>5220</v>
      </c>
      <c r="D319" s="116" t="s">
        <v>4994</v>
      </c>
      <c r="E319" s="116">
        <v>1</v>
      </c>
      <c r="F319" s="66" t="s">
        <v>5268</v>
      </c>
      <c r="G319" s="66" t="s">
        <v>5269</v>
      </c>
      <c r="H319" s="66"/>
      <c r="I319" s="66">
        <v>3</v>
      </c>
      <c r="J319" s="200" t="s">
        <v>5270</v>
      </c>
      <c r="K319" s="485">
        <v>1950000</v>
      </c>
      <c r="L319" s="116">
        <v>1</v>
      </c>
      <c r="M319" s="116" t="s">
        <v>4345</v>
      </c>
      <c r="N319" s="118" t="s">
        <v>5217</v>
      </c>
      <c r="O319" s="66" t="s">
        <v>5201</v>
      </c>
      <c r="P319" s="468">
        <v>95000</v>
      </c>
    </row>
    <row r="320" spans="1:16">
      <c r="A320" s="714" t="s">
        <v>3770</v>
      </c>
      <c r="B320" s="118"/>
      <c r="C320" s="118"/>
      <c r="D320" s="116"/>
      <c r="E320" s="116"/>
      <c r="F320" s="66"/>
      <c r="G320" s="66"/>
      <c r="H320" s="66"/>
      <c r="I320" s="66"/>
      <c r="J320" s="200"/>
      <c r="K320" s="485"/>
      <c r="L320" s="116"/>
      <c r="M320" s="116"/>
      <c r="N320" s="118" t="s">
        <v>5218</v>
      </c>
      <c r="O320" s="66"/>
      <c r="P320" s="468">
        <v>0</v>
      </c>
    </row>
    <row r="321" spans="1:16">
      <c r="A321" s="714" t="s">
        <v>3770</v>
      </c>
      <c r="B321" s="118"/>
      <c r="C321" s="118"/>
      <c r="D321" s="116"/>
      <c r="E321" s="116"/>
      <c r="F321" s="66"/>
      <c r="G321" s="66"/>
      <c r="H321" s="66"/>
      <c r="I321" s="66"/>
      <c r="J321" s="200"/>
      <c r="K321" s="485"/>
      <c r="L321" s="116"/>
      <c r="M321" s="116"/>
      <c r="N321" s="118" t="s">
        <v>5210</v>
      </c>
      <c r="O321" s="66"/>
      <c r="P321" s="468">
        <v>0</v>
      </c>
    </row>
    <row r="322" spans="1:16">
      <c r="A322" s="714" t="s">
        <v>3770</v>
      </c>
      <c r="B322" s="118"/>
      <c r="C322" s="118"/>
      <c r="D322" s="116"/>
      <c r="E322" s="116"/>
      <c r="F322" s="66"/>
      <c r="G322" s="66"/>
      <c r="H322" s="66"/>
      <c r="I322" s="66"/>
      <c r="J322" s="200"/>
      <c r="K322" s="485"/>
      <c r="L322" s="116"/>
      <c r="M322" s="116"/>
      <c r="N322" s="118" t="s">
        <v>5211</v>
      </c>
      <c r="O322" s="66"/>
      <c r="P322" s="468">
        <v>0</v>
      </c>
    </row>
    <row r="323" spans="1:16">
      <c r="A323" s="714" t="s">
        <v>3770</v>
      </c>
      <c r="B323" s="118"/>
      <c r="C323" s="118"/>
      <c r="D323" s="116"/>
      <c r="E323" s="116"/>
      <c r="F323" s="66"/>
      <c r="G323" s="66"/>
      <c r="H323" s="66"/>
      <c r="I323" s="66"/>
      <c r="J323" s="200"/>
      <c r="K323" s="485"/>
      <c r="L323" s="116"/>
      <c r="M323" s="116"/>
      <c r="N323" s="118" t="s">
        <v>5212</v>
      </c>
      <c r="O323" s="66"/>
      <c r="P323" s="468">
        <v>62000</v>
      </c>
    </row>
    <row r="324" spans="1:16">
      <c r="A324" s="714" t="s">
        <v>3770</v>
      </c>
      <c r="B324" s="118"/>
      <c r="C324" s="118"/>
      <c r="D324" s="116"/>
      <c r="E324" s="116"/>
      <c r="F324" s="66"/>
      <c r="G324" s="66"/>
      <c r="H324" s="66"/>
      <c r="I324" s="66"/>
      <c r="J324" s="200"/>
      <c r="K324" s="485"/>
      <c r="L324" s="116"/>
      <c r="M324" s="116"/>
      <c r="N324" s="118" t="s">
        <v>5219</v>
      </c>
      <c r="O324" s="66"/>
      <c r="P324" s="468">
        <v>90000</v>
      </c>
    </row>
    <row r="325" spans="1:16" ht="12.6" customHeight="1">
      <c r="A325" s="714" t="s">
        <v>110</v>
      </c>
      <c r="B325" s="118" t="s">
        <v>5271</v>
      </c>
      <c r="C325" s="118" t="s">
        <v>1601</v>
      </c>
      <c r="D325" s="116" t="s">
        <v>5215</v>
      </c>
      <c r="E325" s="116">
        <v>34</v>
      </c>
      <c r="F325" s="116">
        <v>1250</v>
      </c>
      <c r="G325" s="66"/>
      <c r="H325" s="66"/>
      <c r="I325" s="66"/>
      <c r="J325" s="200" t="s">
        <v>5272</v>
      </c>
      <c r="K325" s="470">
        <v>177684346</v>
      </c>
      <c r="L325" s="116">
        <v>1</v>
      </c>
      <c r="M325" s="116" t="s">
        <v>4345</v>
      </c>
      <c r="N325" s="118" t="s">
        <v>5217</v>
      </c>
      <c r="O325" s="66" t="s">
        <v>5201</v>
      </c>
      <c r="P325" s="468">
        <v>3230000</v>
      </c>
    </row>
    <row r="326" spans="1:16">
      <c r="A326" s="714" t="s">
        <v>110</v>
      </c>
      <c r="B326" s="118"/>
      <c r="C326" s="118"/>
      <c r="D326" s="116"/>
      <c r="E326" s="116"/>
      <c r="F326" s="116"/>
      <c r="G326" s="66"/>
      <c r="H326" s="66"/>
      <c r="I326" s="66"/>
      <c r="J326" s="200"/>
      <c r="K326" s="470"/>
      <c r="L326" s="116"/>
      <c r="M326" s="116"/>
      <c r="N326" s="118" t="s">
        <v>5218</v>
      </c>
      <c r="O326" s="66"/>
      <c r="P326" s="468">
        <v>1300000</v>
      </c>
    </row>
    <row r="327" spans="1:16">
      <c r="A327" s="714" t="s">
        <v>110</v>
      </c>
      <c r="B327" s="118"/>
      <c r="C327" s="118"/>
      <c r="D327" s="116"/>
      <c r="E327" s="116"/>
      <c r="F327" s="116"/>
      <c r="G327" s="66"/>
      <c r="H327" s="66"/>
      <c r="I327" s="66"/>
      <c r="J327" s="200"/>
      <c r="K327" s="470"/>
      <c r="L327" s="116"/>
      <c r="M327" s="116"/>
      <c r="N327" s="118" t="s">
        <v>5210</v>
      </c>
      <c r="O327" s="66"/>
      <c r="P327" s="468">
        <v>734000</v>
      </c>
    </row>
    <row r="328" spans="1:16">
      <c r="A328" s="714" t="s">
        <v>110</v>
      </c>
      <c r="B328" s="118"/>
      <c r="C328" s="118"/>
      <c r="D328" s="116"/>
      <c r="E328" s="116"/>
      <c r="F328" s="116"/>
      <c r="G328" s="66"/>
      <c r="H328" s="66"/>
      <c r="I328" s="66"/>
      <c r="J328" s="200"/>
      <c r="K328" s="470"/>
      <c r="L328" s="116"/>
      <c r="M328" s="116"/>
      <c r="N328" s="118" t="s">
        <v>5211</v>
      </c>
      <c r="O328" s="66"/>
      <c r="P328" s="468">
        <v>500000</v>
      </c>
    </row>
    <row r="329" spans="1:16">
      <c r="A329" s="714" t="s">
        <v>110</v>
      </c>
      <c r="B329" s="118"/>
      <c r="C329" s="118"/>
      <c r="D329" s="116"/>
      <c r="E329" s="116"/>
      <c r="F329" s="116"/>
      <c r="G329" s="66"/>
      <c r="H329" s="66"/>
      <c r="I329" s="66"/>
      <c r="J329" s="200"/>
      <c r="K329" s="470"/>
      <c r="L329" s="116"/>
      <c r="M329" s="116"/>
      <c r="N329" s="118" t="s">
        <v>5212</v>
      </c>
      <c r="O329" s="66"/>
      <c r="P329" s="468">
        <v>248000</v>
      </c>
    </row>
    <row r="330" spans="1:16">
      <c r="A330" s="714" t="s">
        <v>110</v>
      </c>
      <c r="B330" s="118"/>
      <c r="C330" s="118"/>
      <c r="D330" s="116"/>
      <c r="E330" s="116"/>
      <c r="F330" s="116"/>
      <c r="G330" s="66"/>
      <c r="H330" s="66"/>
      <c r="I330" s="66"/>
      <c r="J330" s="200"/>
      <c r="K330" s="470"/>
      <c r="L330" s="116"/>
      <c r="M330" s="116"/>
      <c r="N330" s="118" t="s">
        <v>5219</v>
      </c>
      <c r="O330" s="66"/>
      <c r="P330" s="468">
        <v>3060000</v>
      </c>
    </row>
    <row r="331" spans="1:16" ht="33.75">
      <c r="A331" s="714" t="s">
        <v>110</v>
      </c>
      <c r="B331" s="118" t="s">
        <v>4781</v>
      </c>
      <c r="C331" s="200" t="s">
        <v>5273</v>
      </c>
      <c r="D331" s="66" t="s">
        <v>5023</v>
      </c>
      <c r="E331" s="116">
        <v>11</v>
      </c>
      <c r="F331" s="116">
        <f>15+182</f>
        <v>197</v>
      </c>
      <c r="G331" s="116"/>
      <c r="H331" s="116"/>
      <c r="I331" s="116"/>
      <c r="J331" s="118" t="s">
        <v>5274</v>
      </c>
      <c r="K331" s="470">
        <f>500000+18200000</f>
        <v>18700000</v>
      </c>
      <c r="L331" s="116">
        <v>1</v>
      </c>
      <c r="M331" s="116" t="s">
        <v>4345</v>
      </c>
      <c r="N331" s="118" t="s">
        <v>5235</v>
      </c>
      <c r="O331" s="66" t="s">
        <v>5201</v>
      </c>
      <c r="P331" s="468">
        <v>1375000</v>
      </c>
    </row>
    <row r="332" spans="1:16" ht="12.6" customHeight="1">
      <c r="A332" s="714" t="s">
        <v>110</v>
      </c>
      <c r="B332" s="118"/>
      <c r="C332" s="200" t="s">
        <v>5275</v>
      </c>
      <c r="D332" s="66" t="s">
        <v>4903</v>
      </c>
      <c r="E332" s="116">
        <v>28</v>
      </c>
      <c r="F332" s="116">
        <f>283+143+204</f>
        <v>630</v>
      </c>
      <c r="G332" s="66" t="s">
        <v>5276</v>
      </c>
      <c r="H332" s="66"/>
      <c r="I332" s="116">
        <f>8.5+26.25+24</f>
        <v>58.75</v>
      </c>
      <c r="J332" s="200" t="s">
        <v>5277</v>
      </c>
      <c r="K332" s="470">
        <f>1700000+300000+910000+300000+2000000+775000</f>
        <v>5985000</v>
      </c>
      <c r="L332" s="116">
        <v>1</v>
      </c>
      <c r="M332" s="116" t="s">
        <v>4345</v>
      </c>
      <c r="N332" s="118" t="s">
        <v>5209</v>
      </c>
      <c r="O332" s="66" t="s">
        <v>5201</v>
      </c>
      <c r="P332" s="468">
        <v>7000000</v>
      </c>
    </row>
    <row r="333" spans="1:16">
      <c r="A333" s="714" t="s">
        <v>110</v>
      </c>
      <c r="B333" s="118"/>
      <c r="C333" s="200"/>
      <c r="D333" s="66"/>
      <c r="E333" s="116"/>
      <c r="F333" s="116"/>
      <c r="G333" s="66"/>
      <c r="H333" s="66"/>
      <c r="I333" s="116"/>
      <c r="J333" s="200"/>
      <c r="K333" s="470"/>
      <c r="L333" s="116"/>
      <c r="M333" s="116"/>
      <c r="N333" s="118" t="s">
        <v>5210</v>
      </c>
      <c r="O333" s="66"/>
      <c r="P333" s="468">
        <v>367000</v>
      </c>
    </row>
    <row r="334" spans="1:16">
      <c r="A334" s="714" t="s">
        <v>110</v>
      </c>
      <c r="B334" s="118"/>
      <c r="C334" s="200"/>
      <c r="D334" s="66"/>
      <c r="E334" s="116"/>
      <c r="F334" s="116"/>
      <c r="G334" s="66"/>
      <c r="H334" s="66"/>
      <c r="I334" s="116"/>
      <c r="J334" s="200"/>
      <c r="K334" s="470"/>
      <c r="L334" s="116"/>
      <c r="M334" s="116"/>
      <c r="N334" s="118" t="s">
        <v>5211</v>
      </c>
      <c r="O334" s="66"/>
      <c r="P334" s="468">
        <v>250000</v>
      </c>
    </row>
    <row r="335" spans="1:16">
      <c r="A335" s="714" t="s">
        <v>110</v>
      </c>
      <c r="B335" s="118"/>
      <c r="C335" s="200"/>
      <c r="D335" s="66"/>
      <c r="E335" s="116"/>
      <c r="F335" s="116"/>
      <c r="G335" s="66"/>
      <c r="H335" s="66"/>
      <c r="I335" s="116"/>
      <c r="J335" s="200"/>
      <c r="K335" s="470"/>
      <c r="L335" s="116"/>
      <c r="M335" s="116"/>
      <c r="N335" s="118" t="s">
        <v>5212</v>
      </c>
      <c r="O335" s="66"/>
      <c r="P335" s="468">
        <v>248000</v>
      </c>
    </row>
    <row r="336" spans="1:16" ht="22.5">
      <c r="A336" s="714" t="s">
        <v>110</v>
      </c>
      <c r="B336" s="118"/>
      <c r="C336" s="200"/>
      <c r="D336" s="66"/>
      <c r="E336" s="116"/>
      <c r="F336" s="116"/>
      <c r="G336" s="66"/>
      <c r="H336" s="66"/>
      <c r="I336" s="116"/>
      <c r="J336" s="200"/>
      <c r="K336" s="470"/>
      <c r="L336" s="116"/>
      <c r="M336" s="116"/>
      <c r="N336" s="118" t="s">
        <v>5213</v>
      </c>
      <c r="O336" s="66"/>
      <c r="P336" s="468">
        <v>3763200</v>
      </c>
    </row>
    <row r="337" spans="1:16" ht="33.75">
      <c r="A337" s="714" t="s">
        <v>110</v>
      </c>
      <c r="B337" s="118"/>
      <c r="C337" s="200" t="s">
        <v>5275</v>
      </c>
      <c r="D337" s="66" t="s">
        <v>4970</v>
      </c>
      <c r="E337" s="66">
        <v>20</v>
      </c>
      <c r="F337" s="66">
        <f>151+350+275</f>
        <v>776</v>
      </c>
      <c r="G337" s="66" t="s">
        <v>5278</v>
      </c>
      <c r="H337" s="66"/>
      <c r="I337" s="66"/>
      <c r="J337" s="200" t="s">
        <v>5279</v>
      </c>
      <c r="K337" s="485">
        <f>100000+800000+500000</f>
        <v>1400000</v>
      </c>
      <c r="L337" s="66">
        <v>1</v>
      </c>
      <c r="M337" s="66" t="s">
        <v>4345</v>
      </c>
      <c r="N337" s="200" t="s">
        <v>5241</v>
      </c>
      <c r="O337" s="66" t="s">
        <v>5201</v>
      </c>
      <c r="P337" s="482">
        <v>9600000</v>
      </c>
    </row>
    <row r="338" spans="1:16" ht="12.6" customHeight="1">
      <c r="A338" s="714" t="s">
        <v>110</v>
      </c>
      <c r="B338" s="118"/>
      <c r="C338" s="200" t="s">
        <v>5280</v>
      </c>
      <c r="D338" s="116" t="s">
        <v>5281</v>
      </c>
      <c r="E338" s="116">
        <v>70</v>
      </c>
      <c r="F338" s="116">
        <v>60</v>
      </c>
      <c r="G338" s="66" t="s">
        <v>5282</v>
      </c>
      <c r="H338" s="116"/>
      <c r="I338" s="116">
        <v>57.9</v>
      </c>
      <c r="J338" s="200" t="s">
        <v>5283</v>
      </c>
      <c r="K338" s="470">
        <v>52446000</v>
      </c>
      <c r="L338" s="116">
        <v>1</v>
      </c>
      <c r="M338" s="116" t="s">
        <v>4345</v>
      </c>
      <c r="N338" s="118" t="s">
        <v>5217</v>
      </c>
      <c r="O338" s="66" t="s">
        <v>5201</v>
      </c>
      <c r="P338" s="468">
        <v>6650000</v>
      </c>
    </row>
    <row r="339" spans="1:16">
      <c r="A339" s="714" t="s">
        <v>110</v>
      </c>
      <c r="B339" s="118"/>
      <c r="C339" s="200"/>
      <c r="D339" s="116"/>
      <c r="E339" s="116"/>
      <c r="F339" s="116"/>
      <c r="G339" s="66"/>
      <c r="H339" s="116"/>
      <c r="I339" s="116"/>
      <c r="J339" s="200"/>
      <c r="K339" s="470"/>
      <c r="L339" s="116"/>
      <c r="M339" s="116"/>
      <c r="N339" s="118" t="s">
        <v>5218</v>
      </c>
      <c r="O339" s="66"/>
      <c r="P339" s="468">
        <v>650000</v>
      </c>
    </row>
    <row r="340" spans="1:16">
      <c r="A340" s="714" t="s">
        <v>110</v>
      </c>
      <c r="B340" s="118"/>
      <c r="C340" s="200"/>
      <c r="D340" s="116"/>
      <c r="E340" s="116"/>
      <c r="F340" s="116"/>
      <c r="G340" s="66"/>
      <c r="H340" s="116"/>
      <c r="I340" s="116"/>
      <c r="J340" s="200"/>
      <c r="K340" s="470"/>
      <c r="L340" s="116"/>
      <c r="M340" s="116"/>
      <c r="N340" s="118" t="s">
        <v>5210</v>
      </c>
      <c r="O340" s="66"/>
      <c r="P340" s="468">
        <v>367000</v>
      </c>
    </row>
    <row r="341" spans="1:16">
      <c r="A341" s="714" t="s">
        <v>110</v>
      </c>
      <c r="B341" s="118"/>
      <c r="C341" s="200"/>
      <c r="D341" s="116"/>
      <c r="E341" s="116"/>
      <c r="F341" s="116"/>
      <c r="G341" s="66"/>
      <c r="H341" s="116"/>
      <c r="I341" s="116"/>
      <c r="J341" s="200"/>
      <c r="K341" s="470"/>
      <c r="L341" s="116"/>
      <c r="M341" s="116"/>
      <c r="N341" s="118" t="s">
        <v>5211</v>
      </c>
      <c r="O341" s="66"/>
      <c r="P341" s="468">
        <v>250000</v>
      </c>
    </row>
    <row r="342" spans="1:16">
      <c r="A342" s="714" t="s">
        <v>110</v>
      </c>
      <c r="B342" s="118"/>
      <c r="C342" s="200"/>
      <c r="D342" s="116"/>
      <c r="E342" s="116"/>
      <c r="F342" s="116"/>
      <c r="G342" s="66"/>
      <c r="H342" s="116"/>
      <c r="I342" s="116"/>
      <c r="J342" s="200"/>
      <c r="K342" s="470"/>
      <c r="L342" s="116"/>
      <c r="M342" s="116"/>
      <c r="N342" s="118" t="s">
        <v>5212</v>
      </c>
      <c r="O342" s="66"/>
      <c r="P342" s="468">
        <v>372000</v>
      </c>
    </row>
    <row r="343" spans="1:16">
      <c r="A343" s="714" t="s">
        <v>110</v>
      </c>
      <c r="B343" s="118"/>
      <c r="C343" s="200"/>
      <c r="D343" s="116"/>
      <c r="E343" s="116"/>
      <c r="F343" s="116"/>
      <c r="G343" s="66"/>
      <c r="H343" s="116"/>
      <c r="I343" s="116"/>
      <c r="J343" s="200"/>
      <c r="K343" s="470"/>
      <c r="L343" s="116"/>
      <c r="M343" s="116"/>
      <c r="N343" s="118" t="s">
        <v>5219</v>
      </c>
      <c r="O343" s="66"/>
      <c r="P343" s="468">
        <v>6300000</v>
      </c>
    </row>
    <row r="344" spans="1:16" ht="12.6" customHeight="1">
      <c r="A344" s="714" t="s">
        <v>110</v>
      </c>
      <c r="B344" s="200" t="s">
        <v>4799</v>
      </c>
      <c r="C344" s="200" t="s">
        <v>5284</v>
      </c>
      <c r="D344" s="66" t="s">
        <v>5215</v>
      </c>
      <c r="E344" s="66">
        <v>1</v>
      </c>
      <c r="F344" s="66">
        <v>12</v>
      </c>
      <c r="G344" s="66"/>
      <c r="H344" s="66"/>
      <c r="I344" s="66"/>
      <c r="J344" s="200" t="s">
        <v>5285</v>
      </c>
      <c r="K344" s="485">
        <v>2000000</v>
      </c>
      <c r="L344" s="116">
        <v>1</v>
      </c>
      <c r="M344" s="116" t="s">
        <v>4345</v>
      </c>
      <c r="N344" s="118" t="s">
        <v>5217</v>
      </c>
      <c r="O344" s="66" t="s">
        <v>5201</v>
      </c>
      <c r="P344" s="468">
        <v>95000</v>
      </c>
    </row>
    <row r="345" spans="1:16">
      <c r="A345" s="714" t="s">
        <v>110</v>
      </c>
      <c r="B345" s="200"/>
      <c r="C345" s="200"/>
      <c r="D345" s="66"/>
      <c r="E345" s="66"/>
      <c r="F345" s="66"/>
      <c r="G345" s="66"/>
      <c r="H345" s="66"/>
      <c r="I345" s="66"/>
      <c r="J345" s="200"/>
      <c r="K345" s="485"/>
      <c r="L345" s="116"/>
      <c r="M345" s="116"/>
      <c r="N345" s="118" t="s">
        <v>5218</v>
      </c>
      <c r="O345" s="66"/>
      <c r="P345" s="468">
        <v>650000</v>
      </c>
    </row>
    <row r="346" spans="1:16">
      <c r="A346" s="714" t="s">
        <v>110</v>
      </c>
      <c r="B346" s="200"/>
      <c r="C346" s="200"/>
      <c r="D346" s="66"/>
      <c r="E346" s="66"/>
      <c r="F346" s="66"/>
      <c r="G346" s="66"/>
      <c r="H346" s="66"/>
      <c r="I346" s="66"/>
      <c r="J346" s="200"/>
      <c r="K346" s="485"/>
      <c r="L346" s="116"/>
      <c r="M346" s="116"/>
      <c r="N346" s="118" t="s">
        <v>5210</v>
      </c>
      <c r="O346" s="66"/>
      <c r="P346" s="468">
        <v>367000</v>
      </c>
    </row>
    <row r="347" spans="1:16">
      <c r="A347" s="714" t="s">
        <v>110</v>
      </c>
      <c r="B347" s="200"/>
      <c r="C347" s="200"/>
      <c r="D347" s="66"/>
      <c r="E347" s="66"/>
      <c r="F347" s="66"/>
      <c r="G347" s="66"/>
      <c r="H347" s="66"/>
      <c r="I347" s="66"/>
      <c r="J347" s="200"/>
      <c r="K347" s="485"/>
      <c r="L347" s="116"/>
      <c r="M347" s="116"/>
      <c r="N347" s="118" t="s">
        <v>5211</v>
      </c>
      <c r="O347" s="66"/>
      <c r="P347" s="468">
        <v>250000</v>
      </c>
    </row>
    <row r="348" spans="1:16">
      <c r="A348" s="714" t="s">
        <v>110</v>
      </c>
      <c r="B348" s="200"/>
      <c r="C348" s="200"/>
      <c r="D348" s="66"/>
      <c r="E348" s="66"/>
      <c r="F348" s="66"/>
      <c r="G348" s="66"/>
      <c r="H348" s="66"/>
      <c r="I348" s="66"/>
      <c r="J348" s="200"/>
      <c r="K348" s="485"/>
      <c r="L348" s="116"/>
      <c r="M348" s="116"/>
      <c r="N348" s="118" t="s">
        <v>5212</v>
      </c>
      <c r="O348" s="66"/>
      <c r="P348" s="468">
        <v>62000</v>
      </c>
    </row>
    <row r="349" spans="1:16">
      <c r="A349" s="714" t="s">
        <v>110</v>
      </c>
      <c r="B349" s="200"/>
      <c r="C349" s="200"/>
      <c r="D349" s="66"/>
      <c r="E349" s="66"/>
      <c r="F349" s="66"/>
      <c r="G349" s="66"/>
      <c r="H349" s="66"/>
      <c r="I349" s="66"/>
      <c r="J349" s="200"/>
      <c r="K349" s="485"/>
      <c r="L349" s="116"/>
      <c r="M349" s="116"/>
      <c r="N349" s="118" t="s">
        <v>5219</v>
      </c>
      <c r="O349" s="66"/>
      <c r="P349" s="468">
        <v>90000</v>
      </c>
    </row>
    <row r="350" spans="1:16" ht="12.6" customHeight="1">
      <c r="A350" s="714" t="s">
        <v>110</v>
      </c>
      <c r="B350" s="200" t="s">
        <v>5286</v>
      </c>
      <c r="C350" s="200" t="s">
        <v>5287</v>
      </c>
      <c r="D350" s="116" t="s">
        <v>5288</v>
      </c>
      <c r="E350" s="116">
        <v>3</v>
      </c>
      <c r="F350" s="116"/>
      <c r="G350" s="116"/>
      <c r="H350" s="116"/>
      <c r="I350" s="116">
        <v>11.5</v>
      </c>
      <c r="J350" s="200" t="s">
        <v>5289</v>
      </c>
      <c r="K350" s="470">
        <v>2425000</v>
      </c>
      <c r="L350" s="116">
        <v>1</v>
      </c>
      <c r="M350" s="116" t="s">
        <v>4345</v>
      </c>
      <c r="N350" s="118" t="s">
        <v>5217</v>
      </c>
      <c r="O350" s="66" t="s">
        <v>5201</v>
      </c>
      <c r="P350" s="468">
        <v>285000</v>
      </c>
    </row>
    <row r="351" spans="1:16">
      <c r="A351" s="714" t="s">
        <v>110</v>
      </c>
      <c r="B351" s="200"/>
      <c r="C351" s="200"/>
      <c r="D351" s="116"/>
      <c r="E351" s="116"/>
      <c r="F351" s="116"/>
      <c r="G351" s="116"/>
      <c r="H351" s="116"/>
      <c r="I351" s="116"/>
      <c r="J351" s="200"/>
      <c r="K351" s="470"/>
      <c r="L351" s="116"/>
      <c r="M351" s="116"/>
      <c r="N351" s="118" t="s">
        <v>5218</v>
      </c>
      <c r="O351" s="66"/>
      <c r="P351" s="468">
        <v>1300000</v>
      </c>
    </row>
    <row r="352" spans="1:16">
      <c r="A352" s="714" t="s">
        <v>110</v>
      </c>
      <c r="B352" s="200"/>
      <c r="C352" s="200"/>
      <c r="D352" s="116"/>
      <c r="E352" s="116"/>
      <c r="F352" s="116"/>
      <c r="G352" s="116"/>
      <c r="H352" s="116"/>
      <c r="I352" s="116"/>
      <c r="J352" s="200"/>
      <c r="K352" s="470"/>
      <c r="L352" s="116"/>
      <c r="M352" s="116"/>
      <c r="N352" s="118" t="s">
        <v>5210</v>
      </c>
      <c r="O352" s="66"/>
      <c r="P352" s="468">
        <v>734000</v>
      </c>
    </row>
    <row r="353" spans="1:16">
      <c r="A353" s="714" t="s">
        <v>110</v>
      </c>
      <c r="B353" s="200"/>
      <c r="C353" s="200"/>
      <c r="D353" s="116"/>
      <c r="E353" s="116"/>
      <c r="F353" s="116"/>
      <c r="G353" s="116"/>
      <c r="H353" s="116"/>
      <c r="I353" s="116"/>
      <c r="J353" s="200"/>
      <c r="K353" s="470"/>
      <c r="L353" s="116"/>
      <c r="M353" s="116"/>
      <c r="N353" s="118" t="s">
        <v>5211</v>
      </c>
      <c r="O353" s="66"/>
      <c r="P353" s="468">
        <v>500000</v>
      </c>
    </row>
    <row r="354" spans="1:16">
      <c r="A354" s="714" t="s">
        <v>110</v>
      </c>
      <c r="B354" s="200"/>
      <c r="C354" s="200"/>
      <c r="D354" s="116"/>
      <c r="E354" s="116"/>
      <c r="F354" s="116"/>
      <c r="G354" s="116"/>
      <c r="H354" s="116"/>
      <c r="I354" s="116"/>
      <c r="J354" s="200"/>
      <c r="K354" s="470"/>
      <c r="L354" s="116"/>
      <c r="M354" s="116"/>
      <c r="N354" s="118" t="s">
        <v>5212</v>
      </c>
      <c r="O354" s="66"/>
      <c r="P354" s="468">
        <v>186000</v>
      </c>
    </row>
    <row r="355" spans="1:16">
      <c r="A355" s="714" t="s">
        <v>110</v>
      </c>
      <c r="B355" s="200"/>
      <c r="C355" s="200"/>
      <c r="D355" s="116"/>
      <c r="E355" s="116"/>
      <c r="F355" s="116"/>
      <c r="G355" s="116"/>
      <c r="H355" s="116"/>
      <c r="I355" s="116"/>
      <c r="J355" s="200"/>
      <c r="K355" s="470"/>
      <c r="L355" s="116"/>
      <c r="M355" s="116"/>
      <c r="N355" s="118" t="s">
        <v>5219</v>
      </c>
      <c r="O355" s="66"/>
      <c r="P355" s="468">
        <v>270000</v>
      </c>
    </row>
    <row r="356" spans="1:16" ht="33.75">
      <c r="A356" s="714" t="s">
        <v>110</v>
      </c>
      <c r="B356" s="118" t="s">
        <v>703</v>
      </c>
      <c r="C356" s="200" t="s">
        <v>5290</v>
      </c>
      <c r="D356" s="116" t="s">
        <v>5023</v>
      </c>
      <c r="E356" s="116">
        <v>3</v>
      </c>
      <c r="F356" s="116"/>
      <c r="G356" s="66" t="s">
        <v>5291</v>
      </c>
      <c r="H356" s="116"/>
      <c r="I356" s="116"/>
      <c r="J356" s="200" t="s">
        <v>5292</v>
      </c>
      <c r="K356" s="470">
        <v>7740000</v>
      </c>
      <c r="L356" s="116">
        <v>1</v>
      </c>
      <c r="M356" s="116" t="s">
        <v>4345</v>
      </c>
      <c r="N356" s="118" t="s">
        <v>5235</v>
      </c>
      <c r="O356" s="66" t="s">
        <v>5201</v>
      </c>
      <c r="P356" s="468">
        <v>550000</v>
      </c>
    </row>
    <row r="357" spans="1:16" ht="33.75">
      <c r="A357" s="714" t="s">
        <v>110</v>
      </c>
      <c r="B357" s="118" t="s">
        <v>703</v>
      </c>
      <c r="C357" s="118" t="s">
        <v>5293</v>
      </c>
      <c r="D357" s="116" t="s">
        <v>5294</v>
      </c>
      <c r="E357" s="116">
        <v>1</v>
      </c>
      <c r="F357" s="116"/>
      <c r="G357" s="116"/>
      <c r="H357" s="116"/>
      <c r="I357" s="116"/>
      <c r="J357" s="200" t="s">
        <v>5295</v>
      </c>
      <c r="K357" s="470">
        <v>220000</v>
      </c>
      <c r="L357" s="116">
        <v>1</v>
      </c>
      <c r="M357" s="116" t="s">
        <v>4345</v>
      </c>
      <c r="N357" s="118"/>
      <c r="O357" s="66" t="s">
        <v>5201</v>
      </c>
      <c r="P357" s="468">
        <v>0</v>
      </c>
    </row>
    <row r="358" spans="1:16" ht="33.75">
      <c r="A358" s="714" t="s">
        <v>110</v>
      </c>
      <c r="B358" s="118" t="s">
        <v>702</v>
      </c>
      <c r="C358" s="200" t="s">
        <v>702</v>
      </c>
      <c r="D358" s="66" t="s">
        <v>5296</v>
      </c>
      <c r="E358" s="116">
        <v>4</v>
      </c>
      <c r="F358" s="116"/>
      <c r="G358" s="116" t="s">
        <v>5203</v>
      </c>
      <c r="H358" s="116" t="s">
        <v>5297</v>
      </c>
      <c r="I358" s="116">
        <v>0.2</v>
      </c>
      <c r="J358" s="118" t="s">
        <v>5298</v>
      </c>
      <c r="K358" s="470">
        <v>106000</v>
      </c>
      <c r="L358" s="116">
        <v>1</v>
      </c>
      <c r="M358" s="116" t="s">
        <v>4345</v>
      </c>
      <c r="N358" s="118"/>
      <c r="O358" s="66" t="s">
        <v>5201</v>
      </c>
      <c r="P358" s="468">
        <v>0</v>
      </c>
    </row>
    <row r="359" spans="1:16" ht="33.75">
      <c r="A359" s="714" t="s">
        <v>110</v>
      </c>
      <c r="B359" s="118"/>
      <c r="C359" s="200"/>
      <c r="D359" s="66" t="s">
        <v>5198</v>
      </c>
      <c r="E359" s="116">
        <v>11</v>
      </c>
      <c r="F359" s="116">
        <v>200</v>
      </c>
      <c r="G359" s="116" t="s">
        <v>5203</v>
      </c>
      <c r="H359" s="116" t="s">
        <v>5299</v>
      </c>
      <c r="I359" s="116">
        <v>0.2</v>
      </c>
      <c r="J359" s="118" t="s">
        <v>5300</v>
      </c>
      <c r="K359" s="470">
        <v>200000</v>
      </c>
      <c r="L359" s="116">
        <v>1</v>
      </c>
      <c r="M359" s="116" t="s">
        <v>4345</v>
      </c>
      <c r="N359" s="118"/>
      <c r="O359" s="66" t="s">
        <v>5201</v>
      </c>
      <c r="P359" s="468">
        <v>0</v>
      </c>
    </row>
    <row r="360" spans="1:16" ht="33.75">
      <c r="A360" s="714" t="s">
        <v>110</v>
      </c>
      <c r="B360" s="118"/>
      <c r="C360" s="200"/>
      <c r="D360" s="66" t="s">
        <v>5202</v>
      </c>
      <c r="E360" s="116">
        <v>3</v>
      </c>
      <c r="F360" s="116">
        <v>100</v>
      </c>
      <c r="G360" s="116" t="s">
        <v>5203</v>
      </c>
      <c r="H360" s="116" t="s">
        <v>5301</v>
      </c>
      <c r="I360" s="116">
        <v>0.01</v>
      </c>
      <c r="J360" s="118" t="s">
        <v>5300</v>
      </c>
      <c r="K360" s="470">
        <v>55000</v>
      </c>
      <c r="L360" s="116">
        <v>1</v>
      </c>
      <c r="M360" s="116" t="s">
        <v>4345</v>
      </c>
      <c r="N360" s="118"/>
      <c r="O360" s="66" t="s">
        <v>5201</v>
      </c>
      <c r="P360" s="468">
        <v>0</v>
      </c>
    </row>
    <row r="361" spans="1:16" ht="12.6" customHeight="1">
      <c r="A361" s="714" t="s">
        <v>110</v>
      </c>
      <c r="B361" s="118"/>
      <c r="C361" s="200"/>
      <c r="D361" s="66" t="s">
        <v>5205</v>
      </c>
      <c r="E361" s="116">
        <v>60</v>
      </c>
      <c r="F361" s="116">
        <v>10</v>
      </c>
      <c r="G361" s="66" t="s">
        <v>5302</v>
      </c>
      <c r="H361" s="66" t="s">
        <v>5303</v>
      </c>
      <c r="I361" s="116">
        <v>1062.8</v>
      </c>
      <c r="J361" s="118" t="s">
        <v>5304</v>
      </c>
      <c r="K361" s="470">
        <v>47197510</v>
      </c>
      <c r="L361" s="116">
        <v>1</v>
      </c>
      <c r="M361" s="116" t="s">
        <v>4345</v>
      </c>
      <c r="N361" s="118" t="s">
        <v>5209</v>
      </c>
      <c r="O361" s="66" t="s">
        <v>5201</v>
      </c>
      <c r="P361" s="468">
        <v>15000000</v>
      </c>
    </row>
    <row r="362" spans="1:16">
      <c r="A362" s="714" t="s">
        <v>110</v>
      </c>
      <c r="B362" s="118"/>
      <c r="C362" s="200"/>
      <c r="D362" s="66"/>
      <c r="E362" s="116"/>
      <c r="F362" s="116"/>
      <c r="G362" s="66"/>
      <c r="H362" s="66"/>
      <c r="I362" s="116"/>
      <c r="J362" s="118"/>
      <c r="K362" s="470"/>
      <c r="L362" s="116"/>
      <c r="M362" s="116"/>
      <c r="N362" s="118" t="s">
        <v>5210</v>
      </c>
      <c r="O362" s="66"/>
      <c r="P362" s="468">
        <v>734000</v>
      </c>
    </row>
    <row r="363" spans="1:16">
      <c r="A363" s="714" t="s">
        <v>110</v>
      </c>
      <c r="B363" s="118"/>
      <c r="C363" s="200"/>
      <c r="D363" s="66"/>
      <c r="E363" s="116"/>
      <c r="F363" s="116"/>
      <c r="G363" s="66"/>
      <c r="H363" s="66"/>
      <c r="I363" s="116"/>
      <c r="J363" s="118"/>
      <c r="K363" s="470"/>
      <c r="L363" s="116"/>
      <c r="M363" s="116"/>
      <c r="N363" s="118" t="s">
        <v>5211</v>
      </c>
      <c r="O363" s="66"/>
      <c r="P363" s="468">
        <v>500000</v>
      </c>
    </row>
    <row r="364" spans="1:16">
      <c r="A364" s="714" t="s">
        <v>110</v>
      </c>
      <c r="B364" s="118"/>
      <c r="C364" s="200"/>
      <c r="D364" s="66"/>
      <c r="E364" s="116"/>
      <c r="F364" s="116"/>
      <c r="G364" s="66"/>
      <c r="H364" s="66"/>
      <c r="I364" s="116"/>
      <c r="J364" s="118"/>
      <c r="K364" s="470"/>
      <c r="L364" s="116"/>
      <c r="M364" s="116"/>
      <c r="N364" s="118" t="s">
        <v>5212</v>
      </c>
      <c r="O364" s="66"/>
      <c r="P364" s="468">
        <v>620000</v>
      </c>
    </row>
    <row r="365" spans="1:16" ht="22.5">
      <c r="A365" s="714" t="s">
        <v>110</v>
      </c>
      <c r="B365" s="118"/>
      <c r="C365" s="200"/>
      <c r="D365" s="66"/>
      <c r="E365" s="116"/>
      <c r="F365" s="116"/>
      <c r="G365" s="66"/>
      <c r="H365" s="66"/>
      <c r="I365" s="116"/>
      <c r="J365" s="118"/>
      <c r="K365" s="470"/>
      <c r="L365" s="116"/>
      <c r="M365" s="116"/>
      <c r="N365" s="118" t="s">
        <v>5245</v>
      </c>
      <c r="O365" s="66"/>
      <c r="P365" s="468">
        <v>10080000</v>
      </c>
    </row>
    <row r="366" spans="1:16" ht="22.5">
      <c r="A366" s="714" t="s">
        <v>110</v>
      </c>
      <c r="B366" s="118"/>
      <c r="C366" s="200"/>
      <c r="D366" s="66"/>
      <c r="E366" s="116"/>
      <c r="F366" s="116"/>
      <c r="G366" s="66"/>
      <c r="H366" s="66"/>
      <c r="I366" s="116"/>
      <c r="J366" s="118"/>
      <c r="K366" s="470"/>
      <c r="L366" s="116"/>
      <c r="M366" s="116"/>
      <c r="N366" s="118" t="s">
        <v>5213</v>
      </c>
      <c r="O366" s="66"/>
      <c r="P366" s="468">
        <v>8064000</v>
      </c>
    </row>
    <row r="367" spans="1:16" ht="33.75">
      <c r="A367" s="714" t="s">
        <v>110</v>
      </c>
      <c r="B367" s="118" t="s">
        <v>701</v>
      </c>
      <c r="C367" s="183" t="s">
        <v>5305</v>
      </c>
      <c r="D367" s="184" t="s">
        <v>5023</v>
      </c>
      <c r="E367" s="184">
        <v>1</v>
      </c>
      <c r="F367" s="184"/>
      <c r="G367" s="184"/>
      <c r="H367" s="184" t="s">
        <v>5306</v>
      </c>
      <c r="I367" s="184"/>
      <c r="J367" s="183" t="s">
        <v>5307</v>
      </c>
      <c r="K367" s="704">
        <v>900000</v>
      </c>
      <c r="L367" s="116">
        <v>1</v>
      </c>
      <c r="M367" s="116" t="s">
        <v>4345</v>
      </c>
      <c r="N367" s="118" t="s">
        <v>5235</v>
      </c>
      <c r="O367" s="66" t="s">
        <v>5201</v>
      </c>
      <c r="P367" s="468">
        <v>11000</v>
      </c>
    </row>
    <row r="368" spans="1:16" ht="12.6" customHeight="1">
      <c r="A368" s="714" t="s">
        <v>110</v>
      </c>
      <c r="B368" s="118" t="s">
        <v>4587</v>
      </c>
      <c r="C368" s="118" t="s">
        <v>4587</v>
      </c>
      <c r="D368" s="116" t="s">
        <v>5215</v>
      </c>
      <c r="E368" s="116">
        <v>1</v>
      </c>
      <c r="F368" s="116">
        <v>4</v>
      </c>
      <c r="G368" s="116"/>
      <c r="H368" s="116"/>
      <c r="I368" s="116"/>
      <c r="J368" s="200" t="s">
        <v>5285</v>
      </c>
      <c r="K368" s="470">
        <v>1200000</v>
      </c>
      <c r="L368" s="116">
        <v>1</v>
      </c>
      <c r="M368" s="116" t="s">
        <v>4345</v>
      </c>
      <c r="N368" s="118" t="s">
        <v>5217</v>
      </c>
      <c r="O368" s="66" t="s">
        <v>5201</v>
      </c>
      <c r="P368" s="468">
        <v>95000</v>
      </c>
    </row>
    <row r="369" spans="1:16">
      <c r="A369" s="714" t="s">
        <v>110</v>
      </c>
      <c r="B369" s="118"/>
      <c r="C369" s="118"/>
      <c r="D369" s="116"/>
      <c r="E369" s="116"/>
      <c r="F369" s="116"/>
      <c r="G369" s="116"/>
      <c r="H369" s="116"/>
      <c r="I369" s="116"/>
      <c r="J369" s="200"/>
      <c r="K369" s="470"/>
      <c r="L369" s="116"/>
      <c r="M369" s="116"/>
      <c r="N369" s="118" t="s">
        <v>5218</v>
      </c>
      <c r="O369" s="66"/>
      <c r="P369" s="468">
        <v>650000</v>
      </c>
    </row>
    <row r="370" spans="1:16">
      <c r="A370" s="714" t="s">
        <v>110</v>
      </c>
      <c r="B370" s="118"/>
      <c r="C370" s="118"/>
      <c r="D370" s="116"/>
      <c r="E370" s="116"/>
      <c r="F370" s="116"/>
      <c r="G370" s="116"/>
      <c r="H370" s="116"/>
      <c r="I370" s="116"/>
      <c r="J370" s="200"/>
      <c r="K370" s="470"/>
      <c r="L370" s="116"/>
      <c r="M370" s="116"/>
      <c r="N370" s="118" t="s">
        <v>5210</v>
      </c>
      <c r="O370" s="66"/>
      <c r="P370" s="468">
        <v>367000</v>
      </c>
    </row>
    <row r="371" spans="1:16">
      <c r="A371" s="714" t="s">
        <v>110</v>
      </c>
      <c r="B371" s="118"/>
      <c r="C371" s="118"/>
      <c r="D371" s="116"/>
      <c r="E371" s="116"/>
      <c r="F371" s="116"/>
      <c r="G371" s="116"/>
      <c r="H371" s="116"/>
      <c r="I371" s="116"/>
      <c r="J371" s="200"/>
      <c r="K371" s="470"/>
      <c r="L371" s="116"/>
      <c r="M371" s="116"/>
      <c r="N371" s="118" t="s">
        <v>5211</v>
      </c>
      <c r="O371" s="66"/>
      <c r="P371" s="468">
        <v>250000</v>
      </c>
    </row>
    <row r="372" spans="1:16">
      <c r="A372" s="714" t="s">
        <v>110</v>
      </c>
      <c r="B372" s="118"/>
      <c r="C372" s="118"/>
      <c r="D372" s="116"/>
      <c r="E372" s="116"/>
      <c r="F372" s="116"/>
      <c r="G372" s="116"/>
      <c r="H372" s="116"/>
      <c r="I372" s="116"/>
      <c r="J372" s="200"/>
      <c r="K372" s="470"/>
      <c r="L372" s="116"/>
      <c r="M372" s="116"/>
      <c r="N372" s="118" t="s">
        <v>5212</v>
      </c>
      <c r="O372" s="66"/>
      <c r="P372" s="468">
        <v>62000</v>
      </c>
    </row>
    <row r="373" spans="1:16">
      <c r="A373" s="714" t="s">
        <v>110</v>
      </c>
      <c r="B373" s="118"/>
      <c r="C373" s="118"/>
      <c r="D373" s="116"/>
      <c r="E373" s="116"/>
      <c r="F373" s="116"/>
      <c r="G373" s="116"/>
      <c r="H373" s="116"/>
      <c r="I373" s="116"/>
      <c r="J373" s="200"/>
      <c r="K373" s="470"/>
      <c r="L373" s="116"/>
      <c r="M373" s="116"/>
      <c r="N373" s="118" t="s">
        <v>5219</v>
      </c>
      <c r="O373" s="66"/>
      <c r="P373" s="468">
        <v>90000</v>
      </c>
    </row>
    <row r="374" spans="1:16" ht="33.75">
      <c r="A374" s="714" t="s">
        <v>110</v>
      </c>
      <c r="B374" s="118" t="s">
        <v>5308</v>
      </c>
      <c r="C374" s="118" t="s">
        <v>5309</v>
      </c>
      <c r="D374" s="116" t="s">
        <v>5023</v>
      </c>
      <c r="E374" s="116">
        <v>2</v>
      </c>
      <c r="F374" s="116"/>
      <c r="G374" s="116" t="s">
        <v>5310</v>
      </c>
      <c r="H374" s="116"/>
      <c r="I374" s="116"/>
      <c r="J374" s="200" t="s">
        <v>5311</v>
      </c>
      <c r="K374" s="470">
        <v>1700000</v>
      </c>
      <c r="L374" s="116">
        <v>1</v>
      </c>
      <c r="M374" s="116" t="s">
        <v>4345</v>
      </c>
      <c r="N374" s="118" t="s">
        <v>5235</v>
      </c>
      <c r="O374" s="66" t="s">
        <v>5201</v>
      </c>
      <c r="P374" s="468">
        <v>22000</v>
      </c>
    </row>
    <row r="375" spans="1:16" ht="33.75">
      <c r="A375" s="714" t="s">
        <v>110</v>
      </c>
      <c r="B375" s="118"/>
      <c r="C375" s="118" t="s">
        <v>5312</v>
      </c>
      <c r="D375" s="116" t="s">
        <v>5313</v>
      </c>
      <c r="E375" s="116">
        <v>1</v>
      </c>
      <c r="F375" s="116">
        <v>50</v>
      </c>
      <c r="G375" s="116"/>
      <c r="H375" s="116"/>
      <c r="I375" s="116"/>
      <c r="J375" s="200" t="s">
        <v>5314</v>
      </c>
      <c r="K375" s="470">
        <v>400000</v>
      </c>
      <c r="L375" s="116">
        <v>1</v>
      </c>
      <c r="M375" s="116" t="s">
        <v>4345</v>
      </c>
      <c r="N375" s="118"/>
      <c r="O375" s="66" t="s">
        <v>5201</v>
      </c>
      <c r="P375" s="468">
        <v>0</v>
      </c>
    </row>
    <row r="376" spans="1:16" ht="12.6" customHeight="1">
      <c r="A376" s="714" t="s">
        <v>110</v>
      </c>
      <c r="B376" s="118"/>
      <c r="C376" s="118" t="s">
        <v>5315</v>
      </c>
      <c r="D376" s="116" t="s">
        <v>5316</v>
      </c>
      <c r="E376" s="116">
        <v>5</v>
      </c>
      <c r="F376" s="116"/>
      <c r="G376" s="66" t="s">
        <v>5317</v>
      </c>
      <c r="H376" s="66" t="s">
        <v>5318</v>
      </c>
      <c r="I376" s="116">
        <f>20+6+20+15+150+27</f>
        <v>238</v>
      </c>
      <c r="J376" s="200" t="s">
        <v>5319</v>
      </c>
      <c r="K376" s="470">
        <v>4593050</v>
      </c>
      <c r="L376" s="116">
        <v>1</v>
      </c>
      <c r="M376" s="116" t="s">
        <v>4345</v>
      </c>
      <c r="N376" s="118" t="s">
        <v>5217</v>
      </c>
      <c r="O376" s="66" t="s">
        <v>5201</v>
      </c>
      <c r="P376" s="468">
        <v>95000</v>
      </c>
    </row>
    <row r="377" spans="1:16">
      <c r="A377" s="714" t="s">
        <v>110</v>
      </c>
      <c r="B377" s="118"/>
      <c r="C377" s="118"/>
      <c r="D377" s="116"/>
      <c r="E377" s="116"/>
      <c r="F377" s="116"/>
      <c r="G377" s="66"/>
      <c r="H377" s="66"/>
      <c r="I377" s="116"/>
      <c r="J377" s="200"/>
      <c r="K377" s="470"/>
      <c r="L377" s="116"/>
      <c r="M377" s="116"/>
      <c r="N377" s="118" t="s">
        <v>5218</v>
      </c>
      <c r="O377" s="66"/>
      <c r="P377" s="468">
        <v>1300000</v>
      </c>
    </row>
    <row r="378" spans="1:16">
      <c r="A378" s="714" t="s">
        <v>110</v>
      </c>
      <c r="B378" s="118"/>
      <c r="C378" s="118"/>
      <c r="D378" s="116"/>
      <c r="E378" s="116"/>
      <c r="F378" s="116"/>
      <c r="G378" s="66"/>
      <c r="H378" s="66"/>
      <c r="I378" s="116"/>
      <c r="J378" s="200"/>
      <c r="K378" s="470"/>
      <c r="L378" s="116"/>
      <c r="M378" s="116"/>
      <c r="N378" s="118" t="s">
        <v>5210</v>
      </c>
      <c r="O378" s="66"/>
      <c r="P378" s="468">
        <v>734000</v>
      </c>
    </row>
    <row r="379" spans="1:16">
      <c r="A379" s="714" t="s">
        <v>110</v>
      </c>
      <c r="B379" s="118"/>
      <c r="C379" s="118"/>
      <c r="D379" s="116"/>
      <c r="E379" s="116"/>
      <c r="F379" s="116"/>
      <c r="G379" s="66"/>
      <c r="H379" s="66"/>
      <c r="I379" s="116"/>
      <c r="J379" s="200"/>
      <c r="K379" s="470"/>
      <c r="L379" s="116"/>
      <c r="M379" s="116"/>
      <c r="N379" s="118" t="s">
        <v>5211</v>
      </c>
      <c r="O379" s="66"/>
      <c r="P379" s="468">
        <v>500000</v>
      </c>
    </row>
    <row r="380" spans="1:16">
      <c r="A380" s="714" t="s">
        <v>110</v>
      </c>
      <c r="B380" s="118"/>
      <c r="C380" s="118"/>
      <c r="D380" s="116"/>
      <c r="E380" s="116"/>
      <c r="F380" s="116"/>
      <c r="G380" s="66"/>
      <c r="H380" s="66"/>
      <c r="I380" s="116"/>
      <c r="J380" s="200"/>
      <c r="K380" s="470"/>
      <c r="L380" s="116"/>
      <c r="M380" s="116"/>
      <c r="N380" s="118" t="s">
        <v>5212</v>
      </c>
      <c r="O380" s="66"/>
      <c r="P380" s="468">
        <v>310000</v>
      </c>
    </row>
    <row r="381" spans="1:16">
      <c r="A381" s="714" t="s">
        <v>110</v>
      </c>
      <c r="B381" s="118"/>
      <c r="C381" s="118"/>
      <c r="D381" s="116"/>
      <c r="E381" s="116"/>
      <c r="F381" s="116"/>
      <c r="G381" s="66"/>
      <c r="H381" s="66"/>
      <c r="I381" s="116"/>
      <c r="J381" s="200"/>
      <c r="K381" s="470"/>
      <c r="L381" s="116"/>
      <c r="M381" s="116"/>
      <c r="N381" s="118" t="s">
        <v>5219</v>
      </c>
      <c r="O381" s="66"/>
      <c r="P381" s="468">
        <v>90000</v>
      </c>
    </row>
    <row r="382" spans="1:16" ht="12.6" customHeight="1">
      <c r="A382" s="714" t="s">
        <v>4848</v>
      </c>
      <c r="B382" s="118" t="s">
        <v>4849</v>
      </c>
      <c r="C382" s="118" t="s">
        <v>5320</v>
      </c>
      <c r="D382" s="116" t="s">
        <v>4994</v>
      </c>
      <c r="E382" s="116">
        <v>3</v>
      </c>
      <c r="F382" s="66" t="s">
        <v>5321</v>
      </c>
      <c r="G382" s="66" t="s">
        <v>5322</v>
      </c>
      <c r="H382" s="116"/>
      <c r="I382" s="116">
        <v>75</v>
      </c>
      <c r="J382" s="200" t="s">
        <v>5270</v>
      </c>
      <c r="K382" s="470">
        <f>14000000+10700000</f>
        <v>24700000</v>
      </c>
      <c r="L382" s="116">
        <v>1</v>
      </c>
      <c r="M382" s="116" t="s">
        <v>4345</v>
      </c>
      <c r="N382" s="118" t="s">
        <v>5217</v>
      </c>
      <c r="O382" s="66" t="s">
        <v>5201</v>
      </c>
      <c r="P382" s="468">
        <v>285000</v>
      </c>
    </row>
    <row r="383" spans="1:16">
      <c r="A383" s="714" t="s">
        <v>4848</v>
      </c>
      <c r="B383" s="118"/>
      <c r="C383" s="118"/>
      <c r="D383" s="116"/>
      <c r="E383" s="116"/>
      <c r="F383" s="66"/>
      <c r="G383" s="66"/>
      <c r="H383" s="116"/>
      <c r="I383" s="116"/>
      <c r="J383" s="200"/>
      <c r="K383" s="470"/>
      <c r="L383" s="116"/>
      <c r="M383" s="116"/>
      <c r="N383" s="118" t="s">
        <v>5218</v>
      </c>
      <c r="O383" s="66"/>
      <c r="P383" s="468">
        <v>0</v>
      </c>
    </row>
    <row r="384" spans="1:16">
      <c r="A384" s="714" t="s">
        <v>4848</v>
      </c>
      <c r="B384" s="118"/>
      <c r="C384" s="118"/>
      <c r="D384" s="116"/>
      <c r="E384" s="116"/>
      <c r="F384" s="66"/>
      <c r="G384" s="66"/>
      <c r="H384" s="116"/>
      <c r="I384" s="116"/>
      <c r="J384" s="200"/>
      <c r="K384" s="470"/>
      <c r="L384" s="116"/>
      <c r="M384" s="116"/>
      <c r="N384" s="118" t="s">
        <v>5210</v>
      </c>
      <c r="O384" s="66"/>
      <c r="P384" s="468">
        <v>0</v>
      </c>
    </row>
    <row r="385" spans="1:16">
      <c r="A385" s="714" t="s">
        <v>4848</v>
      </c>
      <c r="B385" s="118"/>
      <c r="C385" s="118"/>
      <c r="D385" s="116"/>
      <c r="E385" s="116"/>
      <c r="F385" s="66"/>
      <c r="G385" s="66"/>
      <c r="H385" s="116"/>
      <c r="I385" s="116"/>
      <c r="J385" s="200"/>
      <c r="K385" s="470"/>
      <c r="L385" s="116"/>
      <c r="M385" s="116"/>
      <c r="N385" s="118" t="s">
        <v>5211</v>
      </c>
      <c r="O385" s="66"/>
      <c r="P385" s="468">
        <v>0</v>
      </c>
    </row>
    <row r="386" spans="1:16">
      <c r="A386" s="714" t="s">
        <v>4848</v>
      </c>
      <c r="B386" s="118"/>
      <c r="C386" s="118"/>
      <c r="D386" s="116"/>
      <c r="E386" s="116"/>
      <c r="F386" s="66"/>
      <c r="G386" s="66"/>
      <c r="H386" s="116"/>
      <c r="I386" s="116"/>
      <c r="J386" s="200"/>
      <c r="K386" s="470"/>
      <c r="L386" s="116"/>
      <c r="M386" s="116"/>
      <c r="N386" s="118" t="s">
        <v>5212</v>
      </c>
      <c r="O386" s="66"/>
      <c r="P386" s="468">
        <v>62000</v>
      </c>
    </row>
    <row r="387" spans="1:16">
      <c r="A387" s="714" t="s">
        <v>4848</v>
      </c>
      <c r="B387" s="118"/>
      <c r="C387" s="118"/>
      <c r="D387" s="116"/>
      <c r="E387" s="116"/>
      <c r="F387" s="66"/>
      <c r="G387" s="66"/>
      <c r="H387" s="116"/>
      <c r="I387" s="116"/>
      <c r="J387" s="200"/>
      <c r="K387" s="470"/>
      <c r="L387" s="116"/>
      <c r="M387" s="116"/>
      <c r="N387" s="118" t="s">
        <v>5219</v>
      </c>
      <c r="O387" s="66"/>
      <c r="P387" s="468">
        <v>270000</v>
      </c>
    </row>
    <row r="388" spans="1:16" ht="33.75">
      <c r="A388" s="714" t="s">
        <v>4848</v>
      </c>
      <c r="B388" s="118"/>
      <c r="C388" s="118" t="s">
        <v>5323</v>
      </c>
      <c r="D388" s="116" t="s">
        <v>5324</v>
      </c>
      <c r="E388" s="116">
        <v>1</v>
      </c>
      <c r="F388" s="116" t="s">
        <v>5325</v>
      </c>
      <c r="G388" s="116"/>
      <c r="H388" s="116"/>
      <c r="I388" s="116"/>
      <c r="J388" s="200" t="s">
        <v>5270</v>
      </c>
      <c r="K388" s="470">
        <v>1500000</v>
      </c>
      <c r="L388" s="116">
        <v>1</v>
      </c>
      <c r="M388" s="116" t="s">
        <v>4345</v>
      </c>
      <c r="N388" s="118" t="s">
        <v>5241</v>
      </c>
      <c r="O388" s="66" t="s">
        <v>5201</v>
      </c>
      <c r="P388" s="468">
        <v>480000</v>
      </c>
    </row>
    <row r="389" spans="1:16" ht="12.6" customHeight="1">
      <c r="A389" s="714" t="s">
        <v>4848</v>
      </c>
      <c r="B389" s="118" t="s">
        <v>5326</v>
      </c>
      <c r="C389" s="118" t="s">
        <v>5327</v>
      </c>
      <c r="D389" s="116" t="s">
        <v>4994</v>
      </c>
      <c r="E389" s="116">
        <v>4</v>
      </c>
      <c r="F389" s="66" t="s">
        <v>5328</v>
      </c>
      <c r="G389" s="66" t="s">
        <v>5329</v>
      </c>
      <c r="H389" s="116" t="s">
        <v>4846</v>
      </c>
      <c r="I389" s="116">
        <v>9.5</v>
      </c>
      <c r="J389" s="200" t="s">
        <v>5270</v>
      </c>
      <c r="K389" s="470">
        <v>28025002</v>
      </c>
      <c r="L389" s="116">
        <v>1</v>
      </c>
      <c r="M389" s="116" t="s">
        <v>4345</v>
      </c>
      <c r="N389" s="118" t="s">
        <v>5217</v>
      </c>
      <c r="O389" s="66" t="s">
        <v>5201</v>
      </c>
      <c r="P389" s="468">
        <v>380000</v>
      </c>
    </row>
    <row r="390" spans="1:16">
      <c r="A390" s="714" t="s">
        <v>4848</v>
      </c>
      <c r="B390" s="118"/>
      <c r="C390" s="118"/>
      <c r="D390" s="116"/>
      <c r="E390" s="116"/>
      <c r="F390" s="66"/>
      <c r="G390" s="66"/>
      <c r="H390" s="116"/>
      <c r="I390" s="116"/>
      <c r="J390" s="200"/>
      <c r="K390" s="470"/>
      <c r="L390" s="116"/>
      <c r="M390" s="116"/>
      <c r="N390" s="118" t="s">
        <v>5218</v>
      </c>
      <c r="O390" s="66"/>
      <c r="P390" s="468">
        <v>0</v>
      </c>
    </row>
    <row r="391" spans="1:16">
      <c r="A391" s="714" t="s">
        <v>4848</v>
      </c>
      <c r="B391" s="118"/>
      <c r="C391" s="118"/>
      <c r="D391" s="116"/>
      <c r="E391" s="116"/>
      <c r="F391" s="66"/>
      <c r="G391" s="66"/>
      <c r="H391" s="116"/>
      <c r="I391" s="116"/>
      <c r="J391" s="200"/>
      <c r="K391" s="470"/>
      <c r="L391" s="116"/>
      <c r="M391" s="116"/>
      <c r="N391" s="118" t="s">
        <v>5210</v>
      </c>
      <c r="O391" s="66"/>
      <c r="P391" s="468">
        <v>0</v>
      </c>
    </row>
    <row r="392" spans="1:16">
      <c r="A392" s="714" t="s">
        <v>4848</v>
      </c>
      <c r="B392" s="118"/>
      <c r="C392" s="118"/>
      <c r="D392" s="116"/>
      <c r="E392" s="116"/>
      <c r="F392" s="66"/>
      <c r="G392" s="66"/>
      <c r="H392" s="116"/>
      <c r="I392" s="116"/>
      <c r="J392" s="200"/>
      <c r="K392" s="470"/>
      <c r="L392" s="116"/>
      <c r="M392" s="116"/>
      <c r="N392" s="118" t="s">
        <v>5211</v>
      </c>
      <c r="O392" s="66"/>
      <c r="P392" s="468">
        <v>0</v>
      </c>
    </row>
    <row r="393" spans="1:16">
      <c r="A393" s="714" t="s">
        <v>4848</v>
      </c>
      <c r="B393" s="118"/>
      <c r="C393" s="118"/>
      <c r="D393" s="116"/>
      <c r="E393" s="116"/>
      <c r="F393" s="66"/>
      <c r="G393" s="66"/>
      <c r="H393" s="116"/>
      <c r="I393" s="116"/>
      <c r="J393" s="200"/>
      <c r="K393" s="470"/>
      <c r="L393" s="116"/>
      <c r="M393" s="116"/>
      <c r="N393" s="118" t="s">
        <v>5212</v>
      </c>
      <c r="O393" s="66"/>
      <c r="P393" s="468">
        <v>62000</v>
      </c>
    </row>
    <row r="394" spans="1:16">
      <c r="A394" s="714" t="s">
        <v>4848</v>
      </c>
      <c r="B394" s="118"/>
      <c r="C394" s="118"/>
      <c r="D394" s="116"/>
      <c r="E394" s="116"/>
      <c r="F394" s="66"/>
      <c r="G394" s="66"/>
      <c r="H394" s="116"/>
      <c r="I394" s="116"/>
      <c r="J394" s="200"/>
      <c r="K394" s="470"/>
      <c r="L394" s="116"/>
      <c r="M394" s="116"/>
      <c r="N394" s="118" t="s">
        <v>5219</v>
      </c>
      <c r="O394" s="66"/>
      <c r="P394" s="468">
        <v>360000</v>
      </c>
    </row>
    <row r="395" spans="1:16" ht="12.6" customHeight="1">
      <c r="A395" s="714" t="s">
        <v>4867</v>
      </c>
      <c r="B395" s="118" t="s">
        <v>4871</v>
      </c>
      <c r="C395" s="118" t="s">
        <v>5330</v>
      </c>
      <c r="D395" s="116" t="s">
        <v>5331</v>
      </c>
      <c r="E395" s="116">
        <v>3</v>
      </c>
      <c r="F395" s="116"/>
      <c r="G395" s="66" t="s">
        <v>5332</v>
      </c>
      <c r="H395" s="116"/>
      <c r="I395" s="116"/>
      <c r="J395" s="200" t="s">
        <v>5333</v>
      </c>
      <c r="K395" s="470">
        <v>2380000</v>
      </c>
      <c r="L395" s="116">
        <v>1</v>
      </c>
      <c r="M395" s="116" t="s">
        <v>4345</v>
      </c>
      <c r="N395" s="118" t="s">
        <v>5217</v>
      </c>
      <c r="O395" s="66" t="s">
        <v>5201</v>
      </c>
      <c r="P395" s="468">
        <v>285000</v>
      </c>
    </row>
    <row r="396" spans="1:16">
      <c r="A396" s="714" t="s">
        <v>4867</v>
      </c>
      <c r="B396" s="118"/>
      <c r="C396" s="118"/>
      <c r="D396" s="116"/>
      <c r="E396" s="116"/>
      <c r="F396" s="116"/>
      <c r="G396" s="66"/>
      <c r="H396" s="116"/>
      <c r="I396" s="116"/>
      <c r="J396" s="200"/>
      <c r="K396" s="470"/>
      <c r="L396" s="116"/>
      <c r="M396" s="116"/>
      <c r="N396" s="118" t="s">
        <v>5218</v>
      </c>
      <c r="O396" s="66"/>
      <c r="P396" s="468">
        <v>1300000</v>
      </c>
    </row>
    <row r="397" spans="1:16">
      <c r="A397" s="714" t="s">
        <v>4867</v>
      </c>
      <c r="B397" s="118"/>
      <c r="C397" s="118"/>
      <c r="D397" s="116"/>
      <c r="E397" s="116"/>
      <c r="F397" s="116"/>
      <c r="G397" s="66"/>
      <c r="H397" s="116"/>
      <c r="I397" s="116"/>
      <c r="J397" s="200"/>
      <c r="K397" s="470"/>
      <c r="L397" s="116"/>
      <c r="M397" s="116"/>
      <c r="N397" s="118" t="s">
        <v>5210</v>
      </c>
      <c r="O397" s="66"/>
      <c r="P397" s="468">
        <v>734000</v>
      </c>
    </row>
    <row r="398" spans="1:16">
      <c r="A398" s="714" t="s">
        <v>4867</v>
      </c>
      <c r="B398" s="118"/>
      <c r="C398" s="118"/>
      <c r="D398" s="116"/>
      <c r="E398" s="116"/>
      <c r="F398" s="116"/>
      <c r="G398" s="66"/>
      <c r="H398" s="116"/>
      <c r="I398" s="116"/>
      <c r="J398" s="200"/>
      <c r="K398" s="470"/>
      <c r="L398" s="116"/>
      <c r="M398" s="116"/>
      <c r="N398" s="118" t="s">
        <v>5211</v>
      </c>
      <c r="O398" s="66"/>
      <c r="P398" s="468">
        <v>500000</v>
      </c>
    </row>
    <row r="399" spans="1:16">
      <c r="A399" s="714" t="s">
        <v>4867</v>
      </c>
      <c r="B399" s="118"/>
      <c r="C399" s="118"/>
      <c r="D399" s="116"/>
      <c r="E399" s="116"/>
      <c r="F399" s="116"/>
      <c r="G399" s="66"/>
      <c r="H399" s="116"/>
      <c r="I399" s="116"/>
      <c r="J399" s="200"/>
      <c r="K399" s="470"/>
      <c r="L399" s="116"/>
      <c r="M399" s="116"/>
      <c r="N399" s="118" t="s">
        <v>5212</v>
      </c>
      <c r="O399" s="66"/>
      <c r="P399" s="468">
        <v>186000</v>
      </c>
    </row>
    <row r="400" spans="1:16">
      <c r="A400" s="714" t="s">
        <v>4867</v>
      </c>
      <c r="B400" s="118"/>
      <c r="C400" s="118"/>
      <c r="D400" s="116"/>
      <c r="E400" s="116"/>
      <c r="F400" s="116"/>
      <c r="G400" s="66"/>
      <c r="H400" s="116"/>
      <c r="I400" s="116"/>
      <c r="J400" s="200"/>
      <c r="K400" s="470"/>
      <c r="L400" s="116"/>
      <c r="M400" s="116"/>
      <c r="N400" s="118" t="s">
        <v>5219</v>
      </c>
      <c r="O400" s="66"/>
      <c r="P400" s="468">
        <v>270000</v>
      </c>
    </row>
    <row r="401" spans="1:16" ht="33.75">
      <c r="A401" s="714" t="s">
        <v>5334</v>
      </c>
      <c r="B401" s="200" t="s">
        <v>594</v>
      </c>
      <c r="C401" s="200" t="s">
        <v>594</v>
      </c>
      <c r="D401" s="66" t="s">
        <v>5335</v>
      </c>
      <c r="E401" s="116">
        <v>1</v>
      </c>
      <c r="F401" s="116"/>
      <c r="G401" s="116" t="s">
        <v>3749</v>
      </c>
      <c r="H401" s="116" t="s">
        <v>5336</v>
      </c>
      <c r="I401" s="116"/>
      <c r="J401" s="118" t="s">
        <v>5337</v>
      </c>
      <c r="K401" s="470">
        <v>1626322</v>
      </c>
      <c r="L401" s="116">
        <v>1</v>
      </c>
      <c r="M401" s="116" t="s">
        <v>4345</v>
      </c>
      <c r="N401" s="118"/>
      <c r="O401" s="66" t="s">
        <v>5201</v>
      </c>
      <c r="P401" s="468">
        <v>0</v>
      </c>
    </row>
    <row r="402" spans="1:16" ht="32.1" customHeight="1">
      <c r="A402" s="714" t="s">
        <v>5334</v>
      </c>
      <c r="B402" s="200"/>
      <c r="C402" s="200" t="s">
        <v>594</v>
      </c>
      <c r="D402" s="66" t="s">
        <v>5338</v>
      </c>
      <c r="E402" s="116">
        <v>87</v>
      </c>
      <c r="F402" s="116">
        <v>19</v>
      </c>
      <c r="G402" s="66" t="s">
        <v>5206</v>
      </c>
      <c r="H402" s="66" t="s">
        <v>5339</v>
      </c>
      <c r="I402" s="66">
        <v>1518</v>
      </c>
      <c r="J402" s="200" t="s">
        <v>5340</v>
      </c>
      <c r="K402" s="470">
        <v>98690167</v>
      </c>
      <c r="L402" s="116">
        <v>1</v>
      </c>
      <c r="M402" s="116" t="s">
        <v>4345</v>
      </c>
      <c r="N402" s="118" t="s">
        <v>5209</v>
      </c>
      <c r="O402" s="66" t="s">
        <v>5201</v>
      </c>
      <c r="P402" s="468">
        <v>21750000</v>
      </c>
    </row>
    <row r="403" spans="1:16" ht="20.45" customHeight="1">
      <c r="A403" s="714" t="s">
        <v>5334</v>
      </c>
      <c r="B403" s="200"/>
      <c r="C403" s="200"/>
      <c r="D403" s="66"/>
      <c r="E403" s="116"/>
      <c r="F403" s="116"/>
      <c r="G403" s="66"/>
      <c r="H403" s="66"/>
      <c r="I403" s="66"/>
      <c r="J403" s="200"/>
      <c r="K403" s="470"/>
      <c r="L403" s="116"/>
      <c r="M403" s="116"/>
      <c r="N403" s="118" t="s">
        <v>5210</v>
      </c>
      <c r="O403" s="66"/>
      <c r="P403" s="468">
        <v>367000</v>
      </c>
    </row>
    <row r="404" spans="1:16" ht="27.95" customHeight="1">
      <c r="A404" s="714" t="s">
        <v>5334</v>
      </c>
      <c r="B404" s="200"/>
      <c r="C404" s="200"/>
      <c r="D404" s="66"/>
      <c r="E404" s="116"/>
      <c r="F404" s="116"/>
      <c r="G404" s="66"/>
      <c r="H404" s="66"/>
      <c r="I404" s="66"/>
      <c r="J404" s="200"/>
      <c r="K404" s="470"/>
      <c r="L404" s="116"/>
      <c r="M404" s="116"/>
      <c r="N404" s="118" t="s">
        <v>5211</v>
      </c>
      <c r="O404" s="66"/>
      <c r="P404" s="468">
        <v>250000</v>
      </c>
    </row>
    <row r="405" spans="1:16" ht="29.1" customHeight="1">
      <c r="A405" s="714" t="s">
        <v>5334</v>
      </c>
      <c r="B405" s="200"/>
      <c r="C405" s="200"/>
      <c r="D405" s="66"/>
      <c r="E405" s="116"/>
      <c r="F405" s="116"/>
      <c r="G405" s="66"/>
      <c r="H405" s="66"/>
      <c r="I405" s="66"/>
      <c r="J405" s="200"/>
      <c r="K405" s="470"/>
      <c r="L405" s="116"/>
      <c r="M405" s="116"/>
      <c r="N405" s="118" t="s">
        <v>5212</v>
      </c>
      <c r="O405" s="66"/>
      <c r="P405" s="468">
        <v>310000</v>
      </c>
    </row>
    <row r="406" spans="1:16" ht="24" customHeight="1">
      <c r="A406" s="714" t="s">
        <v>5334</v>
      </c>
      <c r="B406" s="200"/>
      <c r="C406" s="200"/>
      <c r="D406" s="66"/>
      <c r="E406" s="116"/>
      <c r="F406" s="116"/>
      <c r="G406" s="66"/>
      <c r="H406" s="66"/>
      <c r="I406" s="66"/>
      <c r="J406" s="200"/>
      <c r="K406" s="470"/>
      <c r="L406" s="116"/>
      <c r="M406" s="116"/>
      <c r="N406" s="118" t="s">
        <v>5213</v>
      </c>
      <c r="O406" s="66"/>
      <c r="P406" s="468">
        <v>11692800</v>
      </c>
    </row>
    <row r="407" spans="1:16" ht="12.6" customHeight="1">
      <c r="A407" s="714" t="s">
        <v>4338</v>
      </c>
      <c r="B407" s="118" t="s">
        <v>4347</v>
      </c>
      <c r="C407" s="200" t="s">
        <v>5341</v>
      </c>
      <c r="D407" s="116" t="s">
        <v>4994</v>
      </c>
      <c r="E407" s="116">
        <v>30</v>
      </c>
      <c r="F407" s="116">
        <v>12</v>
      </c>
      <c r="G407" s="116" t="s">
        <v>4892</v>
      </c>
      <c r="H407" s="116" t="s">
        <v>4708</v>
      </c>
      <c r="I407" s="116">
        <v>120</v>
      </c>
      <c r="J407" s="200" t="s">
        <v>4271</v>
      </c>
      <c r="K407" s="470">
        <v>29100000</v>
      </c>
      <c r="L407" s="116">
        <v>1</v>
      </c>
      <c r="M407" s="116" t="s">
        <v>4345</v>
      </c>
      <c r="N407" s="118" t="s">
        <v>5217</v>
      </c>
      <c r="O407" s="66" t="s">
        <v>5201</v>
      </c>
      <c r="P407" s="468">
        <v>2850000</v>
      </c>
    </row>
    <row r="408" spans="1:16">
      <c r="A408" s="714" t="s">
        <v>4338</v>
      </c>
      <c r="B408" s="118"/>
      <c r="C408" s="200"/>
      <c r="D408" s="116"/>
      <c r="E408" s="116"/>
      <c r="F408" s="116"/>
      <c r="G408" s="116"/>
      <c r="H408" s="116"/>
      <c r="I408" s="116"/>
      <c r="J408" s="200"/>
      <c r="K408" s="470"/>
      <c r="L408" s="116"/>
      <c r="M408" s="116"/>
      <c r="N408" s="118" t="s">
        <v>5218</v>
      </c>
      <c r="O408" s="66"/>
      <c r="P408" s="468">
        <v>650000</v>
      </c>
    </row>
    <row r="409" spans="1:16">
      <c r="A409" s="714" t="s">
        <v>4338</v>
      </c>
      <c r="B409" s="118"/>
      <c r="C409" s="200"/>
      <c r="D409" s="116"/>
      <c r="E409" s="116"/>
      <c r="F409" s="116"/>
      <c r="G409" s="116"/>
      <c r="H409" s="116"/>
      <c r="I409" s="116"/>
      <c r="J409" s="200"/>
      <c r="K409" s="470"/>
      <c r="L409" s="116"/>
      <c r="M409" s="116"/>
      <c r="N409" s="118" t="s">
        <v>5210</v>
      </c>
      <c r="O409" s="66"/>
      <c r="P409" s="468">
        <v>367000</v>
      </c>
    </row>
    <row r="410" spans="1:16">
      <c r="A410" s="714" t="s">
        <v>4338</v>
      </c>
      <c r="B410" s="118"/>
      <c r="C410" s="200"/>
      <c r="D410" s="116"/>
      <c r="E410" s="116"/>
      <c r="F410" s="116"/>
      <c r="G410" s="116"/>
      <c r="H410" s="116"/>
      <c r="I410" s="116"/>
      <c r="J410" s="200"/>
      <c r="K410" s="470"/>
      <c r="L410" s="116"/>
      <c r="M410" s="116"/>
      <c r="N410" s="118" t="s">
        <v>5211</v>
      </c>
      <c r="O410" s="66"/>
      <c r="P410" s="468">
        <v>250000</v>
      </c>
    </row>
    <row r="411" spans="1:16">
      <c r="A411" s="714" t="s">
        <v>4338</v>
      </c>
      <c r="B411" s="118"/>
      <c r="C411" s="200"/>
      <c r="D411" s="116"/>
      <c r="E411" s="116"/>
      <c r="F411" s="116"/>
      <c r="G411" s="116"/>
      <c r="H411" s="116"/>
      <c r="I411" s="116"/>
      <c r="J411" s="200"/>
      <c r="K411" s="470"/>
      <c r="L411" s="116"/>
      <c r="M411" s="116"/>
      <c r="N411" s="118" t="s">
        <v>5212</v>
      </c>
      <c r="O411" s="66"/>
      <c r="P411" s="468">
        <v>310000</v>
      </c>
    </row>
    <row r="412" spans="1:16">
      <c r="A412" s="714" t="s">
        <v>4338</v>
      </c>
      <c r="B412" s="118"/>
      <c r="C412" s="200"/>
      <c r="D412" s="116"/>
      <c r="E412" s="116"/>
      <c r="F412" s="116"/>
      <c r="G412" s="116"/>
      <c r="H412" s="116"/>
      <c r="I412" s="116"/>
      <c r="J412" s="200"/>
      <c r="K412" s="470"/>
      <c r="L412" s="116"/>
      <c r="M412" s="116"/>
      <c r="N412" s="118" t="s">
        <v>5219</v>
      </c>
      <c r="O412" s="66"/>
      <c r="P412" s="468">
        <v>2700000</v>
      </c>
    </row>
    <row r="413" spans="1:16" ht="12.75" customHeight="1">
      <c r="A413" s="714" t="s">
        <v>4338</v>
      </c>
      <c r="B413" s="118" t="s">
        <v>4338</v>
      </c>
      <c r="C413" s="118" t="s">
        <v>5342</v>
      </c>
      <c r="D413" s="116" t="s">
        <v>4994</v>
      </c>
      <c r="E413" s="116">
        <v>1</v>
      </c>
      <c r="F413" s="116"/>
      <c r="G413" s="116" t="s">
        <v>4892</v>
      </c>
      <c r="H413" s="116" t="s">
        <v>4708</v>
      </c>
      <c r="I413" s="116">
        <v>1</v>
      </c>
      <c r="J413" s="200" t="s">
        <v>4271</v>
      </c>
      <c r="K413" s="470">
        <v>300000</v>
      </c>
      <c r="L413" s="116">
        <v>1</v>
      </c>
      <c r="M413" s="116" t="s">
        <v>4345</v>
      </c>
      <c r="N413" s="118" t="s">
        <v>5217</v>
      </c>
      <c r="O413" s="66" t="s">
        <v>5201</v>
      </c>
      <c r="P413" s="468">
        <v>95000</v>
      </c>
    </row>
    <row r="414" spans="1:16">
      <c r="A414" s="714" t="s">
        <v>4338</v>
      </c>
      <c r="B414" s="118"/>
      <c r="C414" s="118"/>
      <c r="D414" s="116"/>
      <c r="E414" s="116"/>
      <c r="F414" s="116"/>
      <c r="G414" s="116"/>
      <c r="H414" s="116"/>
      <c r="I414" s="116"/>
      <c r="J414" s="200"/>
      <c r="K414" s="470"/>
      <c r="L414" s="116"/>
      <c r="M414" s="116"/>
      <c r="N414" s="118" t="s">
        <v>5218</v>
      </c>
      <c r="O414" s="66"/>
      <c r="P414" s="468">
        <v>0</v>
      </c>
    </row>
    <row r="415" spans="1:16">
      <c r="A415" s="714" t="s">
        <v>4338</v>
      </c>
      <c r="B415" s="118"/>
      <c r="C415" s="118"/>
      <c r="D415" s="116"/>
      <c r="E415" s="116"/>
      <c r="F415" s="116"/>
      <c r="G415" s="116"/>
      <c r="H415" s="116"/>
      <c r="I415" s="116"/>
      <c r="J415" s="200"/>
      <c r="K415" s="470"/>
      <c r="L415" s="116"/>
      <c r="M415" s="116"/>
      <c r="N415" s="118" t="s">
        <v>5210</v>
      </c>
      <c r="O415" s="66"/>
      <c r="P415" s="468">
        <v>0</v>
      </c>
    </row>
    <row r="416" spans="1:16">
      <c r="A416" s="714" t="s">
        <v>4338</v>
      </c>
      <c r="B416" s="118"/>
      <c r="C416" s="118"/>
      <c r="D416" s="116"/>
      <c r="E416" s="116"/>
      <c r="F416" s="116"/>
      <c r="G416" s="116"/>
      <c r="H416" s="116"/>
      <c r="I416" s="116"/>
      <c r="J416" s="200"/>
      <c r="K416" s="470"/>
      <c r="L416" s="116"/>
      <c r="M416" s="116"/>
      <c r="N416" s="118" t="s">
        <v>5211</v>
      </c>
      <c r="O416" s="66"/>
      <c r="P416" s="468">
        <v>0</v>
      </c>
    </row>
    <row r="417" spans="1:16">
      <c r="A417" s="714" t="s">
        <v>4338</v>
      </c>
      <c r="B417" s="118"/>
      <c r="C417" s="118"/>
      <c r="D417" s="116"/>
      <c r="E417" s="116"/>
      <c r="F417" s="116"/>
      <c r="G417" s="116"/>
      <c r="H417" s="116"/>
      <c r="I417" s="116"/>
      <c r="J417" s="200"/>
      <c r="K417" s="470"/>
      <c r="L417" s="116"/>
      <c r="M417" s="116"/>
      <c r="N417" s="118" t="s">
        <v>5212</v>
      </c>
      <c r="O417" s="66"/>
      <c r="P417" s="468">
        <v>62000</v>
      </c>
    </row>
    <row r="418" spans="1:16">
      <c r="A418" s="714" t="s">
        <v>4338</v>
      </c>
      <c r="B418" s="118"/>
      <c r="C418" s="118"/>
      <c r="D418" s="116"/>
      <c r="E418" s="116"/>
      <c r="F418" s="116"/>
      <c r="G418" s="116"/>
      <c r="H418" s="116"/>
      <c r="I418" s="116"/>
      <c r="J418" s="200"/>
      <c r="K418" s="470"/>
      <c r="L418" s="116"/>
      <c r="M418" s="116"/>
      <c r="N418" s="118" t="s">
        <v>5219</v>
      </c>
      <c r="O418" s="66"/>
      <c r="P418" s="468">
        <v>90000</v>
      </c>
    </row>
    <row r="419" spans="1:16">
      <c r="A419" s="708" t="s">
        <v>3149</v>
      </c>
      <c r="B419" s="681"/>
      <c r="C419" s="681"/>
      <c r="D419" s="681"/>
      <c r="E419" s="685">
        <f>SUM(E235:E418)</f>
        <v>597</v>
      </c>
      <c r="F419" s="685">
        <f>SUM(F235:F418)</f>
        <v>6762</v>
      </c>
      <c r="G419" s="684" t="s">
        <v>3149</v>
      </c>
      <c r="H419" s="684"/>
      <c r="I419" s="685">
        <f>SUM(I235:I418)</f>
        <v>4379.5820000000003</v>
      </c>
      <c r="J419" s="687" t="s">
        <v>3149</v>
      </c>
      <c r="K419" s="705">
        <f>SUM(K235:K418)</f>
        <v>903477535</v>
      </c>
      <c r="L419" s="684" t="s">
        <v>3149</v>
      </c>
      <c r="M419" s="684"/>
      <c r="N419" s="684"/>
      <c r="O419" s="684"/>
      <c r="P419" s="715">
        <f>SUM(P235:P418)</f>
        <v>213654000</v>
      </c>
    </row>
    <row r="420" spans="1:16" ht="13.5" thickBot="1">
      <c r="A420" s="716" t="s">
        <v>3149</v>
      </c>
      <c r="B420" s="717"/>
      <c r="C420" s="717"/>
      <c r="D420" s="717"/>
      <c r="E420" s="717"/>
      <c r="F420" s="717"/>
      <c r="G420" s="717"/>
      <c r="H420" s="717"/>
      <c r="I420" s="717"/>
      <c r="J420" s="717"/>
      <c r="K420" s="718" t="e">
        <f>K419+#REF!+#REF!+#REF!+#REF!+#REF!</f>
        <v>#REF!</v>
      </c>
      <c r="L420" s="717" t="s">
        <v>3149</v>
      </c>
      <c r="M420" s="717"/>
      <c r="N420" s="717"/>
      <c r="O420" s="717"/>
      <c r="P420" s="719" t="e">
        <f>P419+#REF!+#REF!+#REF!+#REF!+#REF!</f>
        <v>#REF!</v>
      </c>
    </row>
  </sheetData>
  <autoFilter ref="A6:P420" xr:uid="{00000000-0001-0000-0B00-000000000000}"/>
  <mergeCells count="7">
    <mergeCell ref="D5:K5"/>
    <mergeCell ref="L5:P5"/>
    <mergeCell ref="A1:P1"/>
    <mergeCell ref="A2:P2"/>
    <mergeCell ref="A3:P3"/>
    <mergeCell ref="A4:P4"/>
    <mergeCell ref="A5:C5"/>
  </mergeCells>
  <printOptions horizontalCentered="1" verticalCentered="1"/>
  <pageMargins left="0.70866141732283472" right="0.70866141732283472" top="0.74803149606299213" bottom="0.74803149606299213" header="0.31496062992125984" footer="0.31496062992125984"/>
  <pageSetup scale="37" pageOrder="overThenDown" orientation="landscape" r:id="rId1"/>
  <headerFooter>
    <oddHeader>&amp;LCOMISIÓN NACIONAL DE PREVENCIÓN DE RIESGOS Y ATENCIÓN DE EMERGENCIAS
DEPARTAMENTO DE PLANIFICACIÓN&amp;R&amp;D
&amp;T</oddHeader>
    <oddFooter>&amp;C&amp;P/&amp;N</oddFooter>
  </headerFooter>
  <ignoredErrors>
    <ignoredError sqref="P107 P109" formula="1"/>
  </ignoredError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2:P47"/>
  <sheetViews>
    <sheetView view="pageBreakPreview" topLeftCell="A39" zoomScale="60" zoomScaleNormal="40" workbookViewId="0">
      <selection activeCell="A26" sqref="A26"/>
    </sheetView>
  </sheetViews>
  <sheetFormatPr baseColWidth="10" defaultRowHeight="15"/>
  <cols>
    <col min="1" max="1" width="13.7109375" customWidth="1"/>
    <col min="2" max="2" width="14.85546875" customWidth="1"/>
    <col min="3" max="3" width="17" customWidth="1"/>
    <col min="4" max="4" width="22.42578125" customWidth="1"/>
    <col min="5" max="5" width="20.85546875" customWidth="1"/>
    <col min="7" max="7" width="22.28515625" customWidth="1"/>
    <col min="8" max="8" width="15.7109375" customWidth="1"/>
    <col min="9" max="9" width="26.5703125" customWidth="1"/>
    <col min="10" max="10" width="22" style="459" customWidth="1"/>
    <col min="11" max="11" width="10.7109375" customWidth="1"/>
    <col min="12" max="12" width="17.85546875" customWidth="1"/>
    <col min="13" max="14" width="17.7109375" customWidth="1"/>
    <col min="16" max="16" width="22.85546875" style="459" customWidth="1"/>
  </cols>
  <sheetData>
    <row r="2" spans="1:16" ht="24.6" customHeight="1">
      <c r="A2" s="1209" t="s">
        <v>24983</v>
      </c>
      <c r="B2" s="1209"/>
      <c r="C2" s="1209"/>
      <c r="D2" s="1209"/>
      <c r="E2" s="1209"/>
      <c r="F2" s="1209"/>
      <c r="G2" s="1209"/>
      <c r="H2" s="1209"/>
      <c r="I2" s="1209"/>
      <c r="J2" s="1209"/>
      <c r="K2" s="1209"/>
      <c r="L2" s="1209"/>
      <c r="M2" s="1209"/>
      <c r="N2" s="1209"/>
      <c r="O2" s="1209"/>
      <c r="P2" s="1209"/>
    </row>
    <row r="3" spans="1:16" ht="24.6" customHeight="1">
      <c r="A3" s="1210" t="s">
        <v>24984</v>
      </c>
      <c r="B3" s="1210"/>
      <c r="C3" s="1210"/>
      <c r="D3" s="1210"/>
      <c r="E3" s="1210"/>
      <c r="F3" s="1210"/>
      <c r="G3" s="1210"/>
      <c r="H3" s="1210"/>
      <c r="I3" s="1210"/>
      <c r="J3" s="1210"/>
      <c r="K3" s="1210"/>
      <c r="L3" s="1210"/>
      <c r="M3" s="1210"/>
      <c r="N3" s="1210"/>
      <c r="O3" s="1210"/>
      <c r="P3" s="1210"/>
    </row>
    <row r="4" spans="1:16" ht="26.25">
      <c r="A4" s="1211" t="s">
        <v>24985</v>
      </c>
      <c r="B4" s="1211"/>
      <c r="C4" s="1211"/>
      <c r="D4" s="1211"/>
      <c r="E4" s="1211"/>
      <c r="F4" s="1211"/>
      <c r="G4" s="1211"/>
      <c r="H4" s="1211"/>
      <c r="I4" s="1211"/>
      <c r="J4" s="1211"/>
      <c r="K4" s="1211"/>
      <c r="L4" s="1211"/>
      <c r="M4" s="1211"/>
      <c r="N4" s="1211"/>
      <c r="O4" s="1211"/>
      <c r="P4" s="1211"/>
    </row>
    <row r="5" spans="1:16" ht="26.25">
      <c r="A5" s="369"/>
      <c r="B5" s="369"/>
      <c r="C5" s="369"/>
      <c r="D5" s="369"/>
      <c r="E5" s="369"/>
      <c r="F5" s="369"/>
      <c r="G5" s="369"/>
      <c r="H5" s="369"/>
      <c r="I5" s="369"/>
      <c r="J5" s="458"/>
      <c r="K5" s="369"/>
      <c r="L5" s="369"/>
      <c r="M5" s="369"/>
      <c r="N5" s="369"/>
      <c r="O5" s="369"/>
      <c r="P5" s="458"/>
    </row>
    <row r="6" spans="1:16" ht="21" customHeight="1">
      <c r="A6" s="1212" t="s">
        <v>24986</v>
      </c>
      <c r="B6" s="1212"/>
      <c r="C6" s="1212"/>
      <c r="D6" s="1212"/>
      <c r="E6" s="1212"/>
      <c r="F6" s="1212"/>
      <c r="G6" s="1212"/>
      <c r="H6" s="1212"/>
      <c r="I6" s="1212"/>
      <c r="J6" s="1212"/>
      <c r="K6" s="1213" t="s">
        <v>24987</v>
      </c>
      <c r="L6" s="1213"/>
      <c r="M6" s="1213"/>
      <c r="N6" s="1213"/>
      <c r="O6" s="1213"/>
      <c r="P6" s="1213"/>
    </row>
    <row r="7" spans="1:16" ht="15.75" thickBot="1">
      <c r="G7" s="220"/>
    </row>
    <row r="8" spans="1:16" ht="21" thickBot="1">
      <c r="A8" s="1217" t="s">
        <v>22</v>
      </c>
      <c r="B8" s="1218"/>
      <c r="C8" s="1218"/>
      <c r="D8" s="1218"/>
      <c r="E8" s="1218"/>
      <c r="F8" s="1218"/>
      <c r="G8" s="1218"/>
      <c r="H8" s="1218"/>
      <c r="I8" s="1218"/>
      <c r="J8" s="1219"/>
      <c r="K8" s="1214" t="s">
        <v>24989</v>
      </c>
      <c r="L8" s="1215"/>
      <c r="M8" s="1215"/>
      <c r="N8" s="1215"/>
      <c r="O8" s="1215"/>
      <c r="P8" s="1216"/>
    </row>
    <row r="9" spans="1:16" ht="51.75" thickBot="1">
      <c r="A9" s="438" t="s">
        <v>24988</v>
      </c>
      <c r="B9" s="439" t="s">
        <v>1</v>
      </c>
      <c r="C9" s="440" t="s">
        <v>3</v>
      </c>
      <c r="D9" s="441" t="s">
        <v>85</v>
      </c>
      <c r="E9" s="442" t="s">
        <v>86</v>
      </c>
      <c r="F9" s="442" t="s">
        <v>24990</v>
      </c>
      <c r="G9" s="443" t="s">
        <v>24991</v>
      </c>
      <c r="H9" s="442" t="s">
        <v>24992</v>
      </c>
      <c r="I9" s="442" t="s">
        <v>88</v>
      </c>
      <c r="J9" s="460" t="s">
        <v>24993</v>
      </c>
      <c r="K9" s="441" t="s">
        <v>12</v>
      </c>
      <c r="L9" s="442" t="s">
        <v>79</v>
      </c>
      <c r="M9" s="442" t="s">
        <v>24994</v>
      </c>
      <c r="N9" s="442" t="s">
        <v>24995</v>
      </c>
      <c r="O9" s="442" t="s">
        <v>80</v>
      </c>
      <c r="P9" s="460" t="s">
        <v>56</v>
      </c>
    </row>
    <row r="10" spans="1:16" ht="25.5">
      <c r="A10" s="444" t="s">
        <v>24996</v>
      </c>
      <c r="B10" s="445" t="s">
        <v>4799</v>
      </c>
      <c r="C10" s="445" t="s">
        <v>4799</v>
      </c>
      <c r="D10" s="446" t="s">
        <v>24997</v>
      </c>
      <c r="E10" s="445" t="s">
        <v>24998</v>
      </c>
      <c r="F10" s="447">
        <v>69000</v>
      </c>
      <c r="G10" s="445" t="s">
        <v>13746</v>
      </c>
      <c r="H10" s="445" t="s">
        <v>13746</v>
      </c>
      <c r="I10" s="445" t="s">
        <v>24999</v>
      </c>
      <c r="J10" s="461">
        <v>4092000</v>
      </c>
      <c r="K10" s="445">
        <v>1</v>
      </c>
      <c r="L10" s="445" t="s">
        <v>4360</v>
      </c>
      <c r="M10" s="445" t="s">
        <v>25000</v>
      </c>
      <c r="N10" s="445" t="s">
        <v>25001</v>
      </c>
      <c r="O10" s="445" t="s">
        <v>25002</v>
      </c>
      <c r="P10" s="464">
        <v>4092000</v>
      </c>
    </row>
    <row r="11" spans="1:16" ht="25.5">
      <c r="A11" s="448" t="s">
        <v>24996</v>
      </c>
      <c r="B11" s="449" t="s">
        <v>4799</v>
      </c>
      <c r="C11" s="449" t="s">
        <v>7384</v>
      </c>
      <c r="D11" s="391" t="s">
        <v>24997</v>
      </c>
      <c r="E11" s="449" t="s">
        <v>25003</v>
      </c>
      <c r="F11" s="450">
        <v>60000</v>
      </c>
      <c r="G11" s="449" t="s">
        <v>13746</v>
      </c>
      <c r="H11" s="449"/>
      <c r="I11" s="449" t="s">
        <v>24999</v>
      </c>
      <c r="J11" s="392">
        <v>2800000</v>
      </c>
      <c r="K11" s="449">
        <v>1</v>
      </c>
      <c r="L11" s="449" t="s">
        <v>4360</v>
      </c>
      <c r="M11" s="449" t="s">
        <v>25000</v>
      </c>
      <c r="N11" s="449" t="s">
        <v>25001</v>
      </c>
      <c r="O11" s="449" t="s">
        <v>25002</v>
      </c>
      <c r="P11" s="465">
        <v>2800000</v>
      </c>
    </row>
    <row r="12" spans="1:16" ht="25.5">
      <c r="A12" s="448" t="s">
        <v>24996</v>
      </c>
      <c r="B12" s="449" t="s">
        <v>110</v>
      </c>
      <c r="C12" s="449" t="s">
        <v>25004</v>
      </c>
      <c r="D12" s="391" t="s">
        <v>24997</v>
      </c>
      <c r="E12" s="449" t="s">
        <v>25003</v>
      </c>
      <c r="F12" s="450">
        <v>60000</v>
      </c>
      <c r="G12" s="449" t="s">
        <v>13746</v>
      </c>
      <c r="H12" s="449" t="s">
        <v>13746</v>
      </c>
      <c r="I12" s="449" t="s">
        <v>24999</v>
      </c>
      <c r="J12" s="392">
        <v>2800000</v>
      </c>
      <c r="K12" s="449">
        <v>1</v>
      </c>
      <c r="L12" s="449" t="s">
        <v>4360</v>
      </c>
      <c r="M12" s="449" t="s">
        <v>25000</v>
      </c>
      <c r="N12" s="449" t="s">
        <v>25001</v>
      </c>
      <c r="O12" s="449" t="s">
        <v>25002</v>
      </c>
      <c r="P12" s="465">
        <v>2800000</v>
      </c>
    </row>
    <row r="13" spans="1:16" ht="25.5">
      <c r="A13" s="448" t="s">
        <v>38</v>
      </c>
      <c r="B13" s="449" t="s">
        <v>25005</v>
      </c>
      <c r="C13" s="449" t="s">
        <v>25005</v>
      </c>
      <c r="D13" s="391" t="s">
        <v>24997</v>
      </c>
      <c r="E13" s="449" t="s">
        <v>25006</v>
      </c>
      <c r="F13" s="450">
        <v>54000</v>
      </c>
      <c r="G13" s="449" t="s">
        <v>13746</v>
      </c>
      <c r="H13" s="449" t="s">
        <v>13746</v>
      </c>
      <c r="I13" s="449" t="s">
        <v>24999</v>
      </c>
      <c r="J13" s="462">
        <v>5165000</v>
      </c>
      <c r="K13" s="451">
        <v>1</v>
      </c>
      <c r="L13" s="449" t="s">
        <v>4360</v>
      </c>
      <c r="M13" s="449" t="s">
        <v>25000</v>
      </c>
      <c r="N13" s="449" t="s">
        <v>25001</v>
      </c>
      <c r="O13" s="449" t="s">
        <v>25002</v>
      </c>
      <c r="P13" s="466">
        <v>5165000</v>
      </c>
    </row>
    <row r="14" spans="1:16" ht="25.5">
      <c r="A14" s="448" t="s">
        <v>25005</v>
      </c>
      <c r="B14" s="449" t="s">
        <v>25005</v>
      </c>
      <c r="C14" s="449" t="s">
        <v>25007</v>
      </c>
      <c r="D14" s="391" t="s">
        <v>24997</v>
      </c>
      <c r="E14" s="449" t="s">
        <v>25008</v>
      </c>
      <c r="F14" s="450">
        <v>84000</v>
      </c>
      <c r="G14" s="449" t="s">
        <v>13746</v>
      </c>
      <c r="H14" s="449" t="s">
        <v>13746</v>
      </c>
      <c r="I14" s="449" t="s">
        <v>24999</v>
      </c>
      <c r="J14" s="392">
        <v>2109000</v>
      </c>
      <c r="K14" s="451">
        <v>1</v>
      </c>
      <c r="L14" s="449" t="s">
        <v>4360</v>
      </c>
      <c r="M14" s="449" t="s">
        <v>25000</v>
      </c>
      <c r="N14" s="449" t="s">
        <v>25001</v>
      </c>
      <c r="O14" s="449" t="s">
        <v>25002</v>
      </c>
      <c r="P14" s="465">
        <v>2109000</v>
      </c>
    </row>
    <row r="15" spans="1:16" ht="25.5">
      <c r="A15" s="448" t="s">
        <v>24996</v>
      </c>
      <c r="B15" s="449" t="s">
        <v>110</v>
      </c>
      <c r="C15" s="449" t="s">
        <v>25009</v>
      </c>
      <c r="D15" s="391" t="s">
        <v>25010</v>
      </c>
      <c r="E15" s="449" t="s">
        <v>25011</v>
      </c>
      <c r="F15" s="450">
        <v>12000</v>
      </c>
      <c r="G15" s="449" t="s">
        <v>13746</v>
      </c>
      <c r="H15" s="449" t="s">
        <v>13746</v>
      </c>
      <c r="I15" s="449" t="s">
        <v>24999</v>
      </c>
      <c r="J15" s="392">
        <v>2000000</v>
      </c>
      <c r="K15" s="451">
        <v>1</v>
      </c>
      <c r="L15" s="449" t="s">
        <v>4360</v>
      </c>
      <c r="M15" s="449" t="s">
        <v>25000</v>
      </c>
      <c r="N15" s="449" t="s">
        <v>25001</v>
      </c>
      <c r="O15" s="449" t="s">
        <v>25002</v>
      </c>
      <c r="P15" s="465">
        <v>2000000</v>
      </c>
    </row>
    <row r="16" spans="1:16" ht="25.5">
      <c r="A16" s="448" t="s">
        <v>24996</v>
      </c>
      <c r="B16" s="449" t="s">
        <v>110</v>
      </c>
      <c r="C16" s="449" t="s">
        <v>700</v>
      </c>
      <c r="D16" s="391" t="s">
        <v>24997</v>
      </c>
      <c r="E16" s="449" t="s">
        <v>25012</v>
      </c>
      <c r="F16" s="450">
        <v>60000</v>
      </c>
      <c r="G16" s="449" t="s">
        <v>13746</v>
      </c>
      <c r="H16" s="449" t="s">
        <v>13746</v>
      </c>
      <c r="I16" s="449" t="s">
        <v>24999</v>
      </c>
      <c r="J16" s="392">
        <v>2800000</v>
      </c>
      <c r="K16" s="451">
        <v>1</v>
      </c>
      <c r="L16" s="449" t="s">
        <v>4360</v>
      </c>
      <c r="M16" s="449" t="s">
        <v>25000</v>
      </c>
      <c r="N16" s="449" t="s">
        <v>25001</v>
      </c>
      <c r="O16" s="449" t="s">
        <v>25002</v>
      </c>
      <c r="P16" s="465">
        <v>2800000</v>
      </c>
    </row>
    <row r="17" spans="1:16" ht="25.5">
      <c r="A17" s="448" t="s">
        <v>4156</v>
      </c>
      <c r="B17" s="449" t="s">
        <v>3341</v>
      </c>
      <c r="C17" s="449" t="s">
        <v>642</v>
      </c>
      <c r="D17" s="391" t="s">
        <v>25013</v>
      </c>
      <c r="E17" s="449" t="s">
        <v>25014</v>
      </c>
      <c r="F17" s="450">
        <v>109000</v>
      </c>
      <c r="G17" s="449" t="s">
        <v>13746</v>
      </c>
      <c r="H17" s="449" t="s">
        <v>13746</v>
      </c>
      <c r="I17" s="449" t="s">
        <v>25015</v>
      </c>
      <c r="J17" s="392">
        <v>374000000</v>
      </c>
      <c r="K17" s="451">
        <v>1</v>
      </c>
      <c r="L17" s="449" t="s">
        <v>4360</v>
      </c>
      <c r="M17" s="449" t="s">
        <v>25000</v>
      </c>
      <c r="N17" s="449" t="s">
        <v>25001</v>
      </c>
      <c r="O17" s="449" t="s">
        <v>25016</v>
      </c>
      <c r="P17" s="465">
        <v>374000000</v>
      </c>
    </row>
    <row r="18" spans="1:16" ht="25.5">
      <c r="A18" s="448" t="s">
        <v>4156</v>
      </c>
      <c r="B18" s="449" t="s">
        <v>3341</v>
      </c>
      <c r="C18" s="449" t="s">
        <v>4176</v>
      </c>
      <c r="D18" s="391" t="s">
        <v>25013</v>
      </c>
      <c r="E18" s="449" t="s">
        <v>25017</v>
      </c>
      <c r="F18" s="452">
        <v>15000</v>
      </c>
      <c r="G18" s="451" t="s">
        <v>13746</v>
      </c>
      <c r="H18" s="449" t="s">
        <v>13746</v>
      </c>
      <c r="I18" s="449" t="s">
        <v>25015</v>
      </c>
      <c r="J18" s="462">
        <v>1890000</v>
      </c>
      <c r="K18" s="451">
        <v>1</v>
      </c>
      <c r="L18" s="449" t="s">
        <v>4360</v>
      </c>
      <c r="M18" s="449" t="s">
        <v>25000</v>
      </c>
      <c r="N18" s="449" t="s">
        <v>25001</v>
      </c>
      <c r="O18" s="449" t="s">
        <v>25018</v>
      </c>
      <c r="P18" s="466">
        <v>1890000</v>
      </c>
    </row>
    <row r="19" spans="1:16" ht="25.5">
      <c r="A19" s="448" t="s">
        <v>4156</v>
      </c>
      <c r="B19" s="449" t="s">
        <v>3341</v>
      </c>
      <c r="C19" s="449" t="s">
        <v>1667</v>
      </c>
      <c r="D19" s="391" t="s">
        <v>25013</v>
      </c>
      <c r="E19" s="449" t="s">
        <v>25017</v>
      </c>
      <c r="F19" s="452">
        <v>12000</v>
      </c>
      <c r="G19" s="451" t="s">
        <v>13746</v>
      </c>
      <c r="H19" s="449" t="s">
        <v>13746</v>
      </c>
      <c r="I19" s="449" t="s">
        <v>25015</v>
      </c>
      <c r="J19" s="462">
        <v>8000000</v>
      </c>
      <c r="K19" s="451">
        <v>1</v>
      </c>
      <c r="L19" s="449" t="s">
        <v>4360</v>
      </c>
      <c r="M19" s="449" t="s">
        <v>25000</v>
      </c>
      <c r="N19" s="449" t="s">
        <v>25001</v>
      </c>
      <c r="O19" s="449" t="s">
        <v>25019</v>
      </c>
      <c r="P19" s="466">
        <v>8000000</v>
      </c>
    </row>
    <row r="20" spans="1:16" ht="25.5">
      <c r="A20" s="448" t="s">
        <v>4267</v>
      </c>
      <c r="B20" s="449" t="s">
        <v>5564</v>
      </c>
      <c r="C20" s="449" t="s">
        <v>5564</v>
      </c>
      <c r="D20" s="391" t="s">
        <v>25013</v>
      </c>
      <c r="E20" s="449" t="s">
        <v>25017</v>
      </c>
      <c r="F20" s="452">
        <v>110000</v>
      </c>
      <c r="G20" s="451" t="s">
        <v>13746</v>
      </c>
      <c r="H20" s="449" t="s">
        <v>13746</v>
      </c>
      <c r="I20" s="449" t="s">
        <v>25015</v>
      </c>
      <c r="J20" s="462">
        <v>37000000</v>
      </c>
      <c r="K20" s="451">
        <v>1</v>
      </c>
      <c r="L20" s="449" t="s">
        <v>4360</v>
      </c>
      <c r="M20" s="449" t="s">
        <v>25000</v>
      </c>
      <c r="N20" s="449" t="s">
        <v>25001</v>
      </c>
      <c r="O20" s="449" t="s">
        <v>25020</v>
      </c>
      <c r="P20" s="466">
        <v>37000000</v>
      </c>
    </row>
    <row r="21" spans="1:16" ht="25.5">
      <c r="A21" s="448" t="s">
        <v>4267</v>
      </c>
      <c r="B21" s="449" t="s">
        <v>1166</v>
      </c>
      <c r="C21" s="449" t="s">
        <v>1166</v>
      </c>
      <c r="D21" s="391" t="s">
        <v>25013</v>
      </c>
      <c r="E21" s="449" t="s">
        <v>25021</v>
      </c>
      <c r="F21" s="452">
        <v>57500</v>
      </c>
      <c r="G21" s="451" t="s">
        <v>13746</v>
      </c>
      <c r="H21" s="449" t="s">
        <v>13746</v>
      </c>
      <c r="I21" s="449" t="s">
        <v>25015</v>
      </c>
      <c r="J21" s="462">
        <v>21500000</v>
      </c>
      <c r="K21" s="451">
        <v>1</v>
      </c>
      <c r="L21" s="449" t="s">
        <v>4360</v>
      </c>
      <c r="M21" s="449" t="s">
        <v>25000</v>
      </c>
      <c r="N21" s="449" t="s">
        <v>25001</v>
      </c>
      <c r="O21" s="449" t="s">
        <v>25022</v>
      </c>
      <c r="P21" s="466">
        <v>21500000</v>
      </c>
    </row>
    <row r="22" spans="1:16" ht="25.5">
      <c r="A22" s="448" t="s">
        <v>25023</v>
      </c>
      <c r="B22" s="449" t="s">
        <v>6069</v>
      </c>
      <c r="C22" s="449" t="s">
        <v>6069</v>
      </c>
      <c r="D22" s="391" t="s">
        <v>25013</v>
      </c>
      <c r="E22" s="449" t="s">
        <v>25017</v>
      </c>
      <c r="F22" s="452">
        <v>11000</v>
      </c>
      <c r="G22" s="451" t="s">
        <v>13746</v>
      </c>
      <c r="H22" s="449" t="s">
        <v>13746</v>
      </c>
      <c r="I22" s="449" t="s">
        <v>25015</v>
      </c>
      <c r="J22" s="462">
        <v>3300000</v>
      </c>
      <c r="K22" s="451">
        <v>1</v>
      </c>
      <c r="L22" s="449" t="s">
        <v>4360</v>
      </c>
      <c r="M22" s="449" t="s">
        <v>25000</v>
      </c>
      <c r="N22" s="449" t="s">
        <v>25001</v>
      </c>
      <c r="O22" s="449" t="s">
        <v>25024</v>
      </c>
      <c r="P22" s="466">
        <v>3300000</v>
      </c>
    </row>
    <row r="23" spans="1:16" ht="25.5">
      <c r="A23" s="448" t="s">
        <v>25023</v>
      </c>
      <c r="B23" s="449" t="s">
        <v>25025</v>
      </c>
      <c r="C23" s="449" t="s">
        <v>5723</v>
      </c>
      <c r="D23" s="391" t="s">
        <v>25013</v>
      </c>
      <c r="E23" s="449" t="s">
        <v>25017</v>
      </c>
      <c r="F23" s="452">
        <v>5000</v>
      </c>
      <c r="G23" s="451" t="s">
        <v>13746</v>
      </c>
      <c r="H23" s="449" t="s">
        <v>13746</v>
      </c>
      <c r="I23" s="449" t="s">
        <v>25015</v>
      </c>
      <c r="J23" s="462">
        <v>12500000</v>
      </c>
      <c r="K23" s="451">
        <v>1</v>
      </c>
      <c r="L23" s="449" t="s">
        <v>4360</v>
      </c>
      <c r="M23" s="449" t="s">
        <v>25000</v>
      </c>
      <c r="N23" s="449" t="s">
        <v>25001</v>
      </c>
      <c r="O23" s="449" t="s">
        <v>25026</v>
      </c>
      <c r="P23" s="466">
        <v>12500000</v>
      </c>
    </row>
    <row r="24" spans="1:16" ht="25.5">
      <c r="A24" s="448" t="s">
        <v>25027</v>
      </c>
      <c r="B24" s="449" t="s">
        <v>4924</v>
      </c>
      <c r="C24" s="449" t="s">
        <v>4924</v>
      </c>
      <c r="D24" s="391" t="s">
        <v>25013</v>
      </c>
      <c r="E24" s="449" t="s">
        <v>25021</v>
      </c>
      <c r="F24" s="452">
        <v>11000</v>
      </c>
      <c r="G24" s="451" t="s">
        <v>13746</v>
      </c>
      <c r="H24" s="449" t="s">
        <v>13746</v>
      </c>
      <c r="I24" s="449" t="s">
        <v>25015</v>
      </c>
      <c r="J24" s="462">
        <v>14000000</v>
      </c>
      <c r="K24" s="451">
        <v>1</v>
      </c>
      <c r="L24" s="449" t="s">
        <v>4360</v>
      </c>
      <c r="M24" s="449" t="s">
        <v>25000</v>
      </c>
      <c r="N24" s="449" t="s">
        <v>25001</v>
      </c>
      <c r="O24" s="449" t="s">
        <v>25028</v>
      </c>
      <c r="P24" s="466">
        <v>14000000</v>
      </c>
    </row>
    <row r="25" spans="1:16" ht="25.5">
      <c r="A25" s="448" t="s">
        <v>25029</v>
      </c>
      <c r="B25" s="449" t="s">
        <v>3341</v>
      </c>
      <c r="C25" s="449" t="s">
        <v>2042</v>
      </c>
      <c r="D25" s="391" t="s">
        <v>25030</v>
      </c>
      <c r="E25" s="449" t="s">
        <v>25031</v>
      </c>
      <c r="F25" s="451">
        <v>700</v>
      </c>
      <c r="G25" s="451" t="s">
        <v>13746</v>
      </c>
      <c r="H25" s="449" t="s">
        <v>13746</v>
      </c>
      <c r="I25" s="449" t="s">
        <v>25015</v>
      </c>
      <c r="J25" s="462">
        <v>5230000</v>
      </c>
      <c r="K25" s="451">
        <v>1</v>
      </c>
      <c r="L25" s="449" t="s">
        <v>4360</v>
      </c>
      <c r="M25" s="449" t="s">
        <v>25000</v>
      </c>
      <c r="N25" s="449" t="s">
        <v>25001</v>
      </c>
      <c r="O25" s="449" t="s">
        <v>25032</v>
      </c>
      <c r="P25" s="466">
        <v>5230000</v>
      </c>
    </row>
    <row r="26" spans="1:16" ht="51">
      <c r="A26" s="448" t="s">
        <v>130</v>
      </c>
      <c r="B26" s="449" t="s">
        <v>23693</v>
      </c>
      <c r="C26" s="449" t="s">
        <v>142</v>
      </c>
      <c r="D26" s="391" t="s">
        <v>25033</v>
      </c>
      <c r="E26" s="449" t="s">
        <v>25017</v>
      </c>
      <c r="F26" s="451">
        <v>5000</v>
      </c>
      <c r="G26" s="451" t="s">
        <v>13746</v>
      </c>
      <c r="H26" s="449" t="s">
        <v>13746</v>
      </c>
      <c r="I26" s="449" t="s">
        <v>25034</v>
      </c>
      <c r="J26" s="462">
        <v>102000000</v>
      </c>
      <c r="K26" s="451">
        <v>1</v>
      </c>
      <c r="L26" s="449" t="s">
        <v>4360</v>
      </c>
      <c r="M26" s="449" t="s">
        <v>25035</v>
      </c>
      <c r="N26" s="449" t="s">
        <v>25001</v>
      </c>
      <c r="O26" s="449" t="s">
        <v>25036</v>
      </c>
      <c r="P26" s="466">
        <v>102000000</v>
      </c>
    </row>
    <row r="27" spans="1:16" ht="51">
      <c r="A27" s="448" t="s">
        <v>25037</v>
      </c>
      <c r="B27" s="449" t="s">
        <v>1422</v>
      </c>
      <c r="C27" s="449" t="s">
        <v>25038</v>
      </c>
      <c r="D27" s="391" t="s">
        <v>25033</v>
      </c>
      <c r="E27" s="449" t="s">
        <v>25017</v>
      </c>
      <c r="F27" s="451" t="s">
        <v>13746</v>
      </c>
      <c r="G27" s="451" t="s">
        <v>13746</v>
      </c>
      <c r="H27" s="449" t="s">
        <v>13746</v>
      </c>
      <c r="I27" s="449" t="s">
        <v>25034</v>
      </c>
      <c r="J27" s="462">
        <v>49188000</v>
      </c>
      <c r="K27" s="451">
        <v>1</v>
      </c>
      <c r="L27" s="449" t="s">
        <v>4360</v>
      </c>
      <c r="M27" s="449" t="s">
        <v>25035</v>
      </c>
      <c r="N27" s="449" t="s">
        <v>25001</v>
      </c>
      <c r="O27" s="449" t="s">
        <v>25039</v>
      </c>
      <c r="P27" s="466">
        <v>49188000</v>
      </c>
    </row>
    <row r="28" spans="1:16" ht="76.5">
      <c r="A28" s="448" t="s">
        <v>4848</v>
      </c>
      <c r="B28" s="449" t="s">
        <v>4848</v>
      </c>
      <c r="C28" s="449" t="s">
        <v>25040</v>
      </c>
      <c r="D28" s="391" t="s">
        <v>25041</v>
      </c>
      <c r="E28" s="449" t="s">
        <v>25042</v>
      </c>
      <c r="F28" s="451" t="s">
        <v>13746</v>
      </c>
      <c r="G28" s="391" t="s">
        <v>25043</v>
      </c>
      <c r="H28" s="449" t="s">
        <v>13746</v>
      </c>
      <c r="I28" s="449" t="s">
        <v>25044</v>
      </c>
      <c r="J28" s="462">
        <v>26837000</v>
      </c>
      <c r="K28" s="451">
        <v>1</v>
      </c>
      <c r="L28" s="449" t="s">
        <v>4360</v>
      </c>
      <c r="M28" s="449" t="s">
        <v>25045</v>
      </c>
      <c r="N28" s="449" t="s">
        <v>25001</v>
      </c>
      <c r="O28" s="449" t="s">
        <v>25046</v>
      </c>
      <c r="P28" s="466">
        <v>26837000</v>
      </c>
    </row>
    <row r="29" spans="1:16" ht="25.5">
      <c r="A29" s="448" t="s">
        <v>4848</v>
      </c>
      <c r="B29" s="449" t="s">
        <v>4848</v>
      </c>
      <c r="C29" s="449" t="s">
        <v>25047</v>
      </c>
      <c r="D29" s="391" t="s">
        <v>25048</v>
      </c>
      <c r="E29" s="449" t="s">
        <v>25049</v>
      </c>
      <c r="F29" s="451" t="s">
        <v>13746</v>
      </c>
      <c r="G29" s="451" t="s">
        <v>13746</v>
      </c>
      <c r="H29" s="449" t="s">
        <v>25050</v>
      </c>
      <c r="I29" s="449" t="s">
        <v>25051</v>
      </c>
      <c r="J29" s="462">
        <v>21709420</v>
      </c>
      <c r="K29" s="451"/>
      <c r="L29" s="449" t="s">
        <v>4360</v>
      </c>
      <c r="M29" s="449" t="s">
        <v>25052</v>
      </c>
      <c r="N29" s="449" t="s">
        <v>25001</v>
      </c>
      <c r="O29" s="449" t="s">
        <v>25053</v>
      </c>
      <c r="P29" s="466">
        <v>21709420</v>
      </c>
    </row>
    <row r="30" spans="1:16" ht="25.5">
      <c r="A30" s="448" t="s">
        <v>59</v>
      </c>
      <c r="B30" s="449" t="s">
        <v>8757</v>
      </c>
      <c r="C30" s="449" t="s">
        <v>25054</v>
      </c>
      <c r="D30" s="391" t="s">
        <v>25055</v>
      </c>
      <c r="E30" s="449" t="s">
        <v>25056</v>
      </c>
      <c r="F30" s="449" t="s">
        <v>13746</v>
      </c>
      <c r="G30" s="449" t="s">
        <v>13746</v>
      </c>
      <c r="H30" s="449" t="s">
        <v>13746</v>
      </c>
      <c r="I30" s="391" t="s">
        <v>25057</v>
      </c>
      <c r="J30" s="462">
        <v>9000000</v>
      </c>
      <c r="K30" s="449">
        <v>1</v>
      </c>
      <c r="L30" s="449" t="s">
        <v>4360</v>
      </c>
      <c r="M30" s="449" t="s">
        <v>25058</v>
      </c>
      <c r="N30" s="449" t="s">
        <v>25001</v>
      </c>
      <c r="O30" s="449" t="s">
        <v>25002</v>
      </c>
      <c r="P30" s="466">
        <v>9000000</v>
      </c>
    </row>
    <row r="31" spans="1:16" ht="25.5">
      <c r="A31" s="448" t="s">
        <v>59</v>
      </c>
      <c r="B31" s="449" t="s">
        <v>59</v>
      </c>
      <c r="C31" s="391" t="s">
        <v>59</v>
      </c>
      <c r="D31" s="391" t="s">
        <v>25055</v>
      </c>
      <c r="E31" s="449" t="s">
        <v>25056</v>
      </c>
      <c r="F31" s="449" t="s">
        <v>13746</v>
      </c>
      <c r="G31" s="449" t="s">
        <v>13746</v>
      </c>
      <c r="H31" s="449" t="s">
        <v>13746</v>
      </c>
      <c r="I31" s="391" t="s">
        <v>25059</v>
      </c>
      <c r="J31" s="462">
        <v>200000</v>
      </c>
      <c r="K31" s="449">
        <v>1</v>
      </c>
      <c r="L31" s="449" t="s">
        <v>4360</v>
      </c>
      <c r="M31" s="449" t="s">
        <v>25058</v>
      </c>
      <c r="N31" s="449" t="s">
        <v>25001</v>
      </c>
      <c r="O31" s="449" t="s">
        <v>25016</v>
      </c>
      <c r="P31" s="466">
        <v>200000</v>
      </c>
    </row>
    <row r="32" spans="1:16" ht="38.25">
      <c r="A32" s="448" t="s">
        <v>25060</v>
      </c>
      <c r="B32" s="449" t="s">
        <v>1601</v>
      </c>
      <c r="C32" s="391" t="s">
        <v>1548</v>
      </c>
      <c r="D32" s="391" t="s">
        <v>25061</v>
      </c>
      <c r="E32" s="449" t="s">
        <v>25062</v>
      </c>
      <c r="F32" s="449" t="s">
        <v>13746</v>
      </c>
      <c r="G32" s="449" t="s">
        <v>13746</v>
      </c>
      <c r="H32" s="449" t="s">
        <v>13746</v>
      </c>
      <c r="I32" s="391" t="s">
        <v>25063</v>
      </c>
      <c r="J32" s="462">
        <v>22500000</v>
      </c>
      <c r="K32" s="449">
        <v>1</v>
      </c>
      <c r="L32" s="449" t="s">
        <v>4360</v>
      </c>
      <c r="M32" s="449" t="s">
        <v>25064</v>
      </c>
      <c r="N32" s="449" t="s">
        <v>25001</v>
      </c>
      <c r="O32" s="449" t="s">
        <v>25018</v>
      </c>
      <c r="P32" s="466">
        <v>22500000</v>
      </c>
    </row>
    <row r="33" spans="1:16" ht="38.25">
      <c r="A33" s="448" t="s">
        <v>25060</v>
      </c>
      <c r="B33" s="449" t="s">
        <v>1601</v>
      </c>
      <c r="C33" s="391" t="s">
        <v>1548</v>
      </c>
      <c r="D33" s="391" t="s">
        <v>25055</v>
      </c>
      <c r="E33" s="449" t="s">
        <v>25062</v>
      </c>
      <c r="F33" s="449" t="s">
        <v>13746</v>
      </c>
      <c r="G33" s="449" t="s">
        <v>13746</v>
      </c>
      <c r="H33" s="449" t="s">
        <v>13746</v>
      </c>
      <c r="I33" s="391" t="s">
        <v>25063</v>
      </c>
      <c r="J33" s="462">
        <v>15000000</v>
      </c>
      <c r="K33" s="449">
        <v>1</v>
      </c>
      <c r="L33" s="449" t="s">
        <v>4360</v>
      </c>
      <c r="M33" s="449" t="s">
        <v>25064</v>
      </c>
      <c r="N33" s="449" t="s">
        <v>25001</v>
      </c>
      <c r="O33" s="449" t="s">
        <v>25019</v>
      </c>
      <c r="P33" s="466">
        <v>15000000</v>
      </c>
    </row>
    <row r="34" spans="1:16" ht="38.25">
      <c r="A34" s="448" t="s">
        <v>25060</v>
      </c>
      <c r="B34" s="449" t="s">
        <v>1601</v>
      </c>
      <c r="C34" s="391" t="s">
        <v>1548</v>
      </c>
      <c r="D34" s="391" t="s">
        <v>25065</v>
      </c>
      <c r="E34" s="449" t="s">
        <v>25056</v>
      </c>
      <c r="F34" s="449" t="s">
        <v>13746</v>
      </c>
      <c r="G34" s="449" t="s">
        <v>13746</v>
      </c>
      <c r="H34" s="449" t="s">
        <v>13746</v>
      </c>
      <c r="I34" s="391" t="s">
        <v>25066</v>
      </c>
      <c r="J34" s="462">
        <v>7500000</v>
      </c>
      <c r="K34" s="449">
        <v>1</v>
      </c>
      <c r="L34" s="449" t="s">
        <v>4360</v>
      </c>
      <c r="M34" s="449" t="s">
        <v>25064</v>
      </c>
      <c r="N34" s="449" t="s">
        <v>25001</v>
      </c>
      <c r="O34" s="449" t="s">
        <v>25020</v>
      </c>
      <c r="P34" s="466">
        <v>7500000</v>
      </c>
    </row>
    <row r="35" spans="1:16" ht="44.45" customHeight="1">
      <c r="A35" s="448" t="s">
        <v>25067</v>
      </c>
      <c r="B35" s="391" t="s">
        <v>25068</v>
      </c>
      <c r="C35" s="453" t="s">
        <v>25069</v>
      </c>
      <c r="D35" s="391" t="s">
        <v>25055</v>
      </c>
      <c r="E35" s="449" t="s">
        <v>25070</v>
      </c>
      <c r="F35" s="449" t="s">
        <v>13746</v>
      </c>
      <c r="G35" s="449" t="s">
        <v>13746</v>
      </c>
      <c r="H35" s="449" t="s">
        <v>13746</v>
      </c>
      <c r="I35" s="391" t="s">
        <v>25071</v>
      </c>
      <c r="J35" s="462">
        <v>20800000</v>
      </c>
      <c r="K35" s="449">
        <v>1</v>
      </c>
      <c r="L35" s="449" t="s">
        <v>4360</v>
      </c>
      <c r="M35" s="449" t="s">
        <v>25064</v>
      </c>
      <c r="N35" s="449" t="s">
        <v>25001</v>
      </c>
      <c r="O35" s="449" t="s">
        <v>25022</v>
      </c>
      <c r="P35" s="466">
        <v>20800000</v>
      </c>
    </row>
    <row r="36" spans="1:16" ht="38.25">
      <c r="A36" s="448" t="s">
        <v>25072</v>
      </c>
      <c r="B36" s="449" t="s">
        <v>25073</v>
      </c>
      <c r="C36" s="391" t="s">
        <v>25074</v>
      </c>
      <c r="D36" s="391" t="s">
        <v>25055</v>
      </c>
      <c r="E36" s="449" t="s">
        <v>25056</v>
      </c>
      <c r="F36" s="449" t="s">
        <v>13746</v>
      </c>
      <c r="G36" s="449" t="s">
        <v>13746</v>
      </c>
      <c r="H36" s="449" t="s">
        <v>13746</v>
      </c>
      <c r="I36" s="391" t="s">
        <v>25075</v>
      </c>
      <c r="J36" s="462">
        <v>7500000</v>
      </c>
      <c r="K36" s="449">
        <v>1</v>
      </c>
      <c r="L36" s="449" t="s">
        <v>4360</v>
      </c>
      <c r="M36" s="449" t="s">
        <v>25064</v>
      </c>
      <c r="N36" s="449" t="s">
        <v>25001</v>
      </c>
      <c r="O36" s="449" t="s">
        <v>25024</v>
      </c>
      <c r="P36" s="466">
        <v>7500000</v>
      </c>
    </row>
    <row r="37" spans="1:16" ht="38.25">
      <c r="A37" s="448" t="s">
        <v>24996</v>
      </c>
      <c r="B37" s="449" t="s">
        <v>24996</v>
      </c>
      <c r="C37" s="391" t="s">
        <v>2053</v>
      </c>
      <c r="D37" s="391" t="s">
        <v>25076</v>
      </c>
      <c r="E37" s="449" t="s">
        <v>25056</v>
      </c>
      <c r="F37" s="449" t="s">
        <v>13746</v>
      </c>
      <c r="G37" s="449" t="s">
        <v>13746</v>
      </c>
      <c r="H37" s="449" t="s">
        <v>13746</v>
      </c>
      <c r="I37" s="391" t="s">
        <v>25077</v>
      </c>
      <c r="J37" s="462">
        <v>9000000</v>
      </c>
      <c r="K37" s="449">
        <v>1</v>
      </c>
      <c r="L37" s="449" t="s">
        <v>4360</v>
      </c>
      <c r="M37" s="449" t="s">
        <v>25064</v>
      </c>
      <c r="N37" s="449" t="s">
        <v>25001</v>
      </c>
      <c r="O37" s="449" t="s">
        <v>25026</v>
      </c>
      <c r="P37" s="466">
        <v>9000000</v>
      </c>
    </row>
    <row r="38" spans="1:16" ht="38.25">
      <c r="A38" s="448" t="s">
        <v>24996</v>
      </c>
      <c r="B38" s="449" t="s">
        <v>24996</v>
      </c>
      <c r="C38" s="391" t="s">
        <v>2053</v>
      </c>
      <c r="D38" s="391" t="s">
        <v>25076</v>
      </c>
      <c r="E38" s="449" t="s">
        <v>25056</v>
      </c>
      <c r="F38" s="449" t="s">
        <v>13746</v>
      </c>
      <c r="G38" s="449" t="s">
        <v>13746</v>
      </c>
      <c r="H38" s="449" t="s">
        <v>13746</v>
      </c>
      <c r="I38" s="391" t="s">
        <v>25078</v>
      </c>
      <c r="J38" s="462">
        <v>600000</v>
      </c>
      <c r="K38" s="449">
        <v>1</v>
      </c>
      <c r="L38" s="449" t="s">
        <v>4360</v>
      </c>
      <c r="M38" s="449" t="s">
        <v>25064</v>
      </c>
      <c r="N38" s="449" t="s">
        <v>25001</v>
      </c>
      <c r="O38" s="449" t="s">
        <v>25028</v>
      </c>
      <c r="P38" s="466">
        <v>600000</v>
      </c>
    </row>
    <row r="39" spans="1:16" ht="38.25">
      <c r="A39" s="448" t="s">
        <v>24996</v>
      </c>
      <c r="B39" s="449" t="s">
        <v>24996</v>
      </c>
      <c r="C39" s="391" t="s">
        <v>2053</v>
      </c>
      <c r="D39" s="391" t="s">
        <v>25055</v>
      </c>
      <c r="E39" s="449" t="s">
        <v>25056</v>
      </c>
      <c r="F39" s="449" t="s">
        <v>13746</v>
      </c>
      <c r="G39" s="449" t="s">
        <v>13746</v>
      </c>
      <c r="H39" s="449" t="s">
        <v>13746</v>
      </c>
      <c r="I39" s="391" t="s">
        <v>25079</v>
      </c>
      <c r="J39" s="462">
        <v>250000</v>
      </c>
      <c r="K39" s="449">
        <v>1</v>
      </c>
      <c r="L39" s="449" t="s">
        <v>4360</v>
      </c>
      <c r="M39" s="449" t="s">
        <v>25064</v>
      </c>
      <c r="N39" s="449" t="s">
        <v>25001</v>
      </c>
      <c r="O39" s="449" t="s">
        <v>25032</v>
      </c>
      <c r="P39" s="466">
        <v>250000</v>
      </c>
    </row>
    <row r="40" spans="1:16" ht="38.25">
      <c r="A40" s="448" t="s">
        <v>24996</v>
      </c>
      <c r="B40" s="449" t="s">
        <v>24996</v>
      </c>
      <c r="C40" s="391" t="s">
        <v>2053</v>
      </c>
      <c r="D40" s="391" t="s">
        <v>25080</v>
      </c>
      <c r="E40" s="449" t="s">
        <v>25056</v>
      </c>
      <c r="F40" s="449" t="s">
        <v>13746</v>
      </c>
      <c r="G40" s="449" t="s">
        <v>13746</v>
      </c>
      <c r="H40" s="449" t="s">
        <v>13746</v>
      </c>
      <c r="I40" s="391" t="s">
        <v>25081</v>
      </c>
      <c r="J40" s="462">
        <v>1000000</v>
      </c>
      <c r="K40" s="449">
        <v>1</v>
      </c>
      <c r="L40" s="449" t="s">
        <v>4360</v>
      </c>
      <c r="M40" s="449" t="s">
        <v>25064</v>
      </c>
      <c r="N40" s="449" t="s">
        <v>25001</v>
      </c>
      <c r="O40" s="449" t="s">
        <v>25036</v>
      </c>
      <c r="P40" s="466">
        <v>1000000</v>
      </c>
    </row>
    <row r="41" spans="1:16" ht="38.25">
      <c r="A41" s="448" t="s">
        <v>4848</v>
      </c>
      <c r="B41" s="449" t="s">
        <v>4848</v>
      </c>
      <c r="C41" s="391" t="s">
        <v>25047</v>
      </c>
      <c r="D41" s="391" t="s">
        <v>25082</v>
      </c>
      <c r="E41" s="449" t="s">
        <v>25083</v>
      </c>
      <c r="F41" s="449" t="s">
        <v>13746</v>
      </c>
      <c r="G41" s="449" t="s">
        <v>13746</v>
      </c>
      <c r="H41" s="449" t="s">
        <v>13746</v>
      </c>
      <c r="I41" s="391" t="s">
        <v>25084</v>
      </c>
      <c r="J41" s="462">
        <v>37500000</v>
      </c>
      <c r="K41" s="449">
        <v>1</v>
      </c>
      <c r="L41" s="449" t="s">
        <v>4360</v>
      </c>
      <c r="M41" s="449" t="s">
        <v>25064</v>
      </c>
      <c r="N41" s="449" t="s">
        <v>25001</v>
      </c>
      <c r="O41" s="449" t="s">
        <v>25039</v>
      </c>
      <c r="P41" s="466">
        <v>37500000</v>
      </c>
    </row>
    <row r="42" spans="1:16" ht="38.25">
      <c r="A42" s="448" t="s">
        <v>4848</v>
      </c>
      <c r="B42" s="449" t="s">
        <v>4848</v>
      </c>
      <c r="C42" s="391" t="s">
        <v>25047</v>
      </c>
      <c r="D42" s="391" t="s">
        <v>25085</v>
      </c>
      <c r="E42" s="449" t="s">
        <v>25056</v>
      </c>
      <c r="F42" s="449" t="s">
        <v>13746</v>
      </c>
      <c r="G42" s="449" t="s">
        <v>13746</v>
      </c>
      <c r="H42" s="449" t="s">
        <v>13746</v>
      </c>
      <c r="I42" s="391" t="s">
        <v>25086</v>
      </c>
      <c r="J42" s="462">
        <v>1500000</v>
      </c>
      <c r="K42" s="449">
        <v>1</v>
      </c>
      <c r="L42" s="449" t="s">
        <v>4360</v>
      </c>
      <c r="M42" s="449" t="s">
        <v>25064</v>
      </c>
      <c r="N42" s="449" t="s">
        <v>25001</v>
      </c>
      <c r="O42" s="449" t="s">
        <v>25046</v>
      </c>
      <c r="P42" s="466">
        <v>1500000</v>
      </c>
    </row>
    <row r="43" spans="1:16" ht="51.75" thickBot="1">
      <c r="A43" s="454" t="s">
        <v>4848</v>
      </c>
      <c r="B43" s="455" t="s">
        <v>4848</v>
      </c>
      <c r="C43" s="456" t="s">
        <v>25047</v>
      </c>
      <c r="D43" s="456" t="s">
        <v>25087</v>
      </c>
      <c r="E43" s="455" t="s">
        <v>25088</v>
      </c>
      <c r="F43" s="455" t="s">
        <v>13746</v>
      </c>
      <c r="G43" s="455" t="s">
        <v>13746</v>
      </c>
      <c r="H43" s="457" t="s">
        <v>13746</v>
      </c>
      <c r="I43" s="456" t="s">
        <v>25089</v>
      </c>
      <c r="J43" s="463">
        <v>9600000</v>
      </c>
      <c r="K43" s="455">
        <v>1</v>
      </c>
      <c r="L43" s="455" t="s">
        <v>4360</v>
      </c>
      <c r="M43" s="455" t="s">
        <v>25064</v>
      </c>
      <c r="N43" s="455" t="s">
        <v>25001</v>
      </c>
      <c r="O43" s="455" t="s">
        <v>25053</v>
      </c>
      <c r="P43" s="467">
        <v>9600000</v>
      </c>
    </row>
    <row r="44" spans="1:16" ht="15.75" thickBot="1">
      <c r="A44" s="1203" t="s">
        <v>91</v>
      </c>
      <c r="B44" s="1204"/>
      <c r="C44" s="1204"/>
      <c r="D44" s="1205"/>
      <c r="E44" s="472">
        <v>225</v>
      </c>
      <c r="F44" s="472"/>
      <c r="G44" s="473"/>
      <c r="H44" s="474"/>
      <c r="I44" s="475"/>
      <c r="J44" s="476">
        <f>SUM(J10:J43)</f>
        <v>840870420</v>
      </c>
      <c r="K44" s="1203" t="s">
        <v>91</v>
      </c>
      <c r="L44" s="1204"/>
      <c r="M44" s="1205"/>
      <c r="N44" s="477"/>
      <c r="O44" s="478"/>
      <c r="P44" s="479">
        <f>SUM(P10:P43)</f>
        <v>840870420</v>
      </c>
    </row>
    <row r="45" spans="1:16">
      <c r="G45" s="220"/>
    </row>
    <row r="46" spans="1:16" ht="35.450000000000003" customHeight="1" thickBot="1">
      <c r="A46" s="1206" t="s">
        <v>25090</v>
      </c>
      <c r="B46" s="1207"/>
      <c r="C46" s="1207"/>
      <c r="D46" s="1207"/>
      <c r="E46" s="1207"/>
      <c r="F46" s="1207"/>
      <c r="G46" s="1207"/>
      <c r="H46" s="1207"/>
      <c r="I46" s="1207"/>
      <c r="J46" s="1207"/>
      <c r="K46" s="1207"/>
      <c r="L46" s="1207"/>
      <c r="M46" s="1207"/>
      <c r="N46" s="1207"/>
      <c r="O46" s="1207"/>
      <c r="P46" s="1208"/>
    </row>
    <row r="47" spans="1:16">
      <c r="A47" s="370" t="s">
        <v>25091</v>
      </c>
      <c r="G47" s="220"/>
    </row>
  </sheetData>
  <mergeCells count="10">
    <mergeCell ref="A44:D44"/>
    <mergeCell ref="K44:M44"/>
    <mergeCell ref="A46:P46"/>
    <mergeCell ref="A2:P2"/>
    <mergeCell ref="A3:P3"/>
    <mergeCell ref="A4:P4"/>
    <mergeCell ref="A6:J6"/>
    <mergeCell ref="K6:P6"/>
    <mergeCell ref="K8:P8"/>
    <mergeCell ref="A8:J8"/>
  </mergeCells>
  <pageMargins left="0.7" right="0.7" top="0.75" bottom="0.75" header="0.3" footer="0.3"/>
  <pageSetup paperSize="9" scale="45" orientation="landscape" r:id="rId1"/>
  <rowBreaks count="1" manualBreakCount="1">
    <brk id="2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J3222"/>
  <sheetViews>
    <sheetView view="pageBreakPreview" topLeftCell="A3215" zoomScale="82" zoomScaleNormal="75" zoomScaleSheetLayoutView="82" workbookViewId="0">
      <selection activeCell="J3222" sqref="J3222"/>
    </sheetView>
  </sheetViews>
  <sheetFormatPr baseColWidth="10" defaultColWidth="11.42578125" defaultRowHeight="15"/>
  <cols>
    <col min="1" max="1" width="18.42578125" style="10" customWidth="1"/>
    <col min="2" max="2" width="25.5703125" style="9" customWidth="1"/>
    <col min="3" max="3" width="16.7109375" style="9" customWidth="1"/>
    <col min="4" max="5" width="11.42578125" style="9"/>
    <col min="6" max="6" width="25.42578125" style="9" bestFit="1" customWidth="1"/>
    <col min="7" max="7" width="24.28515625" style="559" customWidth="1"/>
    <col min="8" max="8" width="9.85546875" style="9" customWidth="1"/>
    <col min="9" max="9" width="27.140625" style="9" customWidth="1"/>
    <col min="10" max="10" width="26.28515625" style="559" customWidth="1"/>
    <col min="11" max="11" width="18.140625" style="9" bestFit="1" customWidth="1"/>
    <col min="12" max="16384" width="11.42578125" style="9"/>
  </cols>
  <sheetData>
    <row r="1" spans="1:10" ht="15" customHeight="1">
      <c r="A1" s="1011" t="s">
        <v>0</v>
      </c>
      <c r="B1" s="1011"/>
      <c r="C1" s="1011"/>
      <c r="D1" s="1011"/>
      <c r="E1" s="1011"/>
      <c r="F1" s="1011"/>
      <c r="G1" s="1011"/>
      <c r="H1" s="1011"/>
      <c r="I1" s="1011"/>
      <c r="J1" s="1011"/>
    </row>
    <row r="2" spans="1:10" ht="15" customHeight="1">
      <c r="A2" s="1011" t="s">
        <v>116</v>
      </c>
      <c r="B2" s="1011"/>
      <c r="C2" s="1011"/>
      <c r="D2" s="1011"/>
      <c r="E2" s="1011"/>
      <c r="F2" s="1011"/>
      <c r="G2" s="1011"/>
      <c r="H2" s="1011"/>
      <c r="I2" s="1011"/>
      <c r="J2" s="1011"/>
    </row>
    <row r="3" spans="1:10" ht="15" customHeight="1" thickBot="1">
      <c r="A3" s="1011" t="s">
        <v>4</v>
      </c>
      <c r="B3" s="1011"/>
      <c r="C3" s="1011"/>
      <c r="D3" s="1011"/>
      <c r="E3" s="1011"/>
      <c r="F3" s="1011"/>
      <c r="G3" s="1011"/>
      <c r="H3" s="1011"/>
      <c r="I3" s="1011"/>
      <c r="J3" s="1011"/>
    </row>
    <row r="4" spans="1:10" ht="18.75" customHeight="1">
      <c r="A4" s="1023" t="s">
        <v>1</v>
      </c>
      <c r="B4" s="1026" t="s">
        <v>5</v>
      </c>
      <c r="C4" s="1026"/>
      <c r="D4" s="1026"/>
      <c r="E4" s="1026"/>
      <c r="F4" s="1026" t="s">
        <v>6</v>
      </c>
      <c r="G4" s="1027"/>
      <c r="H4" s="1026" t="s">
        <v>7</v>
      </c>
      <c r="I4" s="1027"/>
      <c r="J4" s="1028"/>
    </row>
    <row r="5" spans="1:10" ht="18.75" customHeight="1">
      <c r="A5" s="1024"/>
      <c r="B5" s="1029" t="s">
        <v>3</v>
      </c>
      <c r="C5" s="1029" t="s">
        <v>8</v>
      </c>
      <c r="D5" s="1029" t="s">
        <v>9</v>
      </c>
      <c r="E5" s="1029"/>
      <c r="F5" s="1029" t="s">
        <v>10</v>
      </c>
      <c r="G5" s="1031" t="s">
        <v>11</v>
      </c>
      <c r="H5" s="1029" t="s">
        <v>12</v>
      </c>
      <c r="I5" s="1029" t="s">
        <v>13</v>
      </c>
      <c r="J5" s="1033" t="s">
        <v>14</v>
      </c>
    </row>
    <row r="6" spans="1:10" ht="32.25" thickBot="1">
      <c r="A6" s="1025"/>
      <c r="B6" s="1030"/>
      <c r="C6" s="1030"/>
      <c r="D6" s="620" t="s">
        <v>15</v>
      </c>
      <c r="E6" s="620" t="s">
        <v>16</v>
      </c>
      <c r="F6" s="1030"/>
      <c r="G6" s="1032"/>
      <c r="H6" s="1030"/>
      <c r="I6" s="1030"/>
      <c r="J6" s="1034"/>
    </row>
    <row r="7" spans="1:10" ht="15.75">
      <c r="A7" s="621" t="s">
        <v>10001</v>
      </c>
      <c r="B7" s="622"/>
      <c r="C7" s="622"/>
      <c r="D7" s="623"/>
      <c r="E7" s="623"/>
      <c r="F7" s="622"/>
      <c r="G7" s="624"/>
      <c r="H7" s="622"/>
      <c r="I7" s="622"/>
      <c r="J7" s="625"/>
    </row>
    <row r="8" spans="1:10" ht="33.75">
      <c r="A8" s="22" t="s">
        <v>24435</v>
      </c>
      <c r="B8" s="26">
        <v>0</v>
      </c>
      <c r="C8" s="569" t="s">
        <v>24436</v>
      </c>
      <c r="D8" s="569">
        <v>0.995</v>
      </c>
      <c r="E8" s="569">
        <v>0</v>
      </c>
      <c r="F8" s="569" t="s">
        <v>24437</v>
      </c>
      <c r="G8" s="73">
        <v>0</v>
      </c>
      <c r="H8" s="569">
        <v>1</v>
      </c>
      <c r="I8" s="569" t="s">
        <v>24438</v>
      </c>
      <c r="J8" s="531">
        <v>150766800</v>
      </c>
    </row>
    <row r="9" spans="1:10" ht="15.75">
      <c r="A9" s="1013" t="s">
        <v>189</v>
      </c>
      <c r="B9" s="1014"/>
      <c r="C9" s="1014"/>
      <c r="D9" s="1014"/>
      <c r="E9" s="1014"/>
      <c r="F9" s="1014"/>
      <c r="G9" s="550">
        <f>SUM(G8)</f>
        <v>0</v>
      </c>
      <c r="H9" s="564"/>
      <c r="I9" s="564"/>
      <c r="J9" s="626">
        <f>SUM(J8)</f>
        <v>150766800</v>
      </c>
    </row>
    <row r="10" spans="1:10" ht="15.75">
      <c r="A10" s="1013" t="s">
        <v>1920</v>
      </c>
      <c r="B10" s="1014"/>
      <c r="C10" s="1014"/>
      <c r="D10" s="1014"/>
      <c r="E10" s="1014"/>
      <c r="F10" s="1014"/>
      <c r="G10" s="1014"/>
      <c r="H10" s="1014"/>
      <c r="I10" s="1014"/>
      <c r="J10" s="1015"/>
    </row>
    <row r="11" spans="1:10" ht="38.25">
      <c r="A11" s="627" t="s">
        <v>2785</v>
      </c>
      <c r="B11" s="80" t="s">
        <v>2786</v>
      </c>
      <c r="C11" s="80" t="s">
        <v>2787</v>
      </c>
      <c r="D11" s="81">
        <v>0.8</v>
      </c>
      <c r="E11" s="82">
        <v>5</v>
      </c>
      <c r="F11" s="83" t="s">
        <v>2788</v>
      </c>
      <c r="G11" s="576">
        <f t="shared" ref="G11:G54" si="0">J11*0.75</f>
        <v>144110348.361</v>
      </c>
      <c r="H11" s="50">
        <v>1</v>
      </c>
      <c r="I11" s="84" t="s">
        <v>2789</v>
      </c>
      <c r="J11" s="628">
        <v>192147131.148</v>
      </c>
    </row>
    <row r="12" spans="1:10" ht="38.25">
      <c r="A12" s="627" t="s">
        <v>2790</v>
      </c>
      <c r="B12" s="80" t="s">
        <v>2791</v>
      </c>
      <c r="C12" s="80" t="s">
        <v>2792</v>
      </c>
      <c r="D12" s="81">
        <v>2</v>
      </c>
      <c r="E12" s="82">
        <v>8</v>
      </c>
      <c r="F12" s="83" t="s">
        <v>2788</v>
      </c>
      <c r="G12" s="576">
        <f t="shared" si="0"/>
        <v>284094715.33499998</v>
      </c>
      <c r="H12" s="50">
        <v>3</v>
      </c>
      <c r="I12" s="84" t="s">
        <v>2789</v>
      </c>
      <c r="J12" s="628">
        <v>378792953.77999997</v>
      </c>
    </row>
    <row r="13" spans="1:10" ht="51">
      <c r="A13" s="627" t="s">
        <v>2790</v>
      </c>
      <c r="B13" s="80" t="s">
        <v>2793</v>
      </c>
      <c r="C13" s="80" t="s">
        <v>2794</v>
      </c>
      <c r="D13" s="81">
        <v>0.9</v>
      </c>
      <c r="E13" s="82">
        <v>5</v>
      </c>
      <c r="F13" s="83" t="s">
        <v>2788</v>
      </c>
      <c r="G13" s="576">
        <f t="shared" si="0"/>
        <v>640914016.90612495</v>
      </c>
      <c r="H13" s="50">
        <v>3</v>
      </c>
      <c r="I13" s="84" t="s">
        <v>2795</v>
      </c>
      <c r="J13" s="628">
        <v>854552022.54149997</v>
      </c>
    </row>
    <row r="14" spans="1:10" ht="38.25">
      <c r="A14" s="627" t="s">
        <v>2790</v>
      </c>
      <c r="B14" s="80" t="s">
        <v>2796</v>
      </c>
      <c r="C14" s="80" t="s">
        <v>2797</v>
      </c>
      <c r="D14" s="81">
        <v>0.4</v>
      </c>
      <c r="E14" s="82">
        <v>5</v>
      </c>
      <c r="F14" s="83" t="s">
        <v>2788</v>
      </c>
      <c r="G14" s="576">
        <f t="shared" si="0"/>
        <v>115755799.1805</v>
      </c>
      <c r="H14" s="50">
        <v>2</v>
      </c>
      <c r="I14" s="84" t="s">
        <v>2798</v>
      </c>
      <c r="J14" s="628">
        <v>154341065.574</v>
      </c>
    </row>
    <row r="15" spans="1:10" ht="30">
      <c r="A15" s="627" t="s">
        <v>2799</v>
      </c>
      <c r="B15" s="80" t="s">
        <v>2800</v>
      </c>
      <c r="C15" s="80" t="s">
        <v>2801</v>
      </c>
      <c r="D15" s="81">
        <v>0.6</v>
      </c>
      <c r="E15" s="82">
        <v>5</v>
      </c>
      <c r="F15" s="83" t="s">
        <v>2788</v>
      </c>
      <c r="G15" s="576">
        <f t="shared" si="0"/>
        <v>98131011.270750001</v>
      </c>
      <c r="H15" s="50">
        <v>1</v>
      </c>
      <c r="I15" s="83" t="s">
        <v>2802</v>
      </c>
      <c r="J15" s="628">
        <v>130841348.361</v>
      </c>
    </row>
    <row r="16" spans="1:10" ht="30">
      <c r="A16" s="627" t="s">
        <v>1137</v>
      </c>
      <c r="B16" s="80" t="s">
        <v>2803</v>
      </c>
      <c r="C16" s="80" t="s">
        <v>2804</v>
      </c>
      <c r="D16" s="81">
        <v>2.2999999999999998</v>
      </c>
      <c r="E16" s="82">
        <v>5</v>
      </c>
      <c r="F16" s="83" t="s">
        <v>2788</v>
      </c>
      <c r="G16" s="576">
        <f t="shared" si="0"/>
        <v>376168876.537875</v>
      </c>
      <c r="H16" s="50">
        <v>1</v>
      </c>
      <c r="I16" s="83" t="s">
        <v>2802</v>
      </c>
      <c r="J16" s="628">
        <v>501558502.05049998</v>
      </c>
    </row>
    <row r="17" spans="1:10" ht="30">
      <c r="A17" s="627" t="s">
        <v>1137</v>
      </c>
      <c r="B17" s="80" t="s">
        <v>2805</v>
      </c>
      <c r="C17" s="80" t="s">
        <v>2806</v>
      </c>
      <c r="D17" s="81">
        <v>1.6</v>
      </c>
      <c r="E17" s="82">
        <v>5</v>
      </c>
      <c r="F17" s="83" t="s">
        <v>2788</v>
      </c>
      <c r="G17" s="576">
        <f t="shared" si="0"/>
        <v>181042696.722</v>
      </c>
      <c r="H17" s="50">
        <v>1</v>
      </c>
      <c r="I17" s="83" t="s">
        <v>2802</v>
      </c>
      <c r="J17" s="628">
        <v>241390262.296</v>
      </c>
    </row>
    <row r="18" spans="1:10" ht="30">
      <c r="A18" s="627" t="s">
        <v>2807</v>
      </c>
      <c r="B18" s="80" t="s">
        <v>2808</v>
      </c>
      <c r="C18" s="85" t="s">
        <v>2809</v>
      </c>
      <c r="D18" s="81">
        <v>1.8</v>
      </c>
      <c r="E18" s="82">
        <v>5</v>
      </c>
      <c r="F18" s="83" t="s">
        <v>2788</v>
      </c>
      <c r="G18" s="576">
        <f t="shared" si="0"/>
        <v>203673033.81225002</v>
      </c>
      <c r="H18" s="50">
        <v>1</v>
      </c>
      <c r="I18" s="83" t="s">
        <v>2802</v>
      </c>
      <c r="J18" s="628">
        <v>271564045.083</v>
      </c>
    </row>
    <row r="19" spans="1:10" ht="45">
      <c r="A19" s="627" t="s">
        <v>1137</v>
      </c>
      <c r="B19" s="80" t="s">
        <v>2810</v>
      </c>
      <c r="C19" s="80" t="s">
        <v>2811</v>
      </c>
      <c r="D19" s="81">
        <v>1.6</v>
      </c>
      <c r="E19" s="82">
        <v>4</v>
      </c>
      <c r="F19" s="83" t="s">
        <v>2812</v>
      </c>
      <c r="G19" s="576">
        <f t="shared" si="0"/>
        <v>165631671.53999999</v>
      </c>
      <c r="H19" s="50">
        <v>1</v>
      </c>
      <c r="I19" s="83" t="s">
        <v>2802</v>
      </c>
      <c r="J19" s="628">
        <v>220842228.72</v>
      </c>
    </row>
    <row r="20" spans="1:10" ht="38.25">
      <c r="A20" s="627" t="s">
        <v>2807</v>
      </c>
      <c r="B20" s="80" t="s">
        <v>2813</v>
      </c>
      <c r="C20" s="80" t="s">
        <v>2814</v>
      </c>
      <c r="D20" s="81">
        <v>0.8</v>
      </c>
      <c r="E20" s="82">
        <v>4</v>
      </c>
      <c r="F20" s="83" t="s">
        <v>2788</v>
      </c>
      <c r="G20" s="576">
        <f t="shared" si="0"/>
        <v>110783335.77000001</v>
      </c>
      <c r="H20" s="50">
        <v>1</v>
      </c>
      <c r="I20" s="84" t="s">
        <v>2815</v>
      </c>
      <c r="J20" s="628">
        <v>147711114.36000001</v>
      </c>
    </row>
    <row r="21" spans="1:10" ht="30">
      <c r="A21" s="627" t="s">
        <v>2807</v>
      </c>
      <c r="B21" s="80" t="s">
        <v>2816</v>
      </c>
      <c r="C21" s="80" t="s">
        <v>2817</v>
      </c>
      <c r="D21" s="81">
        <v>0.8</v>
      </c>
      <c r="E21" s="82">
        <v>4</v>
      </c>
      <c r="F21" s="83" t="s">
        <v>2788</v>
      </c>
      <c r="G21" s="576">
        <f t="shared" si="0"/>
        <v>82815835.769999996</v>
      </c>
      <c r="H21" s="50">
        <v>1</v>
      </c>
      <c r="I21" s="83" t="s">
        <v>2802</v>
      </c>
      <c r="J21" s="628">
        <v>110421114.36</v>
      </c>
    </row>
    <row r="22" spans="1:10" ht="30">
      <c r="A22" s="627" t="s">
        <v>2807</v>
      </c>
      <c r="B22" s="80" t="s">
        <v>2818</v>
      </c>
      <c r="C22" s="80" t="s">
        <v>2819</v>
      </c>
      <c r="D22" s="81">
        <v>1</v>
      </c>
      <c r="E22" s="82">
        <v>5</v>
      </c>
      <c r="F22" s="83" t="s">
        <v>2788</v>
      </c>
      <c r="G22" s="576">
        <f t="shared" si="0"/>
        <v>163551685.45125002</v>
      </c>
      <c r="H22" s="50">
        <v>2</v>
      </c>
      <c r="I22" s="83" t="s">
        <v>2802</v>
      </c>
      <c r="J22" s="628">
        <v>218068913.935</v>
      </c>
    </row>
    <row r="23" spans="1:10" ht="30">
      <c r="A23" s="627" t="s">
        <v>2807</v>
      </c>
      <c r="B23" s="80" t="s">
        <v>2820</v>
      </c>
      <c r="C23" s="80" t="s">
        <v>2821</v>
      </c>
      <c r="D23" s="81">
        <v>1</v>
      </c>
      <c r="E23" s="82">
        <v>5.5</v>
      </c>
      <c r="F23" s="83" t="s">
        <v>2788</v>
      </c>
      <c r="G23" s="576">
        <f t="shared" si="0"/>
        <v>173407630.82062501</v>
      </c>
      <c r="H23" s="50">
        <v>2</v>
      </c>
      <c r="I23" s="83" t="s">
        <v>2802</v>
      </c>
      <c r="J23" s="628">
        <v>231210174.42750001</v>
      </c>
    </row>
    <row r="24" spans="1:10" ht="30">
      <c r="A24" s="627" t="s">
        <v>1137</v>
      </c>
      <c r="B24" s="80" t="s">
        <v>2621</v>
      </c>
      <c r="C24" s="80" t="s">
        <v>2822</v>
      </c>
      <c r="D24" s="81">
        <v>4</v>
      </c>
      <c r="E24" s="82">
        <v>5</v>
      </c>
      <c r="F24" s="83" t="s">
        <v>2788</v>
      </c>
      <c r="G24" s="576">
        <f t="shared" si="0"/>
        <v>452606741.80500001</v>
      </c>
      <c r="H24" s="50">
        <v>1</v>
      </c>
      <c r="I24" s="83" t="s">
        <v>2802</v>
      </c>
      <c r="J24" s="628">
        <v>603475655.74000001</v>
      </c>
    </row>
    <row r="25" spans="1:10" ht="45">
      <c r="A25" s="627" t="s">
        <v>1137</v>
      </c>
      <c r="B25" s="80" t="s">
        <v>2823</v>
      </c>
      <c r="C25" s="80" t="s">
        <v>2824</v>
      </c>
      <c r="D25" s="81">
        <v>0.6</v>
      </c>
      <c r="E25" s="82">
        <v>4</v>
      </c>
      <c r="F25" s="83" t="s">
        <v>2825</v>
      </c>
      <c r="G25" s="576">
        <f t="shared" si="0"/>
        <v>118841348.361</v>
      </c>
      <c r="H25" s="50">
        <v>2</v>
      </c>
      <c r="I25" s="83" t="s">
        <v>2802</v>
      </c>
      <c r="J25" s="628">
        <v>158455131.148</v>
      </c>
    </row>
    <row r="26" spans="1:10" ht="15" customHeight="1">
      <c r="A26" s="627" t="s">
        <v>2826</v>
      </c>
      <c r="B26" s="80" t="s">
        <v>2827</v>
      </c>
      <c r="C26" s="80" t="s">
        <v>2828</v>
      </c>
      <c r="D26" s="81">
        <v>0.6</v>
      </c>
      <c r="E26" s="82">
        <v>4</v>
      </c>
      <c r="F26" s="83" t="s">
        <v>2788</v>
      </c>
      <c r="G26" s="576">
        <f t="shared" si="0"/>
        <v>62111876.827500001</v>
      </c>
      <c r="H26" s="50">
        <v>3</v>
      </c>
      <c r="I26" s="83" t="s">
        <v>2802</v>
      </c>
      <c r="J26" s="628">
        <v>82815835.769999996</v>
      </c>
    </row>
    <row r="27" spans="1:10" ht="15" customHeight="1">
      <c r="A27" s="627" t="s">
        <v>2790</v>
      </c>
      <c r="B27" s="80" t="s">
        <v>2829</v>
      </c>
      <c r="C27" s="80" t="s">
        <v>2830</v>
      </c>
      <c r="D27" s="81">
        <v>0.7</v>
      </c>
      <c r="E27" s="82">
        <v>4</v>
      </c>
      <c r="F27" s="83" t="s">
        <v>2788</v>
      </c>
      <c r="G27" s="576">
        <f t="shared" si="0"/>
        <v>72463856.298749998</v>
      </c>
      <c r="H27" s="50">
        <v>3</v>
      </c>
      <c r="I27" s="83" t="s">
        <v>2802</v>
      </c>
      <c r="J27" s="628">
        <v>96618475.064999998</v>
      </c>
    </row>
    <row r="28" spans="1:10" ht="15" customHeight="1">
      <c r="A28" s="627" t="s">
        <v>1137</v>
      </c>
      <c r="B28" s="80" t="s">
        <v>2831</v>
      </c>
      <c r="C28" s="80" t="s">
        <v>2832</v>
      </c>
      <c r="D28" s="81">
        <v>1.2</v>
      </c>
      <c r="E28" s="82">
        <v>4</v>
      </c>
      <c r="F28" s="83" t="s">
        <v>2788</v>
      </c>
      <c r="G28" s="576">
        <f t="shared" si="0"/>
        <v>172607753.655</v>
      </c>
      <c r="H28" s="50">
        <v>3</v>
      </c>
      <c r="I28" s="83" t="s">
        <v>2802</v>
      </c>
      <c r="J28" s="628">
        <v>230143671.53999999</v>
      </c>
    </row>
    <row r="29" spans="1:10" ht="15" customHeight="1">
      <c r="A29" s="627" t="s">
        <v>2785</v>
      </c>
      <c r="B29" s="80" t="s">
        <v>2833</v>
      </c>
      <c r="C29" s="80" t="s">
        <v>2834</v>
      </c>
      <c r="D29" s="81">
        <v>2</v>
      </c>
      <c r="E29" s="82">
        <v>4</v>
      </c>
      <c r="F29" s="83" t="s">
        <v>2788</v>
      </c>
      <c r="G29" s="576">
        <f t="shared" si="0"/>
        <v>287679589.42499995</v>
      </c>
      <c r="H29" s="50">
        <v>3</v>
      </c>
      <c r="I29" s="83" t="s">
        <v>2802</v>
      </c>
      <c r="J29" s="628">
        <v>383572785.89999998</v>
      </c>
    </row>
    <row r="30" spans="1:10" customFormat="1" ht="15" customHeight="1">
      <c r="A30" s="627" t="s">
        <v>1137</v>
      </c>
      <c r="B30" s="80" t="s">
        <v>2835</v>
      </c>
      <c r="C30" s="80" t="s">
        <v>2836</v>
      </c>
      <c r="D30" s="81">
        <v>3.5</v>
      </c>
      <c r="E30" s="82">
        <v>5</v>
      </c>
      <c r="F30" s="83" t="s">
        <v>2788</v>
      </c>
      <c r="G30" s="576">
        <f t="shared" si="0"/>
        <v>572430899.07937503</v>
      </c>
      <c r="H30" s="50">
        <v>1</v>
      </c>
      <c r="I30" s="83" t="s">
        <v>2802</v>
      </c>
      <c r="J30" s="628">
        <v>763241198.77250004</v>
      </c>
    </row>
    <row r="31" spans="1:10" ht="45">
      <c r="A31" s="627" t="s">
        <v>1137</v>
      </c>
      <c r="B31" s="80" t="s">
        <v>2837</v>
      </c>
      <c r="C31" s="80" t="s">
        <v>2838</v>
      </c>
      <c r="D31" s="81">
        <v>0.5</v>
      </c>
      <c r="E31" s="82">
        <v>4</v>
      </c>
      <c r="F31" s="83" t="s">
        <v>2839</v>
      </c>
      <c r="G31" s="576">
        <f t="shared" si="0"/>
        <v>62364897.356249996</v>
      </c>
      <c r="H31" s="50">
        <v>3</v>
      </c>
      <c r="I31" s="83" t="s">
        <v>2840</v>
      </c>
      <c r="J31" s="628">
        <v>83153196.474999994</v>
      </c>
    </row>
    <row r="32" spans="1:10" ht="45">
      <c r="A32" s="627" t="s">
        <v>1137</v>
      </c>
      <c r="B32" s="80" t="s">
        <v>2841</v>
      </c>
      <c r="C32" s="80" t="s">
        <v>2842</v>
      </c>
      <c r="D32" s="81">
        <v>2</v>
      </c>
      <c r="E32" s="82">
        <v>5</v>
      </c>
      <c r="F32" s="83" t="s">
        <v>2825</v>
      </c>
      <c r="G32" s="576">
        <f t="shared" si="0"/>
        <v>226303370.9025</v>
      </c>
      <c r="H32" s="50">
        <v>3</v>
      </c>
      <c r="I32" s="83" t="s">
        <v>2840</v>
      </c>
      <c r="J32" s="628">
        <v>301737827.87</v>
      </c>
    </row>
    <row r="33" spans="1:10" ht="15.75" customHeight="1">
      <c r="A33" s="627" t="s">
        <v>2826</v>
      </c>
      <c r="B33" s="80" t="s">
        <v>2843</v>
      </c>
      <c r="C33" s="80" t="s">
        <v>2844</v>
      </c>
      <c r="D33" s="81">
        <v>5</v>
      </c>
      <c r="E33" s="82">
        <v>5</v>
      </c>
      <c r="F33" s="83" t="s">
        <v>2825</v>
      </c>
      <c r="G33" s="576">
        <f t="shared" si="0"/>
        <v>2184044677.2562504</v>
      </c>
      <c r="H33" s="50">
        <v>1</v>
      </c>
      <c r="I33" s="84" t="s">
        <v>2845</v>
      </c>
      <c r="J33" s="628">
        <v>2912059569.6750002</v>
      </c>
    </row>
    <row r="34" spans="1:10" ht="45">
      <c r="A34" s="627" t="s">
        <v>2785</v>
      </c>
      <c r="B34" s="80" t="s">
        <v>2846</v>
      </c>
      <c r="C34" s="80" t="s">
        <v>2847</v>
      </c>
      <c r="D34" s="81">
        <v>0.5</v>
      </c>
      <c r="E34" s="82">
        <v>4.5</v>
      </c>
      <c r="F34" s="83" t="s">
        <v>2825</v>
      </c>
      <c r="G34" s="576">
        <f t="shared" si="0"/>
        <v>633025842.72562504</v>
      </c>
      <c r="H34" s="50">
        <v>1</v>
      </c>
      <c r="I34" s="83" t="s">
        <v>2840</v>
      </c>
      <c r="J34" s="628">
        <v>844034456.96749997</v>
      </c>
    </row>
    <row r="35" spans="1:10" ht="45">
      <c r="A35" s="627" t="s">
        <v>1137</v>
      </c>
      <c r="B35" s="80" t="s">
        <v>2848</v>
      </c>
      <c r="C35" s="80" t="s">
        <v>2849</v>
      </c>
      <c r="D35" s="81">
        <v>0.3</v>
      </c>
      <c r="E35" s="82">
        <v>5.5</v>
      </c>
      <c r="F35" s="83" t="s">
        <v>2825</v>
      </c>
      <c r="G35" s="576">
        <f t="shared" si="0"/>
        <v>432206741.80500001</v>
      </c>
      <c r="H35" s="50">
        <v>2</v>
      </c>
      <c r="I35" s="83" t="s">
        <v>2840</v>
      </c>
      <c r="J35" s="628">
        <v>576275655.74000001</v>
      </c>
    </row>
    <row r="36" spans="1:10" ht="45">
      <c r="A36" s="627" t="s">
        <v>2785</v>
      </c>
      <c r="B36" s="80" t="s">
        <v>2850</v>
      </c>
      <c r="C36" s="80" t="s">
        <v>2847</v>
      </c>
      <c r="D36" s="81">
        <v>0.5</v>
      </c>
      <c r="E36" s="82">
        <v>5</v>
      </c>
      <c r="F36" s="83" t="s">
        <v>2825</v>
      </c>
      <c r="G36" s="576">
        <f t="shared" si="0"/>
        <v>695989326.33562493</v>
      </c>
      <c r="H36" s="50">
        <v>2</v>
      </c>
      <c r="I36" s="83" t="s">
        <v>2851</v>
      </c>
      <c r="J36" s="628">
        <v>927985768.44749999</v>
      </c>
    </row>
    <row r="37" spans="1:10" ht="45">
      <c r="A37" s="627" t="s">
        <v>2826</v>
      </c>
      <c r="B37" s="80" t="s">
        <v>2852</v>
      </c>
      <c r="C37" s="80" t="s">
        <v>2853</v>
      </c>
      <c r="D37" s="81">
        <v>4</v>
      </c>
      <c r="E37" s="82">
        <v>5</v>
      </c>
      <c r="F37" s="83" t="s">
        <v>2854</v>
      </c>
      <c r="G37" s="576">
        <f t="shared" si="0"/>
        <v>260710337.09025002</v>
      </c>
      <c r="H37" s="50">
        <v>2</v>
      </c>
      <c r="I37" s="83" t="s">
        <v>2840</v>
      </c>
      <c r="J37" s="628">
        <v>347613782.787</v>
      </c>
    </row>
    <row r="38" spans="1:10" ht="15.75" customHeight="1">
      <c r="A38" s="627" t="s">
        <v>2785</v>
      </c>
      <c r="B38" s="80" t="s">
        <v>2855</v>
      </c>
      <c r="C38" s="80" t="s">
        <v>2856</v>
      </c>
      <c r="D38" s="81">
        <v>8.5</v>
      </c>
      <c r="E38" s="82">
        <v>5</v>
      </c>
      <c r="F38" s="83" t="s">
        <v>2825</v>
      </c>
      <c r="G38" s="576">
        <f t="shared" si="0"/>
        <v>913851573.25987494</v>
      </c>
      <c r="H38" s="50">
        <v>1</v>
      </c>
      <c r="I38" s="83" t="s">
        <v>2840</v>
      </c>
      <c r="J38" s="628">
        <v>1218468764.3464999</v>
      </c>
    </row>
    <row r="39" spans="1:10" ht="45">
      <c r="A39" s="627" t="s">
        <v>2857</v>
      </c>
      <c r="B39" s="80" t="s">
        <v>2858</v>
      </c>
      <c r="C39" s="80" t="s">
        <v>2849</v>
      </c>
      <c r="D39" s="81">
        <v>0.2</v>
      </c>
      <c r="E39" s="82">
        <v>4</v>
      </c>
      <c r="F39" s="83" t="s">
        <v>2825</v>
      </c>
      <c r="G39" s="576">
        <f t="shared" si="0"/>
        <v>38575842.725624993</v>
      </c>
      <c r="H39" s="50">
        <v>2</v>
      </c>
      <c r="I39" s="83" t="s">
        <v>2840</v>
      </c>
      <c r="J39" s="628">
        <v>51434456.967499994</v>
      </c>
    </row>
    <row r="40" spans="1:10" ht="60">
      <c r="A40" s="629" t="s">
        <v>2826</v>
      </c>
      <c r="B40" s="80" t="s">
        <v>2859</v>
      </c>
      <c r="C40" s="86" t="s">
        <v>2860</v>
      </c>
      <c r="D40" s="87">
        <v>3.9</v>
      </c>
      <c r="E40" s="88">
        <v>5</v>
      </c>
      <c r="F40" s="83" t="s">
        <v>2825</v>
      </c>
      <c r="G40" s="576">
        <f t="shared" si="0"/>
        <v>482524045.083</v>
      </c>
      <c r="H40" s="50">
        <v>2</v>
      </c>
      <c r="I40" s="83" t="s">
        <v>2861</v>
      </c>
      <c r="J40" s="628">
        <v>643365393.44400001</v>
      </c>
    </row>
    <row r="41" spans="1:10" ht="45">
      <c r="A41" s="629" t="s">
        <v>2862</v>
      </c>
      <c r="B41" s="80" t="s">
        <v>2863</v>
      </c>
      <c r="C41" s="86" t="s">
        <v>2864</v>
      </c>
      <c r="D41" s="87">
        <v>0.5</v>
      </c>
      <c r="E41" s="88">
        <v>5</v>
      </c>
      <c r="F41" s="83" t="s">
        <v>2825</v>
      </c>
      <c r="G41" s="576">
        <f t="shared" si="0"/>
        <v>136303370.90249997</v>
      </c>
      <c r="H41" s="50">
        <v>1</v>
      </c>
      <c r="I41" s="83" t="s">
        <v>2840</v>
      </c>
      <c r="J41" s="628">
        <v>181737827.86999997</v>
      </c>
    </row>
    <row r="42" spans="1:10" ht="60">
      <c r="A42" s="627" t="s">
        <v>2790</v>
      </c>
      <c r="B42" s="80" t="s">
        <v>2865</v>
      </c>
      <c r="C42" s="80" t="s">
        <v>2866</v>
      </c>
      <c r="D42" s="81">
        <v>2.4</v>
      </c>
      <c r="E42" s="82">
        <v>5</v>
      </c>
      <c r="F42" s="83" t="s">
        <v>2825</v>
      </c>
      <c r="G42" s="576">
        <f t="shared" si="0"/>
        <v>177835018.05731249</v>
      </c>
      <c r="H42" s="50">
        <v>3</v>
      </c>
      <c r="I42" s="83" t="s">
        <v>2861</v>
      </c>
      <c r="J42" s="628">
        <v>237113357.40974998</v>
      </c>
    </row>
    <row r="43" spans="1:10" ht="60">
      <c r="A43" s="627" t="s">
        <v>2790</v>
      </c>
      <c r="B43" s="80" t="s">
        <v>2867</v>
      </c>
      <c r="C43" s="80" t="s">
        <v>2868</v>
      </c>
      <c r="D43" s="81">
        <v>2</v>
      </c>
      <c r="E43" s="82">
        <v>5</v>
      </c>
      <c r="F43" s="83" t="s">
        <v>2825</v>
      </c>
      <c r="G43" s="576">
        <f t="shared" si="0"/>
        <v>171775842.72562501</v>
      </c>
      <c r="H43" s="50">
        <v>1</v>
      </c>
      <c r="I43" s="83" t="s">
        <v>2861</v>
      </c>
      <c r="J43" s="628">
        <v>229034456.9675</v>
      </c>
    </row>
    <row r="44" spans="1:10" ht="45">
      <c r="A44" s="627" t="s">
        <v>2790</v>
      </c>
      <c r="B44" s="80" t="s">
        <v>2869</v>
      </c>
      <c r="C44" s="80" t="s">
        <v>2870</v>
      </c>
      <c r="D44" s="81">
        <v>0.7</v>
      </c>
      <c r="E44" s="82">
        <v>4.5</v>
      </c>
      <c r="F44" s="83" t="s">
        <v>2825</v>
      </c>
      <c r="G44" s="576">
        <f t="shared" si="0"/>
        <v>73891011.270750001</v>
      </c>
      <c r="H44" s="50">
        <v>3</v>
      </c>
      <c r="I44" s="83" t="s">
        <v>2840</v>
      </c>
      <c r="J44" s="628">
        <v>98521348.361000001</v>
      </c>
    </row>
    <row r="45" spans="1:10" ht="45">
      <c r="A45" s="627" t="s">
        <v>2826</v>
      </c>
      <c r="B45" s="80" t="s">
        <v>2871</v>
      </c>
      <c r="C45" s="80" t="s">
        <v>2872</v>
      </c>
      <c r="D45" s="81">
        <v>0.5</v>
      </c>
      <c r="E45" s="82">
        <v>5</v>
      </c>
      <c r="F45" s="83" t="s">
        <v>2825</v>
      </c>
      <c r="G45" s="576">
        <f t="shared" si="0"/>
        <v>189455056.35374999</v>
      </c>
      <c r="H45" s="50">
        <v>3</v>
      </c>
      <c r="I45" s="83" t="s">
        <v>2840</v>
      </c>
      <c r="J45" s="628">
        <v>252606741.80499998</v>
      </c>
    </row>
    <row r="46" spans="1:10" ht="45">
      <c r="A46" s="627" t="s">
        <v>2826</v>
      </c>
      <c r="B46" s="80" t="s">
        <v>2873</v>
      </c>
      <c r="C46" s="80" t="s">
        <v>2828</v>
      </c>
      <c r="D46" s="81">
        <v>0.6</v>
      </c>
      <c r="E46" s="82">
        <v>5</v>
      </c>
      <c r="F46" s="83" t="s">
        <v>2825</v>
      </c>
      <c r="G46" s="576">
        <f t="shared" si="0"/>
        <v>203533370.9025</v>
      </c>
      <c r="H46" s="50">
        <v>2</v>
      </c>
      <c r="I46" s="83" t="s">
        <v>2840</v>
      </c>
      <c r="J46" s="628">
        <v>271377827.87</v>
      </c>
    </row>
    <row r="47" spans="1:10" ht="45">
      <c r="A47" s="627" t="s">
        <v>2826</v>
      </c>
      <c r="B47" s="80" t="s">
        <v>2874</v>
      </c>
      <c r="C47" s="80" t="s">
        <v>2875</v>
      </c>
      <c r="D47" s="81">
        <v>3</v>
      </c>
      <c r="E47" s="82">
        <v>5</v>
      </c>
      <c r="F47" s="83" t="s">
        <v>2825</v>
      </c>
      <c r="G47" s="576">
        <f t="shared" si="0"/>
        <v>446395730.53424996</v>
      </c>
      <c r="H47" s="50">
        <v>2</v>
      </c>
      <c r="I47" s="83" t="s">
        <v>2840</v>
      </c>
      <c r="J47" s="628">
        <v>595194307.37899995</v>
      </c>
    </row>
    <row r="48" spans="1:10" ht="51">
      <c r="A48" s="627" t="s">
        <v>1137</v>
      </c>
      <c r="B48" s="80" t="s">
        <v>2876</v>
      </c>
      <c r="C48" s="80" t="s">
        <v>2877</v>
      </c>
      <c r="D48" s="81">
        <v>2</v>
      </c>
      <c r="E48" s="82">
        <v>4</v>
      </c>
      <c r="F48" s="83" t="s">
        <v>2825</v>
      </c>
      <c r="G48" s="576">
        <f t="shared" si="0"/>
        <v>187009255.63537499</v>
      </c>
      <c r="H48" s="50">
        <v>1</v>
      </c>
      <c r="I48" s="84" t="s">
        <v>2878</v>
      </c>
      <c r="J48" s="628">
        <v>249345674.1805</v>
      </c>
    </row>
    <row r="49" spans="1:10" ht="60">
      <c r="A49" s="627" t="s">
        <v>2826</v>
      </c>
      <c r="B49" s="80" t="s">
        <v>2876</v>
      </c>
      <c r="C49" s="80"/>
      <c r="D49" s="81">
        <v>0.1</v>
      </c>
      <c r="E49" s="82">
        <v>5</v>
      </c>
      <c r="F49" s="83" t="s">
        <v>2825</v>
      </c>
      <c r="G49" s="576">
        <f t="shared" si="0"/>
        <v>10355168.545125</v>
      </c>
      <c r="H49" s="50">
        <v>1</v>
      </c>
      <c r="I49" s="83" t="s">
        <v>2861</v>
      </c>
      <c r="J49" s="628">
        <v>13806891.3935</v>
      </c>
    </row>
    <row r="50" spans="1:10" ht="60">
      <c r="A50" s="627" t="s">
        <v>2826</v>
      </c>
      <c r="B50" s="80" t="s">
        <v>2879</v>
      </c>
      <c r="C50" s="80" t="s">
        <v>2880</v>
      </c>
      <c r="D50" s="81">
        <v>3.4</v>
      </c>
      <c r="E50" s="82">
        <v>5</v>
      </c>
      <c r="F50" s="83" t="s">
        <v>2825</v>
      </c>
      <c r="G50" s="576">
        <f t="shared" si="0"/>
        <v>319045370.90250003</v>
      </c>
      <c r="H50" s="50">
        <v>3</v>
      </c>
      <c r="I50" s="83" t="s">
        <v>2861</v>
      </c>
      <c r="J50" s="628">
        <v>425393827.87</v>
      </c>
    </row>
    <row r="51" spans="1:10" ht="60">
      <c r="A51" s="627" t="s">
        <v>1137</v>
      </c>
      <c r="B51" s="80" t="s">
        <v>2881</v>
      </c>
      <c r="C51" s="80" t="s">
        <v>2882</v>
      </c>
      <c r="D51" s="81">
        <v>0.3</v>
      </c>
      <c r="E51" s="82">
        <v>4</v>
      </c>
      <c r="F51" s="83" t="s">
        <v>2825</v>
      </c>
      <c r="G51" s="576">
        <f t="shared" si="0"/>
        <v>112022022.5415</v>
      </c>
      <c r="H51" s="50">
        <v>1</v>
      </c>
      <c r="I51" s="83" t="s">
        <v>2861</v>
      </c>
      <c r="J51" s="628">
        <v>149362696.722</v>
      </c>
    </row>
    <row r="52" spans="1:10" ht="60">
      <c r="A52" s="627" t="s">
        <v>1137</v>
      </c>
      <c r="B52" s="80" t="s">
        <v>2883</v>
      </c>
      <c r="C52" s="80" t="s">
        <v>2884</v>
      </c>
      <c r="D52" s="81">
        <v>0.1</v>
      </c>
      <c r="E52" s="82">
        <v>5</v>
      </c>
      <c r="F52" s="83" t="s">
        <v>2825</v>
      </c>
      <c r="G52" s="576">
        <f t="shared" si="0"/>
        <v>249622598.361</v>
      </c>
      <c r="H52" s="50">
        <v>1</v>
      </c>
      <c r="I52" s="83" t="s">
        <v>2861</v>
      </c>
      <c r="J52" s="628">
        <v>332830131.148</v>
      </c>
    </row>
    <row r="53" spans="1:10" ht="60">
      <c r="A53" s="627" t="s">
        <v>2885</v>
      </c>
      <c r="B53" s="80" t="s">
        <v>2886</v>
      </c>
      <c r="C53" s="80" t="s">
        <v>2887</v>
      </c>
      <c r="D53" s="81">
        <v>2</v>
      </c>
      <c r="E53" s="82">
        <v>5</v>
      </c>
      <c r="F53" s="83" t="s">
        <v>2825</v>
      </c>
      <c r="G53" s="576">
        <f t="shared" si="0"/>
        <v>202841348.361</v>
      </c>
      <c r="H53" s="50">
        <v>3</v>
      </c>
      <c r="I53" s="83" t="s">
        <v>2861</v>
      </c>
      <c r="J53" s="628">
        <v>270455131.148</v>
      </c>
    </row>
    <row r="54" spans="1:10" ht="60">
      <c r="A54" s="627" t="s">
        <v>2826</v>
      </c>
      <c r="B54" s="80" t="s">
        <v>2888</v>
      </c>
      <c r="C54" s="80" t="s">
        <v>2889</v>
      </c>
      <c r="D54" s="81">
        <v>1.2</v>
      </c>
      <c r="E54" s="82">
        <v>5</v>
      </c>
      <c r="F54" s="83" t="s">
        <v>2825</v>
      </c>
      <c r="G54" s="576">
        <f t="shared" si="0"/>
        <v>160143848.361</v>
      </c>
      <c r="H54" s="50">
        <v>3</v>
      </c>
      <c r="I54" s="83" t="s">
        <v>2861</v>
      </c>
      <c r="J54" s="628">
        <v>213525131.148</v>
      </c>
    </row>
    <row r="55" spans="1:10" ht="45">
      <c r="A55" s="22" t="s">
        <v>1920</v>
      </c>
      <c r="B55" s="26" t="s">
        <v>23794</v>
      </c>
      <c r="C55" s="569" t="s">
        <v>23795</v>
      </c>
      <c r="D55" s="569">
        <v>4.6849999999999996</v>
      </c>
      <c r="E55" s="569">
        <v>7</v>
      </c>
      <c r="F55" s="569" t="s">
        <v>23796</v>
      </c>
      <c r="G55" s="73">
        <v>0</v>
      </c>
      <c r="H55" s="569" t="s">
        <v>1628</v>
      </c>
      <c r="I55" s="569" t="s">
        <v>23797</v>
      </c>
      <c r="J55" s="531">
        <v>157000000</v>
      </c>
    </row>
    <row r="56" spans="1:10" ht="45">
      <c r="A56" s="22" t="s">
        <v>1920</v>
      </c>
      <c r="B56" s="26" t="s">
        <v>23794</v>
      </c>
      <c r="C56" s="569" t="s">
        <v>23798</v>
      </c>
      <c r="D56" s="569">
        <v>4.6849999999999996</v>
      </c>
      <c r="E56" s="569">
        <v>7</v>
      </c>
      <c r="F56" s="569" t="s">
        <v>23799</v>
      </c>
      <c r="G56" s="73">
        <v>0</v>
      </c>
      <c r="H56" s="569" t="s">
        <v>1628</v>
      </c>
      <c r="I56" s="569" t="s">
        <v>23629</v>
      </c>
      <c r="J56" s="531">
        <v>506574.93685612926</v>
      </c>
    </row>
    <row r="57" spans="1:10" ht="45">
      <c r="A57" s="22" t="s">
        <v>1920</v>
      </c>
      <c r="B57" s="26" t="s">
        <v>23800</v>
      </c>
      <c r="C57" s="569" t="s">
        <v>23801</v>
      </c>
      <c r="D57" s="569">
        <v>4.6849999999999996</v>
      </c>
      <c r="E57" s="569">
        <v>9</v>
      </c>
      <c r="F57" s="569" t="s">
        <v>23802</v>
      </c>
      <c r="G57" s="73">
        <v>0</v>
      </c>
      <c r="H57" s="569" t="s">
        <v>1628</v>
      </c>
      <c r="I57" s="569" t="s">
        <v>23629</v>
      </c>
      <c r="J57" s="531">
        <v>202629.97474245171</v>
      </c>
    </row>
    <row r="58" spans="1:10" ht="45">
      <c r="A58" s="22" t="s">
        <v>1920</v>
      </c>
      <c r="B58" s="26" t="s">
        <v>23800</v>
      </c>
      <c r="C58" s="569" t="s">
        <v>23803</v>
      </c>
      <c r="D58" s="569">
        <v>4.6849999999999996</v>
      </c>
      <c r="E58" s="569">
        <v>7</v>
      </c>
      <c r="F58" s="569" t="s">
        <v>23802</v>
      </c>
      <c r="G58" s="73">
        <v>0</v>
      </c>
      <c r="H58" s="569" t="s">
        <v>1628</v>
      </c>
      <c r="I58" s="569" t="s">
        <v>23629</v>
      </c>
      <c r="J58" s="531">
        <v>162103.97979396136</v>
      </c>
    </row>
    <row r="59" spans="1:10" ht="45">
      <c r="A59" s="22" t="s">
        <v>1920</v>
      </c>
      <c r="B59" s="26" t="s">
        <v>23800</v>
      </c>
      <c r="C59" s="569" t="s">
        <v>23804</v>
      </c>
      <c r="D59" s="569">
        <v>4.6849999999999996</v>
      </c>
      <c r="E59" s="569">
        <v>7</v>
      </c>
      <c r="F59" s="569" t="s">
        <v>23799</v>
      </c>
      <c r="G59" s="73">
        <v>0</v>
      </c>
      <c r="H59" s="569" t="s">
        <v>1628</v>
      </c>
      <c r="I59" s="569" t="s">
        <v>23629</v>
      </c>
      <c r="J59" s="531">
        <v>2026299.7474245171</v>
      </c>
    </row>
    <row r="60" spans="1:10" ht="45">
      <c r="A60" s="22" t="s">
        <v>1920</v>
      </c>
      <c r="B60" s="26" t="s">
        <v>23805</v>
      </c>
      <c r="C60" s="569" t="s">
        <v>23806</v>
      </c>
      <c r="D60" s="569">
        <v>4.6849999999999996</v>
      </c>
      <c r="E60" s="569">
        <v>7</v>
      </c>
      <c r="F60" s="569" t="s">
        <v>23802</v>
      </c>
      <c r="G60" s="73">
        <v>0</v>
      </c>
      <c r="H60" s="569" t="s">
        <v>1628</v>
      </c>
      <c r="I60" s="569" t="s">
        <v>23629</v>
      </c>
      <c r="J60" s="531">
        <v>413365.15</v>
      </c>
    </row>
    <row r="61" spans="1:10" ht="45">
      <c r="A61" s="22" t="s">
        <v>1920</v>
      </c>
      <c r="B61" s="26" t="s">
        <v>6044</v>
      </c>
      <c r="C61" s="569" t="s">
        <v>23807</v>
      </c>
      <c r="D61" s="569">
        <v>7.19</v>
      </c>
      <c r="E61" s="569">
        <v>7.5</v>
      </c>
      <c r="F61" s="569" t="s">
        <v>23802</v>
      </c>
      <c r="G61" s="73">
        <v>0</v>
      </c>
      <c r="H61" s="569" t="s">
        <v>1628</v>
      </c>
      <c r="I61" s="569" t="s">
        <v>23629</v>
      </c>
      <c r="J61" s="531">
        <v>1604829.4</v>
      </c>
    </row>
    <row r="62" spans="1:10" ht="45">
      <c r="A62" s="22" t="s">
        <v>1920</v>
      </c>
      <c r="B62" s="26" t="s">
        <v>6044</v>
      </c>
      <c r="C62" s="569" t="s">
        <v>23808</v>
      </c>
      <c r="D62" s="569">
        <v>7.19</v>
      </c>
      <c r="E62" s="569">
        <v>7.5</v>
      </c>
      <c r="F62" s="569" t="s">
        <v>23802</v>
      </c>
      <c r="G62" s="73">
        <v>0</v>
      </c>
      <c r="H62" s="569" t="s">
        <v>1628</v>
      </c>
      <c r="I62" s="569" t="s">
        <v>23629</v>
      </c>
      <c r="J62" s="531">
        <v>1556198.21</v>
      </c>
    </row>
    <row r="63" spans="1:10" ht="45">
      <c r="A63" s="22" t="s">
        <v>1920</v>
      </c>
      <c r="B63" s="26" t="s">
        <v>23809</v>
      </c>
      <c r="C63" s="569" t="s">
        <v>23810</v>
      </c>
      <c r="D63" s="569">
        <v>7.19</v>
      </c>
      <c r="E63" s="569">
        <v>8</v>
      </c>
      <c r="F63" s="569" t="s">
        <v>23799</v>
      </c>
      <c r="G63" s="73">
        <v>0</v>
      </c>
      <c r="H63" s="569" t="s">
        <v>1628</v>
      </c>
      <c r="I63" s="569" t="s">
        <v>23629</v>
      </c>
      <c r="J63" s="531">
        <v>2358612.91</v>
      </c>
    </row>
    <row r="64" spans="1:10" ht="45">
      <c r="A64" s="22" t="s">
        <v>1920</v>
      </c>
      <c r="B64" s="26" t="s">
        <v>23809</v>
      </c>
      <c r="C64" s="569" t="s">
        <v>23811</v>
      </c>
      <c r="D64" s="569">
        <v>7.19</v>
      </c>
      <c r="E64" s="569">
        <v>8</v>
      </c>
      <c r="F64" s="569" t="s">
        <v>23799</v>
      </c>
      <c r="G64" s="73">
        <v>0</v>
      </c>
      <c r="H64" s="569" t="s">
        <v>1628</v>
      </c>
      <c r="I64" s="569" t="s">
        <v>23629</v>
      </c>
      <c r="J64" s="531">
        <v>2046562.7448987623</v>
      </c>
    </row>
    <row r="65" spans="1:10" ht="45">
      <c r="A65" s="22" t="s">
        <v>1920</v>
      </c>
      <c r="B65" s="26" t="s">
        <v>23809</v>
      </c>
      <c r="C65" s="569" t="s">
        <v>23812</v>
      </c>
      <c r="D65" s="569">
        <v>7.19</v>
      </c>
      <c r="E65" s="569">
        <v>9</v>
      </c>
      <c r="F65" s="569" t="s">
        <v>23813</v>
      </c>
      <c r="G65" s="73">
        <v>0</v>
      </c>
      <c r="H65" s="569" t="s">
        <v>1628</v>
      </c>
      <c r="I65" s="569" t="s">
        <v>23814</v>
      </c>
      <c r="J65" s="531">
        <v>155000000</v>
      </c>
    </row>
    <row r="66" spans="1:10" ht="45">
      <c r="A66" s="22" t="s">
        <v>1920</v>
      </c>
      <c r="B66" s="26" t="s">
        <v>23809</v>
      </c>
      <c r="C66" s="569" t="s">
        <v>23815</v>
      </c>
      <c r="D66" s="569">
        <v>7.19</v>
      </c>
      <c r="E66" s="569">
        <v>9</v>
      </c>
      <c r="F66" s="569" t="s">
        <v>23816</v>
      </c>
      <c r="G66" s="73">
        <v>0</v>
      </c>
      <c r="H66" s="569" t="s">
        <v>1628</v>
      </c>
      <c r="I66" s="569" t="s">
        <v>23814</v>
      </c>
      <c r="J66" s="531">
        <v>160000000</v>
      </c>
    </row>
    <row r="67" spans="1:10" ht="33.75">
      <c r="A67" s="22">
        <v>0</v>
      </c>
      <c r="B67" s="26">
        <v>0</v>
      </c>
      <c r="C67" s="569" t="s">
        <v>23817</v>
      </c>
      <c r="D67" s="569">
        <v>3.44</v>
      </c>
      <c r="E67" s="569">
        <v>0</v>
      </c>
      <c r="F67" s="569" t="s">
        <v>23564</v>
      </c>
      <c r="G67" s="73">
        <v>0</v>
      </c>
      <c r="H67" s="569">
        <v>1</v>
      </c>
      <c r="I67" s="569" t="s">
        <v>23565</v>
      </c>
      <c r="J67" s="531">
        <v>1077500</v>
      </c>
    </row>
    <row r="68" spans="1:10" ht="33.75">
      <c r="A68" s="22">
        <v>0</v>
      </c>
      <c r="B68" s="26">
        <v>0</v>
      </c>
      <c r="C68" s="569" t="s">
        <v>23818</v>
      </c>
      <c r="D68" s="569">
        <v>3.82</v>
      </c>
      <c r="E68" s="569">
        <v>0</v>
      </c>
      <c r="F68" s="569" t="s">
        <v>23564</v>
      </c>
      <c r="G68" s="73">
        <v>0</v>
      </c>
      <c r="H68" s="569">
        <v>1</v>
      </c>
      <c r="I68" s="569" t="s">
        <v>23565</v>
      </c>
      <c r="J68" s="531">
        <v>1077500</v>
      </c>
    </row>
    <row r="69" spans="1:10" ht="33.75">
      <c r="A69" s="22">
        <v>0</v>
      </c>
      <c r="B69" s="26">
        <v>0</v>
      </c>
      <c r="C69" s="569" t="s">
        <v>23819</v>
      </c>
      <c r="D69" s="569">
        <v>10.215</v>
      </c>
      <c r="E69" s="569">
        <v>0</v>
      </c>
      <c r="F69" s="569" t="s">
        <v>23564</v>
      </c>
      <c r="G69" s="73">
        <v>0</v>
      </c>
      <c r="H69" s="569">
        <v>1</v>
      </c>
      <c r="I69" s="569" t="s">
        <v>23565</v>
      </c>
      <c r="J69" s="531">
        <v>1508500</v>
      </c>
    </row>
    <row r="70" spans="1:10" ht="33.75">
      <c r="A70" s="22">
        <v>0</v>
      </c>
      <c r="B70" s="26">
        <v>0</v>
      </c>
      <c r="C70" s="569" t="s">
        <v>23820</v>
      </c>
      <c r="D70" s="569">
        <v>5.7949999999999999</v>
      </c>
      <c r="E70" s="569">
        <v>0</v>
      </c>
      <c r="F70" s="569" t="s">
        <v>23564</v>
      </c>
      <c r="G70" s="73">
        <v>0</v>
      </c>
      <c r="H70" s="569">
        <v>1</v>
      </c>
      <c r="I70" s="569" t="s">
        <v>23565</v>
      </c>
      <c r="J70" s="531">
        <v>431000</v>
      </c>
    </row>
    <row r="71" spans="1:10" ht="33.75">
      <c r="A71" s="22">
        <v>0</v>
      </c>
      <c r="B71" s="26">
        <v>0</v>
      </c>
      <c r="C71" s="569" t="s">
        <v>23821</v>
      </c>
      <c r="D71" s="569">
        <v>2.0649999999999999</v>
      </c>
      <c r="E71" s="569">
        <v>0</v>
      </c>
      <c r="F71" s="569" t="s">
        <v>23564</v>
      </c>
      <c r="G71" s="73">
        <v>0</v>
      </c>
      <c r="H71" s="569">
        <v>1</v>
      </c>
      <c r="I71" s="569" t="s">
        <v>23565</v>
      </c>
      <c r="J71" s="531">
        <v>431000</v>
      </c>
    </row>
    <row r="72" spans="1:10" ht="33.75">
      <c r="A72" s="22">
        <v>0</v>
      </c>
      <c r="B72" s="26">
        <v>0</v>
      </c>
      <c r="C72" s="569" t="s">
        <v>23822</v>
      </c>
      <c r="D72" s="569">
        <v>4.2050000000000001</v>
      </c>
      <c r="E72" s="569">
        <v>0</v>
      </c>
      <c r="F72" s="569" t="s">
        <v>23564</v>
      </c>
      <c r="G72" s="73">
        <v>0</v>
      </c>
      <c r="H72" s="569">
        <v>1</v>
      </c>
      <c r="I72" s="569" t="s">
        <v>23565</v>
      </c>
      <c r="J72" s="531">
        <v>5387500</v>
      </c>
    </row>
    <row r="73" spans="1:10" ht="15.75">
      <c r="A73" s="1013" t="s">
        <v>189</v>
      </c>
      <c r="B73" s="1014"/>
      <c r="C73" s="1014"/>
      <c r="D73" s="1014"/>
      <c r="E73" s="1014"/>
      <c r="F73" s="1014"/>
      <c r="G73" s="550">
        <f>SUM(G11:G72)</f>
        <v>13048648390.923185</v>
      </c>
      <c r="H73" s="564"/>
      <c r="I73" s="564"/>
      <c r="J73" s="626">
        <f>SUM(J11:J72)</f>
        <v>17890988031.617973</v>
      </c>
    </row>
    <row r="74" spans="1:10" ht="15.75">
      <c r="A74" s="1013" t="s">
        <v>1921</v>
      </c>
      <c r="B74" s="1014"/>
      <c r="C74" s="1014"/>
      <c r="D74" s="1014"/>
      <c r="E74" s="1014"/>
      <c r="F74" s="1014"/>
      <c r="G74" s="1014"/>
      <c r="H74" s="1014"/>
      <c r="I74" s="1014"/>
      <c r="J74" s="1015"/>
    </row>
    <row r="75" spans="1:10" ht="33.75">
      <c r="A75" s="27" t="s">
        <v>2348</v>
      </c>
      <c r="B75" s="300" t="s">
        <v>2349</v>
      </c>
      <c r="C75" s="569" t="s">
        <v>2350</v>
      </c>
      <c r="D75" s="569">
        <v>0.06</v>
      </c>
      <c r="E75" s="569">
        <v>15</v>
      </c>
      <c r="F75" s="569" t="s">
        <v>2351</v>
      </c>
      <c r="G75" s="73">
        <v>8000000</v>
      </c>
      <c r="H75" s="569" t="s">
        <v>1628</v>
      </c>
      <c r="I75" s="569" t="s">
        <v>2352</v>
      </c>
      <c r="J75" s="531">
        <v>450000000</v>
      </c>
    </row>
    <row r="76" spans="1:10" ht="33.75">
      <c r="A76" s="27" t="s">
        <v>2348</v>
      </c>
      <c r="B76" s="300" t="s">
        <v>2353</v>
      </c>
      <c r="C76" s="569" t="s">
        <v>2354</v>
      </c>
      <c r="D76" s="569">
        <v>2.5000000000000001E-2</v>
      </c>
      <c r="E76" s="569">
        <v>8</v>
      </c>
      <c r="F76" s="569" t="s">
        <v>2355</v>
      </c>
      <c r="G76" s="73">
        <v>5000000</v>
      </c>
      <c r="H76" s="569" t="s">
        <v>1628</v>
      </c>
      <c r="I76" s="569" t="s">
        <v>2352</v>
      </c>
      <c r="J76" s="531">
        <v>150000000</v>
      </c>
    </row>
    <row r="77" spans="1:10" ht="33.75">
      <c r="A77" s="27" t="s">
        <v>2348</v>
      </c>
      <c r="B77" s="300" t="s">
        <v>2353</v>
      </c>
      <c r="C77" s="569" t="s">
        <v>2356</v>
      </c>
      <c r="D77" s="569">
        <v>0.02</v>
      </c>
      <c r="E77" s="569">
        <v>8</v>
      </c>
      <c r="F77" s="569" t="s">
        <v>2355</v>
      </c>
      <c r="G77" s="73">
        <v>5000000</v>
      </c>
      <c r="H77" s="569" t="s">
        <v>1628</v>
      </c>
      <c r="I77" s="569" t="s">
        <v>2352</v>
      </c>
      <c r="J77" s="531">
        <v>150000000</v>
      </c>
    </row>
    <row r="78" spans="1:10" ht="45">
      <c r="A78" s="27" t="s">
        <v>2357</v>
      </c>
      <c r="B78" s="300" t="s">
        <v>2358</v>
      </c>
      <c r="C78" s="569" t="s">
        <v>2359</v>
      </c>
      <c r="D78" s="569">
        <v>0.06</v>
      </c>
      <c r="E78" s="569">
        <v>20</v>
      </c>
      <c r="F78" s="569" t="s">
        <v>2351</v>
      </c>
      <c r="G78" s="73">
        <v>4000000</v>
      </c>
      <c r="H78" s="569" t="s">
        <v>1628</v>
      </c>
      <c r="I78" s="569" t="s">
        <v>2352</v>
      </c>
      <c r="J78" s="531">
        <v>300000000</v>
      </c>
    </row>
    <row r="79" spans="1:10" ht="45">
      <c r="A79" s="27" t="s">
        <v>2357</v>
      </c>
      <c r="B79" s="300" t="s">
        <v>2358</v>
      </c>
      <c r="C79" s="569" t="s">
        <v>2360</v>
      </c>
      <c r="D79" s="569">
        <v>1.4999999999999999E-2</v>
      </c>
      <c r="E79" s="569">
        <v>8</v>
      </c>
      <c r="F79" s="569" t="s">
        <v>2351</v>
      </c>
      <c r="G79" s="73">
        <v>20000000</v>
      </c>
      <c r="H79" s="569"/>
      <c r="I79" s="569" t="s">
        <v>2361</v>
      </c>
      <c r="J79" s="531">
        <v>70000000</v>
      </c>
    </row>
    <row r="80" spans="1:10" ht="45">
      <c r="A80" s="27" t="s">
        <v>2357</v>
      </c>
      <c r="B80" s="300" t="s">
        <v>2358</v>
      </c>
      <c r="C80" s="569" t="s">
        <v>2362</v>
      </c>
      <c r="D80" s="569">
        <v>0.05</v>
      </c>
      <c r="E80" s="569">
        <v>30</v>
      </c>
      <c r="F80" s="569" t="s">
        <v>2351</v>
      </c>
      <c r="G80" s="73">
        <v>15000000</v>
      </c>
      <c r="H80" s="569" t="s">
        <v>1628</v>
      </c>
      <c r="I80" s="569" t="s">
        <v>2363</v>
      </c>
      <c r="J80" s="531">
        <v>350000000</v>
      </c>
    </row>
    <row r="81" spans="1:10" ht="33.75">
      <c r="A81" s="27" t="s">
        <v>2357</v>
      </c>
      <c r="B81" s="300" t="s">
        <v>2364</v>
      </c>
      <c r="C81" s="569" t="s">
        <v>2365</v>
      </c>
      <c r="D81" s="569">
        <v>30</v>
      </c>
      <c r="E81" s="569">
        <v>20</v>
      </c>
      <c r="F81" s="569" t="s">
        <v>2366</v>
      </c>
      <c r="G81" s="73">
        <v>7000000</v>
      </c>
      <c r="H81" s="569" t="s">
        <v>1628</v>
      </c>
      <c r="I81" s="569" t="s">
        <v>2367</v>
      </c>
      <c r="J81" s="531">
        <v>25000000</v>
      </c>
    </row>
    <row r="82" spans="1:10" ht="45">
      <c r="A82" s="27" t="s">
        <v>2368</v>
      </c>
      <c r="B82" s="300" t="s">
        <v>2369</v>
      </c>
      <c r="C82" s="569" t="s">
        <v>2370</v>
      </c>
      <c r="D82" s="569">
        <v>7</v>
      </c>
      <c r="E82" s="569">
        <v>5.5</v>
      </c>
      <c r="F82" s="569" t="s">
        <v>2371</v>
      </c>
      <c r="G82" s="73">
        <v>7000000</v>
      </c>
      <c r="H82" s="569"/>
      <c r="I82" s="569" t="s">
        <v>2372</v>
      </c>
      <c r="J82" s="531">
        <v>80000000</v>
      </c>
    </row>
    <row r="83" spans="1:10" ht="22.5">
      <c r="A83" s="27" t="s">
        <v>2368</v>
      </c>
      <c r="B83" s="300" t="s">
        <v>2369</v>
      </c>
      <c r="C83" s="569" t="s">
        <v>2373</v>
      </c>
      <c r="D83" s="569">
        <v>2</v>
      </c>
      <c r="E83" s="569">
        <v>5.5</v>
      </c>
      <c r="F83" s="569" t="s">
        <v>2371</v>
      </c>
      <c r="G83" s="554">
        <v>4300000</v>
      </c>
      <c r="H83" s="569"/>
      <c r="I83" s="569" t="s">
        <v>2372</v>
      </c>
      <c r="J83" s="531">
        <v>30000000</v>
      </c>
    </row>
    <row r="84" spans="1:10" ht="78.75">
      <c r="A84" s="27" t="s">
        <v>2374</v>
      </c>
      <c r="B84" s="300" t="s">
        <v>2375</v>
      </c>
      <c r="C84" s="569" t="s">
        <v>2376</v>
      </c>
      <c r="D84" s="569">
        <v>8</v>
      </c>
      <c r="E84" s="569">
        <v>5.5</v>
      </c>
      <c r="F84" s="569" t="s">
        <v>2371</v>
      </c>
      <c r="G84" s="554">
        <v>6500000</v>
      </c>
      <c r="H84" s="569"/>
      <c r="I84" s="569" t="s">
        <v>2372</v>
      </c>
      <c r="J84" s="531">
        <v>60000000</v>
      </c>
    </row>
    <row r="85" spans="1:10" ht="45">
      <c r="A85" s="22">
        <v>0</v>
      </c>
      <c r="B85" s="26" t="s">
        <v>5076</v>
      </c>
      <c r="C85" s="569" t="s">
        <v>24399</v>
      </c>
      <c r="D85" s="569">
        <v>10.69</v>
      </c>
      <c r="E85" s="569">
        <v>7</v>
      </c>
      <c r="F85" s="569" t="s">
        <v>23962</v>
      </c>
      <c r="G85" s="73">
        <v>0</v>
      </c>
      <c r="H85" s="569">
        <v>1</v>
      </c>
      <c r="I85" s="569" t="s">
        <v>23963</v>
      </c>
      <c r="J85" s="531">
        <v>650000</v>
      </c>
    </row>
    <row r="86" spans="1:10" ht="33.75">
      <c r="A86" s="22">
        <v>0</v>
      </c>
      <c r="B86" s="26" t="s">
        <v>1764</v>
      </c>
      <c r="C86" s="569" t="s">
        <v>24400</v>
      </c>
      <c r="D86" s="569">
        <v>13.5</v>
      </c>
      <c r="E86" s="569">
        <v>5</v>
      </c>
      <c r="F86" s="569" t="s">
        <v>24401</v>
      </c>
      <c r="G86" s="73">
        <v>40000000</v>
      </c>
      <c r="H86" s="569">
        <v>1</v>
      </c>
      <c r="I86" s="569" t="s">
        <v>24402</v>
      </c>
      <c r="J86" s="531">
        <v>250000000</v>
      </c>
    </row>
    <row r="87" spans="1:10" ht="33.75">
      <c r="A87" s="22">
        <v>0</v>
      </c>
      <c r="B87" s="26" t="s">
        <v>24403</v>
      </c>
      <c r="C87" s="569" t="s">
        <v>24404</v>
      </c>
      <c r="D87" s="569">
        <v>21.215</v>
      </c>
      <c r="E87" s="569">
        <v>6</v>
      </c>
      <c r="F87" s="569" t="s">
        <v>23962</v>
      </c>
      <c r="G87" s="73">
        <v>0</v>
      </c>
      <c r="H87" s="569">
        <v>1</v>
      </c>
      <c r="I87" s="569" t="s">
        <v>24405</v>
      </c>
      <c r="J87" s="531">
        <v>11000000</v>
      </c>
    </row>
    <row r="88" spans="1:10" customFormat="1" ht="45">
      <c r="A88" s="22">
        <v>0</v>
      </c>
      <c r="B88" s="26" t="s">
        <v>24406</v>
      </c>
      <c r="C88" s="569" t="s">
        <v>24407</v>
      </c>
      <c r="D88" s="569">
        <v>11.68</v>
      </c>
      <c r="E88" s="569">
        <v>6.5</v>
      </c>
      <c r="F88" s="569" t="s">
        <v>4846</v>
      </c>
      <c r="G88" s="73">
        <v>0</v>
      </c>
      <c r="H88" s="569">
        <v>1</v>
      </c>
      <c r="I88" s="569" t="s">
        <v>23963</v>
      </c>
      <c r="J88" s="531">
        <v>2500000</v>
      </c>
    </row>
    <row r="89" spans="1:10" ht="45">
      <c r="A89" s="22">
        <v>0</v>
      </c>
      <c r="B89" s="26" t="s">
        <v>24408</v>
      </c>
      <c r="C89" s="569" t="s">
        <v>24409</v>
      </c>
      <c r="D89" s="569">
        <v>8.5500000000000007</v>
      </c>
      <c r="E89" s="569">
        <v>6</v>
      </c>
      <c r="F89" s="569" t="s">
        <v>23962</v>
      </c>
      <c r="G89" s="73">
        <v>0</v>
      </c>
      <c r="H89" s="569">
        <v>1</v>
      </c>
      <c r="I89" s="569" t="s">
        <v>23963</v>
      </c>
      <c r="J89" s="531">
        <v>1250000</v>
      </c>
    </row>
    <row r="90" spans="1:10" ht="22.5">
      <c r="A90" s="22">
        <v>0</v>
      </c>
      <c r="B90" s="26" t="s">
        <v>24410</v>
      </c>
      <c r="C90" s="569" t="s">
        <v>24411</v>
      </c>
      <c r="D90" s="569">
        <v>5.03</v>
      </c>
      <c r="E90" s="569">
        <v>6</v>
      </c>
      <c r="F90" s="569" t="s">
        <v>23962</v>
      </c>
      <c r="G90" s="73">
        <v>0</v>
      </c>
      <c r="H90" s="569">
        <v>1</v>
      </c>
      <c r="I90" s="569" t="s">
        <v>23963</v>
      </c>
      <c r="J90" s="531">
        <v>1500000</v>
      </c>
    </row>
    <row r="91" spans="1:10" ht="22.5">
      <c r="A91" s="22">
        <v>0</v>
      </c>
      <c r="B91" s="26" t="s">
        <v>4407</v>
      </c>
      <c r="C91" s="569" t="s">
        <v>24412</v>
      </c>
      <c r="D91" s="569">
        <v>4.4749999999999996</v>
      </c>
      <c r="E91" s="569">
        <v>6</v>
      </c>
      <c r="F91" s="569" t="s">
        <v>23962</v>
      </c>
      <c r="G91" s="73">
        <v>0</v>
      </c>
      <c r="H91" s="569">
        <v>1</v>
      </c>
      <c r="I91" s="569" t="s">
        <v>23963</v>
      </c>
      <c r="J91" s="531">
        <v>850000</v>
      </c>
    </row>
    <row r="92" spans="1:10" ht="45">
      <c r="A92" s="22">
        <v>0</v>
      </c>
      <c r="B92" s="26" t="s">
        <v>24413</v>
      </c>
      <c r="C92" s="569" t="s">
        <v>24414</v>
      </c>
      <c r="D92" s="569">
        <v>11.68</v>
      </c>
      <c r="E92" s="569">
        <v>5</v>
      </c>
      <c r="F92" s="569" t="s">
        <v>24415</v>
      </c>
      <c r="G92" s="73">
        <v>3500000</v>
      </c>
      <c r="H92" s="569">
        <v>1</v>
      </c>
      <c r="I92" s="569" t="s">
        <v>24416</v>
      </c>
      <c r="J92" s="531">
        <v>1719000000</v>
      </c>
    </row>
    <row r="93" spans="1:10" ht="45">
      <c r="A93" s="22">
        <v>0</v>
      </c>
      <c r="B93" s="26" t="s">
        <v>891</v>
      </c>
      <c r="C93" s="569" t="s">
        <v>24417</v>
      </c>
      <c r="D93" s="569">
        <v>4.2750000000000004</v>
      </c>
      <c r="E93" s="569">
        <v>15</v>
      </c>
      <c r="F93" s="569" t="s">
        <v>23972</v>
      </c>
      <c r="G93" s="73">
        <v>0</v>
      </c>
      <c r="H93" s="569">
        <v>1</v>
      </c>
      <c r="I93" s="569" t="s">
        <v>23562</v>
      </c>
      <c r="J93" s="531">
        <v>45000000</v>
      </c>
    </row>
    <row r="94" spans="1:10" ht="33.75">
      <c r="A94" s="22">
        <v>0</v>
      </c>
      <c r="B94" s="26" t="s">
        <v>24418</v>
      </c>
      <c r="C94" s="569" t="s">
        <v>24419</v>
      </c>
      <c r="D94" s="569">
        <v>10.01</v>
      </c>
      <c r="E94" s="569">
        <v>35</v>
      </c>
      <c r="F94" s="569" t="s">
        <v>23972</v>
      </c>
      <c r="G94" s="73">
        <v>0</v>
      </c>
      <c r="H94" s="569">
        <v>1</v>
      </c>
      <c r="I94" s="569" t="s">
        <v>23562</v>
      </c>
      <c r="J94" s="531">
        <v>90000000</v>
      </c>
    </row>
    <row r="95" spans="1:10" ht="15.75">
      <c r="A95" s="1013" t="s">
        <v>189</v>
      </c>
      <c r="B95" s="1014"/>
      <c r="C95" s="1014"/>
      <c r="D95" s="1014"/>
      <c r="E95" s="1014"/>
      <c r="F95" s="1014"/>
      <c r="G95" s="550">
        <f>SUM(G75:G94)</f>
        <v>125300000</v>
      </c>
      <c r="H95" s="564"/>
      <c r="I95" s="564"/>
      <c r="J95" s="626">
        <f>SUM(J75:J94)</f>
        <v>3786750000</v>
      </c>
    </row>
    <row r="96" spans="1:10" ht="15.75">
      <c r="A96" s="1013" t="s">
        <v>1787</v>
      </c>
      <c r="B96" s="1014"/>
      <c r="C96" s="1014"/>
      <c r="D96" s="1014"/>
      <c r="E96" s="1014"/>
      <c r="F96" s="1014"/>
      <c r="G96" s="1014"/>
      <c r="H96" s="1014"/>
      <c r="I96" s="1014"/>
      <c r="J96" s="1015"/>
    </row>
    <row r="97" spans="1:10" ht="22.5">
      <c r="A97" s="22" t="s">
        <v>1788</v>
      </c>
      <c r="B97" s="26" t="s">
        <v>891</v>
      </c>
      <c r="C97" s="63" t="s">
        <v>1789</v>
      </c>
      <c r="D97" s="63">
        <v>2.4</v>
      </c>
      <c r="E97" s="577">
        <v>3.2</v>
      </c>
      <c r="F97" s="569" t="s">
        <v>1790</v>
      </c>
      <c r="G97" s="528">
        <v>4000000</v>
      </c>
      <c r="H97" s="569">
        <v>3</v>
      </c>
      <c r="I97" s="569" t="s">
        <v>1791</v>
      </c>
      <c r="J97" s="533">
        <v>5760000</v>
      </c>
    </row>
    <row r="98" spans="1:10" ht="22.5">
      <c r="A98" s="22" t="s">
        <v>1792</v>
      </c>
      <c r="B98" s="26" t="s">
        <v>1793</v>
      </c>
      <c r="C98" s="63" t="s">
        <v>1794</v>
      </c>
      <c r="D98" s="569">
        <v>2.5499999999999998</v>
      </c>
      <c r="E98" s="569">
        <v>4.5</v>
      </c>
      <c r="F98" s="569" t="s">
        <v>1790</v>
      </c>
      <c r="G98" s="528">
        <v>2000000</v>
      </c>
      <c r="H98" s="569">
        <v>3</v>
      </c>
      <c r="I98" s="569" t="s">
        <v>1791</v>
      </c>
      <c r="J98" s="533">
        <v>6454687.5</v>
      </c>
    </row>
    <row r="99" spans="1:10" ht="22.5">
      <c r="A99" s="22" t="s">
        <v>1792</v>
      </c>
      <c r="B99" s="26" t="s">
        <v>1795</v>
      </c>
      <c r="C99" s="569" t="s">
        <v>1796</v>
      </c>
      <c r="D99" s="569">
        <v>2.44</v>
      </c>
      <c r="E99" s="64">
        <v>4</v>
      </c>
      <c r="F99" s="569" t="s">
        <v>1790</v>
      </c>
      <c r="G99" s="528">
        <v>3000000</v>
      </c>
      <c r="H99" s="569">
        <v>3</v>
      </c>
      <c r="I99" s="569" t="s">
        <v>1791</v>
      </c>
      <c r="J99" s="533">
        <v>5490000</v>
      </c>
    </row>
    <row r="100" spans="1:10" ht="22.5">
      <c r="A100" s="22" t="s">
        <v>1792</v>
      </c>
      <c r="B100" s="26" t="s">
        <v>1707</v>
      </c>
      <c r="C100" s="569" t="s">
        <v>1797</v>
      </c>
      <c r="D100" s="569">
        <v>1.33</v>
      </c>
      <c r="E100" s="569">
        <v>4.2</v>
      </c>
      <c r="F100" s="569" t="s">
        <v>1790</v>
      </c>
      <c r="G100" s="528">
        <v>1500000</v>
      </c>
      <c r="H100" s="569">
        <v>3</v>
      </c>
      <c r="I100" s="569" t="s">
        <v>1791</v>
      </c>
      <c r="J100" s="533">
        <v>4189500.0000000005</v>
      </c>
    </row>
    <row r="101" spans="1:10" ht="22.5">
      <c r="A101" s="22" t="s">
        <v>57</v>
      </c>
      <c r="B101" s="26" t="s">
        <v>1798</v>
      </c>
      <c r="C101" s="569" t="s">
        <v>1799</v>
      </c>
      <c r="D101" s="64">
        <v>1.26</v>
      </c>
      <c r="E101" s="569">
        <v>3.5</v>
      </c>
      <c r="F101" s="569" t="s">
        <v>1790</v>
      </c>
      <c r="G101" s="528">
        <v>1000000</v>
      </c>
      <c r="H101" s="569">
        <v>3</v>
      </c>
      <c r="I101" s="569" t="s">
        <v>1791</v>
      </c>
      <c r="J101" s="533">
        <v>3307500.0000000005</v>
      </c>
    </row>
    <row r="102" spans="1:10" ht="22.5">
      <c r="A102" s="22" t="s">
        <v>1788</v>
      </c>
      <c r="B102" s="26" t="s">
        <v>1800</v>
      </c>
      <c r="C102" s="569" t="s">
        <v>1801</v>
      </c>
      <c r="D102" s="64">
        <v>0.78</v>
      </c>
      <c r="E102" s="569">
        <v>3.5</v>
      </c>
      <c r="F102" s="569" t="s">
        <v>1790</v>
      </c>
      <c r="G102" s="528">
        <v>500000</v>
      </c>
      <c r="H102" s="569">
        <v>3</v>
      </c>
      <c r="I102" s="569" t="s">
        <v>1791</v>
      </c>
      <c r="J102" s="533">
        <v>3071250</v>
      </c>
    </row>
    <row r="103" spans="1:10" ht="22.5">
      <c r="A103" s="22" t="s">
        <v>1788</v>
      </c>
      <c r="B103" s="26" t="s">
        <v>1802</v>
      </c>
      <c r="C103" s="569" t="s">
        <v>1803</v>
      </c>
      <c r="D103" s="64">
        <v>3.39</v>
      </c>
      <c r="E103" s="569">
        <v>3.7</v>
      </c>
      <c r="F103" s="569" t="s">
        <v>1790</v>
      </c>
      <c r="G103" s="528">
        <v>5000000</v>
      </c>
      <c r="H103" s="569">
        <v>3</v>
      </c>
      <c r="I103" s="569" t="s">
        <v>1791</v>
      </c>
      <c r="J103" s="533">
        <v>2351812.5</v>
      </c>
    </row>
    <row r="104" spans="1:10" ht="22.5">
      <c r="A104" s="22" t="s">
        <v>1792</v>
      </c>
      <c r="B104" s="26" t="s">
        <v>1804</v>
      </c>
      <c r="C104" s="569" t="s">
        <v>1805</v>
      </c>
      <c r="D104" s="64">
        <v>12.15</v>
      </c>
      <c r="E104" s="569">
        <v>3.3</v>
      </c>
      <c r="F104" s="569" t="s">
        <v>1790</v>
      </c>
      <c r="G104" s="528">
        <v>3000000</v>
      </c>
      <c r="H104" s="569">
        <v>3</v>
      </c>
      <c r="I104" s="569" t="s">
        <v>1791</v>
      </c>
      <c r="J104" s="533">
        <v>3007125</v>
      </c>
    </row>
    <row r="105" spans="1:10" ht="22.5">
      <c r="A105" s="22" t="s">
        <v>1792</v>
      </c>
      <c r="B105" s="26" t="s">
        <v>1806</v>
      </c>
      <c r="C105" s="569" t="s">
        <v>1807</v>
      </c>
      <c r="D105" s="64">
        <v>5.9</v>
      </c>
      <c r="E105" s="569">
        <v>5</v>
      </c>
      <c r="F105" s="569" t="s">
        <v>1790</v>
      </c>
      <c r="G105" s="528">
        <v>8000000</v>
      </c>
      <c r="H105" s="569">
        <v>3</v>
      </c>
      <c r="I105" s="569" t="s">
        <v>1791</v>
      </c>
      <c r="J105" s="533">
        <v>2212500</v>
      </c>
    </row>
    <row r="106" spans="1:10" ht="22.5">
      <c r="A106" s="22" t="s">
        <v>1792</v>
      </c>
      <c r="B106" s="26" t="s">
        <v>1808</v>
      </c>
      <c r="C106" s="569" t="s">
        <v>1809</v>
      </c>
      <c r="D106" s="64">
        <v>2.2000000000000002</v>
      </c>
      <c r="E106" s="569">
        <v>3.3</v>
      </c>
      <c r="F106" s="569" t="s">
        <v>1790</v>
      </c>
      <c r="G106" s="528">
        <v>2500000</v>
      </c>
      <c r="H106" s="569">
        <v>3</v>
      </c>
      <c r="I106" s="569" t="s">
        <v>1791</v>
      </c>
      <c r="J106" s="533">
        <v>5445000</v>
      </c>
    </row>
    <row r="107" spans="1:10" ht="22.5">
      <c r="A107" s="22" t="s">
        <v>1792</v>
      </c>
      <c r="B107" s="26" t="s">
        <v>1810</v>
      </c>
      <c r="C107" s="569" t="s">
        <v>1811</v>
      </c>
      <c r="D107" s="64">
        <v>1</v>
      </c>
      <c r="E107" s="569">
        <v>3.4</v>
      </c>
      <c r="F107" s="569" t="s">
        <v>1790</v>
      </c>
      <c r="G107" s="528">
        <v>1500000</v>
      </c>
      <c r="H107" s="569">
        <v>3</v>
      </c>
      <c r="I107" s="569" t="s">
        <v>1791</v>
      </c>
      <c r="J107" s="533">
        <v>2550000</v>
      </c>
    </row>
    <row r="108" spans="1:10" ht="22.5">
      <c r="A108" s="22" t="s">
        <v>1792</v>
      </c>
      <c r="B108" s="26" t="s">
        <v>1808</v>
      </c>
      <c r="C108" s="569" t="s">
        <v>1812</v>
      </c>
      <c r="D108" s="64">
        <v>0.76600000000000001</v>
      </c>
      <c r="E108" s="569">
        <v>3</v>
      </c>
      <c r="F108" s="569" t="s">
        <v>1790</v>
      </c>
      <c r="G108" s="528">
        <v>2500000</v>
      </c>
      <c r="H108" s="569">
        <v>3</v>
      </c>
      <c r="I108" s="569" t="s">
        <v>1791</v>
      </c>
      <c r="J108" s="533">
        <v>1723500</v>
      </c>
    </row>
    <row r="109" spans="1:10" ht="22.5">
      <c r="A109" s="22" t="s">
        <v>1792</v>
      </c>
      <c r="B109" s="26" t="s">
        <v>1813</v>
      </c>
      <c r="C109" s="569" t="s">
        <v>1814</v>
      </c>
      <c r="D109" s="64">
        <v>8.74</v>
      </c>
      <c r="E109" s="569">
        <v>5</v>
      </c>
      <c r="F109" s="569" t="s">
        <v>1790</v>
      </c>
      <c r="G109" s="528">
        <v>3000000</v>
      </c>
      <c r="H109" s="569">
        <v>3</v>
      </c>
      <c r="I109" s="569" t="s">
        <v>1791</v>
      </c>
      <c r="J109" s="533">
        <v>24581250</v>
      </c>
    </row>
    <row r="110" spans="1:10" ht="22.5">
      <c r="A110" s="22" t="s">
        <v>1792</v>
      </c>
      <c r="B110" s="26" t="s">
        <v>1815</v>
      </c>
      <c r="C110" s="569" t="s">
        <v>1816</v>
      </c>
      <c r="D110" s="64">
        <v>1.5</v>
      </c>
      <c r="E110" s="569">
        <v>3.4</v>
      </c>
      <c r="F110" s="569" t="s">
        <v>1790</v>
      </c>
      <c r="G110" s="528">
        <v>1500000</v>
      </c>
      <c r="H110" s="569">
        <v>3</v>
      </c>
      <c r="I110" s="569" t="s">
        <v>1791</v>
      </c>
      <c r="J110" s="533">
        <v>2868750</v>
      </c>
    </row>
    <row r="111" spans="1:10" ht="22.5">
      <c r="A111" s="22" t="s">
        <v>1792</v>
      </c>
      <c r="B111" s="26" t="s">
        <v>1817</v>
      </c>
      <c r="C111" s="569" t="s">
        <v>1818</v>
      </c>
      <c r="D111" s="64">
        <v>1</v>
      </c>
      <c r="E111" s="569">
        <v>4.3</v>
      </c>
      <c r="F111" s="569" t="s">
        <v>1790</v>
      </c>
      <c r="G111" s="528">
        <v>1500000</v>
      </c>
      <c r="H111" s="569">
        <v>3</v>
      </c>
      <c r="I111" s="569" t="s">
        <v>1791</v>
      </c>
      <c r="J111" s="533">
        <v>2418750</v>
      </c>
    </row>
    <row r="112" spans="1:10" ht="22.5">
      <c r="A112" s="22" t="s">
        <v>1792</v>
      </c>
      <c r="B112" s="26" t="s">
        <v>1819</v>
      </c>
      <c r="C112" s="569" t="s">
        <v>1820</v>
      </c>
      <c r="D112" s="64">
        <v>0.65</v>
      </c>
      <c r="E112" s="569">
        <v>2.7</v>
      </c>
      <c r="F112" s="569" t="s">
        <v>1790</v>
      </c>
      <c r="G112" s="528">
        <v>1500000</v>
      </c>
      <c r="H112" s="569">
        <v>3</v>
      </c>
      <c r="I112" s="569" t="s">
        <v>1791</v>
      </c>
      <c r="J112" s="533">
        <v>1974374.9999999998</v>
      </c>
    </row>
    <row r="113" spans="1:10" ht="22.5">
      <c r="A113" s="22" t="s">
        <v>1792</v>
      </c>
      <c r="B113" s="26" t="s">
        <v>1821</v>
      </c>
      <c r="C113" s="569" t="s">
        <v>1822</v>
      </c>
      <c r="D113" s="64">
        <v>3.19</v>
      </c>
      <c r="E113" s="569">
        <v>4.5</v>
      </c>
      <c r="F113" s="569" t="s">
        <v>1790</v>
      </c>
      <c r="G113" s="528">
        <v>4000000</v>
      </c>
      <c r="H113" s="569">
        <v>3</v>
      </c>
      <c r="I113" s="569" t="s">
        <v>1791</v>
      </c>
      <c r="J113" s="533">
        <v>5383125</v>
      </c>
    </row>
    <row r="114" spans="1:10" ht="22.5">
      <c r="A114" s="22" t="s">
        <v>1792</v>
      </c>
      <c r="B114" s="26" t="s">
        <v>1804</v>
      </c>
      <c r="C114" s="569" t="s">
        <v>1823</v>
      </c>
      <c r="D114" s="64">
        <v>0.46</v>
      </c>
      <c r="E114" s="569">
        <v>3.4</v>
      </c>
      <c r="F114" s="569" t="s">
        <v>1790</v>
      </c>
      <c r="G114" s="528">
        <v>1000000</v>
      </c>
      <c r="H114" s="569">
        <v>3</v>
      </c>
      <c r="I114" s="569" t="s">
        <v>1791</v>
      </c>
      <c r="J114" s="533">
        <v>1759500</v>
      </c>
    </row>
    <row r="115" spans="1:10" ht="22.5">
      <c r="A115" s="22" t="s">
        <v>1792</v>
      </c>
      <c r="B115" s="26" t="s">
        <v>1824</v>
      </c>
      <c r="C115" s="569" t="s">
        <v>1825</v>
      </c>
      <c r="D115" s="64">
        <v>5.37</v>
      </c>
      <c r="E115" s="569">
        <v>3.5</v>
      </c>
      <c r="F115" s="569" t="s">
        <v>1790</v>
      </c>
      <c r="G115" s="528">
        <v>1000000</v>
      </c>
      <c r="H115" s="569">
        <v>3</v>
      </c>
      <c r="I115" s="569" t="s">
        <v>1791</v>
      </c>
      <c r="J115" s="533">
        <v>17620312.5</v>
      </c>
    </row>
    <row r="116" spans="1:10" ht="22.5">
      <c r="A116" s="22" t="s">
        <v>1792</v>
      </c>
      <c r="B116" s="26" t="s">
        <v>1804</v>
      </c>
      <c r="C116" s="569" t="s">
        <v>1826</v>
      </c>
      <c r="D116" s="64">
        <v>1.6</v>
      </c>
      <c r="E116" s="569">
        <v>2.5</v>
      </c>
      <c r="F116" s="569" t="s">
        <v>1790</v>
      </c>
      <c r="G116" s="528">
        <v>500000</v>
      </c>
      <c r="H116" s="569">
        <v>3</v>
      </c>
      <c r="I116" s="569" t="s">
        <v>1791</v>
      </c>
      <c r="J116" s="533">
        <v>1500000</v>
      </c>
    </row>
    <row r="117" spans="1:10" ht="22.5">
      <c r="A117" s="22" t="s">
        <v>1792</v>
      </c>
      <c r="B117" s="26" t="s">
        <v>1827</v>
      </c>
      <c r="C117" s="569" t="s">
        <v>1828</v>
      </c>
      <c r="D117" s="64">
        <v>2.2000000000000002</v>
      </c>
      <c r="E117" s="569">
        <v>3.5</v>
      </c>
      <c r="F117" s="569" t="s">
        <v>1790</v>
      </c>
      <c r="G117" s="528">
        <v>1000000</v>
      </c>
      <c r="H117" s="569">
        <v>3</v>
      </c>
      <c r="I117" s="569" t="s">
        <v>1791</v>
      </c>
      <c r="J117" s="533">
        <v>2887500</v>
      </c>
    </row>
    <row r="118" spans="1:10" ht="22.5">
      <c r="A118" s="22" t="s">
        <v>1788</v>
      </c>
      <c r="B118" s="26" t="s">
        <v>371</v>
      </c>
      <c r="C118" s="569" t="s">
        <v>1829</v>
      </c>
      <c r="D118" s="64">
        <v>7.4</v>
      </c>
      <c r="E118" s="569">
        <v>4.5999999999999996</v>
      </c>
      <c r="F118" s="569" t="s">
        <v>1790</v>
      </c>
      <c r="G118" s="528">
        <v>1000000</v>
      </c>
      <c r="H118" s="569">
        <v>3</v>
      </c>
      <c r="I118" s="569" t="s">
        <v>1791</v>
      </c>
      <c r="J118" s="533">
        <v>12765000</v>
      </c>
    </row>
    <row r="119" spans="1:10" ht="22.5">
      <c r="A119" s="22" t="s">
        <v>1788</v>
      </c>
      <c r="B119" s="26" t="s">
        <v>1166</v>
      </c>
      <c r="C119" s="569" t="s">
        <v>1830</v>
      </c>
      <c r="D119" s="64">
        <v>1.31</v>
      </c>
      <c r="E119" s="569">
        <v>3.3</v>
      </c>
      <c r="F119" s="569" t="s">
        <v>1790</v>
      </c>
      <c r="G119" s="528">
        <v>1500000</v>
      </c>
      <c r="H119" s="569">
        <v>3</v>
      </c>
      <c r="I119" s="569" t="s">
        <v>1791</v>
      </c>
      <c r="J119" s="533">
        <v>1621125</v>
      </c>
    </row>
    <row r="120" spans="1:10" ht="22.5">
      <c r="A120" s="22" t="s">
        <v>1788</v>
      </c>
      <c r="B120" s="26" t="s">
        <v>19</v>
      </c>
      <c r="C120" s="569" t="s">
        <v>1831</v>
      </c>
      <c r="D120" s="64">
        <v>3.61</v>
      </c>
      <c r="E120" s="569">
        <v>3.5</v>
      </c>
      <c r="F120" s="569" t="s">
        <v>1790</v>
      </c>
      <c r="G120" s="528">
        <v>2500000</v>
      </c>
      <c r="H120" s="569">
        <v>3</v>
      </c>
      <c r="I120" s="569" t="s">
        <v>1791</v>
      </c>
      <c r="J120" s="533">
        <v>4738125</v>
      </c>
    </row>
    <row r="121" spans="1:10" ht="22.5">
      <c r="A121" s="22" t="s">
        <v>1788</v>
      </c>
      <c r="B121" s="26" t="s">
        <v>1832</v>
      </c>
      <c r="C121" s="569" t="s">
        <v>1833</v>
      </c>
      <c r="D121" s="64">
        <v>4.57</v>
      </c>
      <c r="E121" s="569">
        <v>2.6</v>
      </c>
      <c r="F121" s="569" t="s">
        <v>1790</v>
      </c>
      <c r="G121" s="528">
        <v>6000000</v>
      </c>
      <c r="H121" s="569">
        <v>3</v>
      </c>
      <c r="I121" s="569" t="s">
        <v>1791</v>
      </c>
      <c r="J121" s="533">
        <v>13367249.999999998</v>
      </c>
    </row>
    <row r="122" spans="1:10" ht="22.5">
      <c r="A122" s="22" t="s">
        <v>1788</v>
      </c>
      <c r="B122" s="26" t="s">
        <v>19</v>
      </c>
      <c r="C122" s="569" t="s">
        <v>1834</v>
      </c>
      <c r="D122" s="64">
        <v>4.84</v>
      </c>
      <c r="E122" s="569">
        <v>3</v>
      </c>
      <c r="F122" s="569" t="s">
        <v>1790</v>
      </c>
      <c r="G122" s="528">
        <v>2500000</v>
      </c>
      <c r="H122" s="569">
        <v>3</v>
      </c>
      <c r="I122" s="569" t="s">
        <v>1791</v>
      </c>
      <c r="J122" s="533">
        <v>5445000</v>
      </c>
    </row>
    <row r="123" spans="1:10" ht="22.5">
      <c r="A123" s="22" t="s">
        <v>1788</v>
      </c>
      <c r="B123" s="26" t="s">
        <v>1658</v>
      </c>
      <c r="C123" s="569" t="s">
        <v>1835</v>
      </c>
      <c r="D123" s="64">
        <v>1.1599999999999999</v>
      </c>
      <c r="E123" s="569">
        <v>4.5</v>
      </c>
      <c r="F123" s="569" t="s">
        <v>1790</v>
      </c>
      <c r="G123" s="528">
        <v>1000000</v>
      </c>
      <c r="H123" s="569">
        <v>3</v>
      </c>
      <c r="I123" s="569" t="s">
        <v>1791</v>
      </c>
      <c r="J123" s="533">
        <v>1957500.0000000002</v>
      </c>
    </row>
    <row r="124" spans="1:10" ht="22.5">
      <c r="A124" s="22" t="s">
        <v>1792</v>
      </c>
      <c r="B124" s="26" t="s">
        <v>1819</v>
      </c>
      <c r="C124" s="569" t="s">
        <v>1836</v>
      </c>
      <c r="D124" s="64">
        <v>3.18</v>
      </c>
      <c r="E124" s="569">
        <v>3</v>
      </c>
      <c r="F124" s="569" t="s">
        <v>1790</v>
      </c>
      <c r="G124" s="528">
        <v>1000000</v>
      </c>
      <c r="H124" s="569">
        <v>3</v>
      </c>
      <c r="I124" s="569" t="s">
        <v>1791</v>
      </c>
      <c r="J124" s="533">
        <v>1788750</v>
      </c>
    </row>
    <row r="125" spans="1:10" ht="22.5">
      <c r="A125" s="22" t="s">
        <v>57</v>
      </c>
      <c r="B125" s="26" t="s">
        <v>1837</v>
      </c>
      <c r="C125" s="569" t="s">
        <v>1838</v>
      </c>
      <c r="D125" s="64">
        <v>9.6199999999999992</v>
      </c>
      <c r="E125" s="569">
        <v>7.2</v>
      </c>
      <c r="F125" s="569" t="s">
        <v>1790</v>
      </c>
      <c r="G125" s="528">
        <v>5000000</v>
      </c>
      <c r="H125" s="569">
        <v>3</v>
      </c>
      <c r="I125" s="569" t="s">
        <v>1791</v>
      </c>
      <c r="J125" s="533">
        <v>12987000</v>
      </c>
    </row>
    <row r="126" spans="1:10" ht="22.5">
      <c r="A126" s="22" t="s">
        <v>1788</v>
      </c>
      <c r="B126" s="26" t="s">
        <v>1839</v>
      </c>
      <c r="C126" s="569" t="s">
        <v>1840</v>
      </c>
      <c r="D126" s="64">
        <v>3.14</v>
      </c>
      <c r="E126" s="569">
        <v>3.7</v>
      </c>
      <c r="F126" s="569" t="s">
        <v>1790</v>
      </c>
      <c r="G126" s="528">
        <v>3500000</v>
      </c>
      <c r="H126" s="569">
        <v>3</v>
      </c>
      <c r="I126" s="569" t="s">
        <v>1791</v>
      </c>
      <c r="J126" s="533">
        <v>4356750</v>
      </c>
    </row>
    <row r="127" spans="1:10" ht="22.5">
      <c r="A127" s="22" t="s">
        <v>57</v>
      </c>
      <c r="B127" s="26" t="s">
        <v>1837</v>
      </c>
      <c r="C127" s="569" t="s">
        <v>1841</v>
      </c>
      <c r="D127" s="64">
        <v>2.68</v>
      </c>
      <c r="E127" s="569">
        <v>4.2</v>
      </c>
      <c r="F127" s="569" t="s">
        <v>1790</v>
      </c>
      <c r="G127" s="528">
        <v>5000000</v>
      </c>
      <c r="H127" s="569">
        <v>3</v>
      </c>
      <c r="I127" s="569" t="s">
        <v>1791</v>
      </c>
      <c r="J127" s="533">
        <v>4221000</v>
      </c>
    </row>
    <row r="128" spans="1:10" ht="22.5">
      <c r="A128" s="22" t="s">
        <v>1788</v>
      </c>
      <c r="B128" s="26" t="s">
        <v>1842</v>
      </c>
      <c r="C128" s="569" t="s">
        <v>1843</v>
      </c>
      <c r="D128" s="64">
        <v>2.5499999999999998</v>
      </c>
      <c r="E128" s="569">
        <v>3.4</v>
      </c>
      <c r="F128" s="569" t="s">
        <v>1790</v>
      </c>
      <c r="G128" s="528">
        <v>1000000</v>
      </c>
      <c r="H128" s="569">
        <v>3</v>
      </c>
      <c r="I128" s="569" t="s">
        <v>1791</v>
      </c>
      <c r="J128" s="533">
        <v>3251250.0000000005</v>
      </c>
    </row>
    <row r="129" spans="1:10" ht="22.5">
      <c r="A129" s="22" t="s">
        <v>57</v>
      </c>
      <c r="B129" s="26" t="s">
        <v>1844</v>
      </c>
      <c r="C129" s="569" t="s">
        <v>1845</v>
      </c>
      <c r="D129" s="64">
        <v>2.5299999999999998</v>
      </c>
      <c r="E129" s="569">
        <v>3.5</v>
      </c>
      <c r="F129" s="569" t="s">
        <v>1790</v>
      </c>
      <c r="G129" s="528">
        <v>6000000</v>
      </c>
      <c r="H129" s="569">
        <v>2</v>
      </c>
      <c r="I129" s="569" t="s">
        <v>1791</v>
      </c>
      <c r="J129" s="533">
        <v>6641250.0000000009</v>
      </c>
    </row>
    <row r="130" spans="1:10" ht="22.5">
      <c r="A130" s="22" t="s">
        <v>57</v>
      </c>
      <c r="B130" s="26" t="s">
        <v>1846</v>
      </c>
      <c r="C130" s="569" t="s">
        <v>1847</v>
      </c>
      <c r="D130" s="64">
        <v>0.74</v>
      </c>
      <c r="E130" s="569">
        <v>3</v>
      </c>
      <c r="F130" s="569" t="s">
        <v>1790</v>
      </c>
      <c r="G130" s="528">
        <v>1000000</v>
      </c>
      <c r="H130" s="569">
        <v>3</v>
      </c>
      <c r="I130" s="569" t="s">
        <v>1791</v>
      </c>
      <c r="J130" s="533">
        <v>1665000.0000000002</v>
      </c>
    </row>
    <row r="131" spans="1:10" ht="33.75">
      <c r="A131" s="22" t="s">
        <v>1788</v>
      </c>
      <c r="B131" s="26" t="s">
        <v>1848</v>
      </c>
      <c r="C131" s="569" t="s">
        <v>1849</v>
      </c>
      <c r="D131" s="64">
        <v>12.76</v>
      </c>
      <c r="E131" s="569">
        <v>3.4</v>
      </c>
      <c r="F131" s="569" t="s">
        <v>1850</v>
      </c>
      <c r="G131" s="528">
        <v>8000000</v>
      </c>
      <c r="H131" s="569">
        <v>2</v>
      </c>
      <c r="I131" s="569" t="s">
        <v>1851</v>
      </c>
      <c r="J131" s="533">
        <v>32538000</v>
      </c>
    </row>
    <row r="132" spans="1:10" ht="22.5">
      <c r="A132" s="22" t="s">
        <v>1788</v>
      </c>
      <c r="B132" s="26" t="s">
        <v>1852</v>
      </c>
      <c r="C132" s="569" t="s">
        <v>1853</v>
      </c>
      <c r="D132" s="64">
        <v>0.22800000000000001</v>
      </c>
      <c r="E132" s="569">
        <v>4.8</v>
      </c>
      <c r="F132" s="569" t="s">
        <v>1790</v>
      </c>
      <c r="G132" s="528">
        <v>500000</v>
      </c>
      <c r="H132" s="569">
        <v>3</v>
      </c>
      <c r="I132" s="569" t="s">
        <v>1791</v>
      </c>
      <c r="J132" s="533">
        <v>1231199.9999999998</v>
      </c>
    </row>
    <row r="133" spans="1:10" ht="22.5">
      <c r="A133" s="22" t="s">
        <v>1788</v>
      </c>
      <c r="B133" s="26" t="s">
        <v>1852</v>
      </c>
      <c r="C133" s="569" t="s">
        <v>1854</v>
      </c>
      <c r="D133" s="64">
        <v>0.7</v>
      </c>
      <c r="E133" s="569">
        <v>3</v>
      </c>
      <c r="F133" s="569" t="s">
        <v>1790</v>
      </c>
      <c r="G133" s="528">
        <v>500000</v>
      </c>
      <c r="H133" s="569">
        <v>3</v>
      </c>
      <c r="I133" s="569" t="s">
        <v>1791</v>
      </c>
      <c r="J133" s="533">
        <v>1575000</v>
      </c>
    </row>
    <row r="134" spans="1:10" ht="22.5">
      <c r="A134" s="22" t="s">
        <v>1788</v>
      </c>
      <c r="B134" s="26" t="s">
        <v>1855</v>
      </c>
      <c r="C134" s="569" t="s">
        <v>1856</v>
      </c>
      <c r="D134" s="64">
        <v>2.0699999999999998</v>
      </c>
      <c r="E134" s="569">
        <v>4.4000000000000004</v>
      </c>
      <c r="F134" s="569" t="s">
        <v>1790</v>
      </c>
      <c r="G134" s="528">
        <v>1500000</v>
      </c>
      <c r="H134" s="569">
        <v>3</v>
      </c>
      <c r="I134" s="569" t="s">
        <v>1791</v>
      </c>
      <c r="J134" s="533">
        <v>3415500</v>
      </c>
    </row>
    <row r="135" spans="1:10" ht="22.5">
      <c r="A135" s="22" t="s">
        <v>1788</v>
      </c>
      <c r="B135" s="26" t="s">
        <v>1852</v>
      </c>
      <c r="C135" s="569" t="s">
        <v>1857</v>
      </c>
      <c r="D135" s="64">
        <v>18.04</v>
      </c>
      <c r="E135" s="569">
        <v>4</v>
      </c>
      <c r="F135" s="569" t="s">
        <v>1790</v>
      </c>
      <c r="G135" s="528">
        <v>9000000</v>
      </c>
      <c r="H135" s="569">
        <v>3</v>
      </c>
      <c r="I135" s="569" t="s">
        <v>1791</v>
      </c>
      <c r="J135" s="533">
        <v>18942000</v>
      </c>
    </row>
    <row r="136" spans="1:10" ht="22.5">
      <c r="A136" s="22" t="s">
        <v>57</v>
      </c>
      <c r="B136" s="26" t="s">
        <v>1858</v>
      </c>
      <c r="C136" s="569" t="s">
        <v>1859</v>
      </c>
      <c r="D136" s="64">
        <v>1.37</v>
      </c>
      <c r="E136" s="569">
        <v>7.2</v>
      </c>
      <c r="F136" s="569" t="s">
        <v>1790</v>
      </c>
      <c r="G136" s="528">
        <v>1000000</v>
      </c>
      <c r="H136" s="569">
        <v>3</v>
      </c>
      <c r="I136" s="569" t="s">
        <v>1791</v>
      </c>
      <c r="J136" s="533">
        <v>2589300</v>
      </c>
    </row>
    <row r="137" spans="1:10" ht="22.5">
      <c r="A137" s="22" t="s">
        <v>57</v>
      </c>
      <c r="B137" s="26" t="s">
        <v>1860</v>
      </c>
      <c r="C137" s="569" t="s">
        <v>1861</v>
      </c>
      <c r="D137" s="64">
        <v>2.3199999999999998</v>
      </c>
      <c r="E137" s="569">
        <v>3.2</v>
      </c>
      <c r="F137" s="569" t="s">
        <v>1790</v>
      </c>
      <c r="G137" s="528">
        <v>1000000</v>
      </c>
      <c r="H137" s="569">
        <v>3</v>
      </c>
      <c r="I137" s="569" t="s">
        <v>1791</v>
      </c>
      <c r="J137" s="533">
        <v>1948800</v>
      </c>
    </row>
    <row r="138" spans="1:10" ht="22.5">
      <c r="A138" s="22" t="s">
        <v>1788</v>
      </c>
      <c r="B138" s="26" t="s">
        <v>1810</v>
      </c>
      <c r="C138" s="569" t="s">
        <v>1862</v>
      </c>
      <c r="D138" s="64">
        <v>1.36</v>
      </c>
      <c r="E138" s="569">
        <v>3.5</v>
      </c>
      <c r="F138" s="569" t="s">
        <v>1790</v>
      </c>
      <c r="G138" s="528">
        <v>2000000</v>
      </c>
      <c r="H138" s="569">
        <v>3</v>
      </c>
      <c r="I138" s="569" t="s">
        <v>1791</v>
      </c>
      <c r="J138" s="533">
        <v>1249500</v>
      </c>
    </row>
    <row r="139" spans="1:10" ht="22.5">
      <c r="A139" s="22" t="s">
        <v>1788</v>
      </c>
      <c r="B139" s="26" t="s">
        <v>1832</v>
      </c>
      <c r="C139" s="569" t="s">
        <v>1863</v>
      </c>
      <c r="D139" s="64">
        <v>10.3</v>
      </c>
      <c r="E139" s="569">
        <v>4.7</v>
      </c>
      <c r="F139" s="569" t="s">
        <v>1790</v>
      </c>
      <c r="G139" s="528">
        <v>8000000</v>
      </c>
      <c r="H139" s="569">
        <v>3</v>
      </c>
      <c r="I139" s="569" t="s">
        <v>1791</v>
      </c>
      <c r="J139" s="533">
        <v>18153750.000000004</v>
      </c>
    </row>
    <row r="140" spans="1:10" ht="22.5">
      <c r="A140" s="22" t="s">
        <v>1788</v>
      </c>
      <c r="B140" s="26" t="s">
        <v>1864</v>
      </c>
      <c r="C140" s="569" t="s">
        <v>1865</v>
      </c>
      <c r="D140" s="64">
        <v>3.9</v>
      </c>
      <c r="E140" s="569">
        <v>4.5</v>
      </c>
      <c r="F140" s="569" t="s">
        <v>1790</v>
      </c>
      <c r="G140" s="528">
        <v>6000000</v>
      </c>
      <c r="H140" s="569">
        <v>3</v>
      </c>
      <c r="I140" s="569" t="s">
        <v>1791</v>
      </c>
      <c r="J140" s="533">
        <v>6581250</v>
      </c>
    </row>
    <row r="141" spans="1:10" ht="22.5">
      <c r="A141" s="22" t="s">
        <v>1788</v>
      </c>
      <c r="B141" s="26" t="s">
        <v>1866</v>
      </c>
      <c r="C141" s="569" t="s">
        <v>1867</v>
      </c>
      <c r="D141" s="64">
        <v>17.399999999999999</v>
      </c>
      <c r="E141" s="569">
        <v>3.9</v>
      </c>
      <c r="F141" s="569" t="s">
        <v>1790</v>
      </c>
      <c r="G141" s="528">
        <v>5000000</v>
      </c>
      <c r="H141" s="569">
        <v>3</v>
      </c>
      <c r="I141" s="569" t="s">
        <v>1791</v>
      </c>
      <c r="J141" s="533">
        <v>12723750.000000002</v>
      </c>
    </row>
    <row r="142" spans="1:10" ht="22.5">
      <c r="A142" s="22" t="s">
        <v>1788</v>
      </c>
      <c r="B142" s="26" t="s">
        <v>1166</v>
      </c>
      <c r="C142" s="569" t="s">
        <v>1868</v>
      </c>
      <c r="D142" s="64">
        <v>2.8</v>
      </c>
      <c r="E142" s="569">
        <v>4</v>
      </c>
      <c r="F142" s="569" t="s">
        <v>1790</v>
      </c>
      <c r="G142" s="528">
        <v>2000000</v>
      </c>
      <c r="H142" s="569">
        <v>3</v>
      </c>
      <c r="I142" s="569" t="s">
        <v>1791</v>
      </c>
      <c r="J142" s="533">
        <v>4200000</v>
      </c>
    </row>
    <row r="143" spans="1:10" ht="22.5">
      <c r="A143" s="22" t="s">
        <v>1788</v>
      </c>
      <c r="B143" s="26" t="s">
        <v>1166</v>
      </c>
      <c r="C143" s="569" t="s">
        <v>1869</v>
      </c>
      <c r="D143" s="64">
        <v>1.6</v>
      </c>
      <c r="E143" s="569">
        <v>3.5</v>
      </c>
      <c r="F143" s="569" t="s">
        <v>1790</v>
      </c>
      <c r="G143" s="528">
        <v>1000000</v>
      </c>
      <c r="H143" s="569">
        <v>3</v>
      </c>
      <c r="I143" s="569" t="s">
        <v>1791</v>
      </c>
      <c r="J143" s="533">
        <v>2100000</v>
      </c>
    </row>
    <row r="144" spans="1:10" ht="22.5">
      <c r="A144" s="22" t="s">
        <v>57</v>
      </c>
      <c r="B144" s="26" t="s">
        <v>1870</v>
      </c>
      <c r="C144" s="569" t="s">
        <v>1871</v>
      </c>
      <c r="D144" s="64">
        <v>0.97</v>
      </c>
      <c r="E144" s="569">
        <v>3.5</v>
      </c>
      <c r="F144" s="569" t="s">
        <v>1790</v>
      </c>
      <c r="G144" s="528">
        <v>1000000</v>
      </c>
      <c r="H144" s="569">
        <v>3</v>
      </c>
      <c r="I144" s="569" t="s">
        <v>1791</v>
      </c>
      <c r="J144" s="533">
        <v>1273125</v>
      </c>
    </row>
    <row r="145" spans="1:10" ht="22.5">
      <c r="A145" s="22" t="s">
        <v>57</v>
      </c>
      <c r="B145" s="26" t="s">
        <v>1872</v>
      </c>
      <c r="C145" s="569" t="s">
        <v>1873</v>
      </c>
      <c r="D145" s="64">
        <v>0.84</v>
      </c>
      <c r="E145" s="569">
        <v>3.5</v>
      </c>
      <c r="F145" s="569" t="s">
        <v>1790</v>
      </c>
      <c r="G145" s="528">
        <v>2000000</v>
      </c>
      <c r="H145" s="569">
        <v>3</v>
      </c>
      <c r="I145" s="569" t="s">
        <v>1791</v>
      </c>
      <c r="J145" s="533">
        <v>2205000</v>
      </c>
    </row>
    <row r="146" spans="1:10" ht="22.5">
      <c r="A146" s="22" t="s">
        <v>57</v>
      </c>
      <c r="B146" s="26" t="s">
        <v>1874</v>
      </c>
      <c r="C146" s="569" t="s">
        <v>1875</v>
      </c>
      <c r="D146" s="64">
        <v>0.72599999999999998</v>
      </c>
      <c r="E146" s="569">
        <v>3.8</v>
      </c>
      <c r="F146" s="569" t="s">
        <v>1790</v>
      </c>
      <c r="G146" s="528">
        <v>1000000</v>
      </c>
      <c r="H146" s="569">
        <v>3</v>
      </c>
      <c r="I146" s="569" t="s">
        <v>1791</v>
      </c>
      <c r="J146" s="533">
        <v>2069100</v>
      </c>
    </row>
    <row r="147" spans="1:10" ht="22.5">
      <c r="A147" s="22" t="s">
        <v>1792</v>
      </c>
      <c r="B147" s="26" t="s">
        <v>1876</v>
      </c>
      <c r="C147" s="569" t="s">
        <v>1877</v>
      </c>
      <c r="D147" s="64">
        <v>0.14000000000000001</v>
      </c>
      <c r="E147" s="569">
        <v>3</v>
      </c>
      <c r="F147" s="569" t="s">
        <v>1790</v>
      </c>
      <c r="G147" s="528">
        <v>500000</v>
      </c>
      <c r="H147" s="569">
        <v>3</v>
      </c>
      <c r="I147" s="569" t="s">
        <v>1791</v>
      </c>
      <c r="J147" s="533">
        <v>472499.99999999994</v>
      </c>
    </row>
    <row r="148" spans="1:10" ht="22.5">
      <c r="A148" s="22" t="s">
        <v>1792</v>
      </c>
      <c r="B148" s="26" t="s">
        <v>1876</v>
      </c>
      <c r="C148" s="569" t="s">
        <v>1878</v>
      </c>
      <c r="D148" s="64">
        <v>0.20499999999999999</v>
      </c>
      <c r="E148" s="569">
        <v>3</v>
      </c>
      <c r="F148" s="569" t="s">
        <v>1790</v>
      </c>
      <c r="G148" s="528">
        <v>500000</v>
      </c>
      <c r="H148" s="569">
        <v>3</v>
      </c>
      <c r="I148" s="569" t="s">
        <v>1791</v>
      </c>
      <c r="J148" s="533">
        <v>1153125</v>
      </c>
    </row>
    <row r="149" spans="1:10" ht="22.5">
      <c r="A149" s="22" t="s">
        <v>1792</v>
      </c>
      <c r="B149" s="26" t="s">
        <v>1879</v>
      </c>
      <c r="C149" s="569" t="s">
        <v>1880</v>
      </c>
      <c r="D149" s="64">
        <v>7.0000000000000007E-2</v>
      </c>
      <c r="E149" s="569">
        <v>4</v>
      </c>
      <c r="F149" s="569" t="s">
        <v>1790</v>
      </c>
      <c r="G149" s="528">
        <v>500000</v>
      </c>
      <c r="H149" s="569">
        <v>3</v>
      </c>
      <c r="I149" s="569" t="s">
        <v>1791</v>
      </c>
      <c r="J149" s="533">
        <v>840000</v>
      </c>
    </row>
    <row r="150" spans="1:10" ht="33.75">
      <c r="A150" s="22" t="s">
        <v>1792</v>
      </c>
      <c r="B150" s="26" t="s">
        <v>1881</v>
      </c>
      <c r="C150" s="63" t="s">
        <v>1882</v>
      </c>
      <c r="D150" s="63">
        <v>3</v>
      </c>
      <c r="E150" s="577">
        <v>4.3</v>
      </c>
      <c r="F150" s="569" t="s">
        <v>1883</v>
      </c>
      <c r="G150" s="528">
        <v>10000000</v>
      </c>
      <c r="H150" s="569">
        <v>2</v>
      </c>
      <c r="I150" s="569" t="s">
        <v>1884</v>
      </c>
      <c r="J150" s="533">
        <v>80637000</v>
      </c>
    </row>
    <row r="151" spans="1:10" ht="45">
      <c r="A151" s="22" t="s">
        <v>1792</v>
      </c>
      <c r="B151" s="26" t="s">
        <v>1885</v>
      </c>
      <c r="C151" s="63" t="s">
        <v>1814</v>
      </c>
      <c r="D151" s="569">
        <v>8.6999999999999993</v>
      </c>
      <c r="E151" s="569">
        <v>5.3</v>
      </c>
      <c r="F151" s="569" t="s">
        <v>1886</v>
      </c>
      <c r="G151" s="528">
        <v>22000000</v>
      </c>
      <c r="H151" s="569">
        <v>1</v>
      </c>
      <c r="I151" s="569" t="s">
        <v>1887</v>
      </c>
      <c r="J151" s="533">
        <v>23100000</v>
      </c>
    </row>
    <row r="152" spans="1:10" ht="22.5">
      <c r="A152" s="22" t="s">
        <v>1792</v>
      </c>
      <c r="B152" s="26" t="s">
        <v>1127</v>
      </c>
      <c r="C152" s="569" t="s">
        <v>1888</v>
      </c>
      <c r="D152" s="569">
        <v>5.3</v>
      </c>
      <c r="E152" s="64">
        <v>8</v>
      </c>
      <c r="F152" s="569" t="s">
        <v>1889</v>
      </c>
      <c r="G152" s="528">
        <v>8000000</v>
      </c>
      <c r="H152" s="569">
        <v>2</v>
      </c>
      <c r="I152" s="569" t="s">
        <v>1890</v>
      </c>
      <c r="J152" s="533">
        <v>48871000</v>
      </c>
    </row>
    <row r="153" spans="1:10" ht="45">
      <c r="A153" s="22" t="s">
        <v>1792</v>
      </c>
      <c r="B153" s="26" t="s">
        <v>1891</v>
      </c>
      <c r="C153" s="569" t="s">
        <v>1825</v>
      </c>
      <c r="D153" s="569">
        <v>5.3</v>
      </c>
      <c r="E153" s="569">
        <v>6.2</v>
      </c>
      <c r="F153" s="569" t="s">
        <v>1892</v>
      </c>
      <c r="G153" s="528">
        <v>12000000</v>
      </c>
      <c r="H153" s="569">
        <v>1</v>
      </c>
      <c r="I153" s="569" t="s">
        <v>1893</v>
      </c>
      <c r="J153" s="533">
        <v>20000000</v>
      </c>
    </row>
    <row r="154" spans="1:10" ht="33.75">
      <c r="A154" s="22" t="s">
        <v>1894</v>
      </c>
      <c r="B154" s="26" t="s">
        <v>1895</v>
      </c>
      <c r="C154" s="569" t="s">
        <v>1838</v>
      </c>
      <c r="D154" s="64">
        <v>9.6</v>
      </c>
      <c r="E154" s="569">
        <v>7.4</v>
      </c>
      <c r="F154" s="569" t="s">
        <v>1896</v>
      </c>
      <c r="G154" s="528">
        <v>3000000</v>
      </c>
      <c r="H154" s="569">
        <v>2</v>
      </c>
      <c r="I154" s="569" t="s">
        <v>1897</v>
      </c>
      <c r="J154" s="533">
        <v>80640000</v>
      </c>
    </row>
    <row r="155" spans="1:10">
      <c r="A155" s="22" t="s">
        <v>1894</v>
      </c>
      <c r="B155" s="26" t="s">
        <v>1898</v>
      </c>
      <c r="C155" s="569" t="s">
        <v>1845</v>
      </c>
      <c r="D155" s="64">
        <v>2.5</v>
      </c>
      <c r="E155" s="569">
        <v>4.5</v>
      </c>
      <c r="F155" s="569" t="s">
        <v>1899</v>
      </c>
      <c r="G155" s="528">
        <v>15000000</v>
      </c>
      <c r="H155" s="569">
        <v>1</v>
      </c>
      <c r="I155" s="569" t="s">
        <v>1900</v>
      </c>
      <c r="J155" s="533">
        <v>222000000</v>
      </c>
    </row>
    <row r="156" spans="1:10" ht="45">
      <c r="A156" s="22" t="s">
        <v>1894</v>
      </c>
      <c r="B156" s="26" t="s">
        <v>1901</v>
      </c>
      <c r="C156" s="569" t="s">
        <v>1902</v>
      </c>
      <c r="D156" s="64">
        <v>2</v>
      </c>
      <c r="E156" s="569">
        <v>2.9</v>
      </c>
      <c r="F156" s="569" t="s">
        <v>1903</v>
      </c>
      <c r="G156" s="528">
        <v>10000000</v>
      </c>
      <c r="H156" s="569">
        <v>1</v>
      </c>
      <c r="I156" s="569" t="s">
        <v>1904</v>
      </c>
      <c r="J156" s="533">
        <v>55765000</v>
      </c>
    </row>
    <row r="157" spans="1:10" ht="45">
      <c r="A157" s="22" t="s">
        <v>1788</v>
      </c>
      <c r="B157" s="26" t="s">
        <v>1905</v>
      </c>
      <c r="C157" s="569" t="s">
        <v>1857</v>
      </c>
      <c r="D157" s="64">
        <v>2</v>
      </c>
      <c r="E157" s="569">
        <v>4</v>
      </c>
      <c r="F157" s="569" t="s">
        <v>1906</v>
      </c>
      <c r="G157" s="528">
        <v>45000000</v>
      </c>
      <c r="H157" s="569">
        <v>2</v>
      </c>
      <c r="I157" s="569" t="s">
        <v>1907</v>
      </c>
      <c r="J157" s="533">
        <v>818465000</v>
      </c>
    </row>
    <row r="158" spans="1:10" ht="33.75">
      <c r="A158" s="22" t="s">
        <v>1894</v>
      </c>
      <c r="B158" s="26" t="s">
        <v>1908</v>
      </c>
      <c r="C158" s="569" t="s">
        <v>1909</v>
      </c>
      <c r="D158" s="64">
        <v>9.3000000000000007</v>
      </c>
      <c r="E158" s="569">
        <v>5</v>
      </c>
      <c r="F158" s="569" t="s">
        <v>1910</v>
      </c>
      <c r="G158" s="528">
        <v>3000000</v>
      </c>
      <c r="H158" s="569">
        <v>2</v>
      </c>
      <c r="I158" s="569" t="s">
        <v>1911</v>
      </c>
      <c r="J158" s="533">
        <v>22100000</v>
      </c>
    </row>
    <row r="159" spans="1:10" ht="22.5">
      <c r="A159" s="22" t="s">
        <v>1894</v>
      </c>
      <c r="B159" s="26" t="s">
        <v>1912</v>
      </c>
      <c r="C159" s="569" t="s">
        <v>1873</v>
      </c>
      <c r="D159" s="64">
        <v>0.8</v>
      </c>
      <c r="E159" s="569">
        <v>3.5</v>
      </c>
      <c r="F159" s="569" t="s">
        <v>1913</v>
      </c>
      <c r="G159" s="528">
        <v>5000000</v>
      </c>
      <c r="H159" s="569">
        <v>2</v>
      </c>
      <c r="I159" s="569" t="s">
        <v>1914</v>
      </c>
      <c r="J159" s="533">
        <v>21900000</v>
      </c>
    </row>
    <row r="160" spans="1:10" ht="22.5">
      <c r="A160" s="22" t="s">
        <v>1792</v>
      </c>
      <c r="B160" s="26" t="s">
        <v>1915</v>
      </c>
      <c r="C160" s="569" t="s">
        <v>1916</v>
      </c>
      <c r="D160" s="64">
        <v>2.2999999999999998</v>
      </c>
      <c r="E160" s="569">
        <v>7.1</v>
      </c>
      <c r="F160" s="569" t="s">
        <v>1917</v>
      </c>
      <c r="G160" s="528">
        <v>2000000</v>
      </c>
      <c r="H160" s="569">
        <v>1</v>
      </c>
      <c r="I160" s="569" t="s">
        <v>1914</v>
      </c>
      <c r="J160" s="533">
        <v>60480000</v>
      </c>
    </row>
    <row r="161" spans="1:10" ht="22.5">
      <c r="A161" s="22" t="s">
        <v>1792</v>
      </c>
      <c r="B161" s="26" t="s">
        <v>1918</v>
      </c>
      <c r="C161" s="569" t="s">
        <v>1825</v>
      </c>
      <c r="D161" s="64">
        <v>5.37</v>
      </c>
      <c r="E161" s="569">
        <v>8.3000000000000007</v>
      </c>
      <c r="F161" s="569" t="s">
        <v>1917</v>
      </c>
      <c r="G161" s="528">
        <v>5000000</v>
      </c>
      <c r="H161" s="569">
        <v>2</v>
      </c>
      <c r="I161" s="569" t="s">
        <v>1919</v>
      </c>
      <c r="J161" s="533">
        <v>120960000</v>
      </c>
    </row>
    <row r="162" spans="1:10" ht="15.75">
      <c r="A162" s="1013" t="s">
        <v>189</v>
      </c>
      <c r="B162" s="1014"/>
      <c r="C162" s="1014"/>
      <c r="D162" s="1014"/>
      <c r="E162" s="1014"/>
      <c r="F162" s="1014"/>
      <c r="G162" s="550">
        <f>SUM(G97:G161)</f>
        <v>277500000</v>
      </c>
      <c r="H162" s="564"/>
      <c r="I162" s="564"/>
      <c r="J162" s="626">
        <f>SUM(J97:J161)</f>
        <v>1871540337.5</v>
      </c>
    </row>
    <row r="163" spans="1:10" ht="15.75">
      <c r="A163" s="1013" t="s">
        <v>1968</v>
      </c>
      <c r="B163" s="1014"/>
      <c r="C163" s="1014"/>
      <c r="D163" s="1014"/>
      <c r="E163" s="1014"/>
      <c r="F163" s="1014"/>
      <c r="G163" s="1014"/>
      <c r="H163" s="1014"/>
      <c r="I163" s="1014"/>
      <c r="J163" s="1015"/>
    </row>
    <row r="164" spans="1:10" ht="63.75">
      <c r="A164" s="65" t="s">
        <v>1969</v>
      </c>
      <c r="B164" s="21" t="s">
        <v>1970</v>
      </c>
      <c r="C164" s="21" t="s">
        <v>1971</v>
      </c>
      <c r="D164" s="21">
        <v>1.5</v>
      </c>
      <c r="E164" s="21">
        <v>6</v>
      </c>
      <c r="F164" s="21" t="s">
        <v>1972</v>
      </c>
      <c r="G164" s="386">
        <v>40000000</v>
      </c>
      <c r="H164" s="21">
        <v>1</v>
      </c>
      <c r="I164" s="21" t="s">
        <v>1973</v>
      </c>
      <c r="J164" s="534">
        <v>12000000</v>
      </c>
    </row>
    <row r="165" spans="1:10" ht="63.75">
      <c r="A165" s="65" t="str">
        <f>+A164</f>
        <v>Aserrí</v>
      </c>
      <c r="B165" s="21" t="s">
        <v>1974</v>
      </c>
      <c r="C165" s="21" t="s">
        <v>1975</v>
      </c>
      <c r="D165" s="21">
        <v>0.4</v>
      </c>
      <c r="E165" s="21">
        <v>6</v>
      </c>
      <c r="F165" s="21" t="s">
        <v>1976</v>
      </c>
      <c r="G165" s="386">
        <v>45000000</v>
      </c>
      <c r="H165" s="21">
        <v>1</v>
      </c>
      <c r="I165" s="21" t="s">
        <v>1977</v>
      </c>
      <c r="J165" s="534">
        <v>70000000</v>
      </c>
    </row>
    <row r="166" spans="1:10" ht="25.5">
      <c r="A166" s="65" t="str">
        <f>+A165</f>
        <v>Aserrí</v>
      </c>
      <c r="B166" s="21" t="s">
        <v>1978</v>
      </c>
      <c r="C166" s="21" t="s">
        <v>1979</v>
      </c>
      <c r="D166" s="21">
        <v>0.8</v>
      </c>
      <c r="E166" s="21">
        <v>6</v>
      </c>
      <c r="F166" s="21" t="s">
        <v>1980</v>
      </c>
      <c r="G166" s="386">
        <v>12000000</v>
      </c>
      <c r="H166" s="21">
        <v>1</v>
      </c>
      <c r="I166" s="21" t="s">
        <v>1981</v>
      </c>
      <c r="J166" s="534">
        <v>15000000</v>
      </c>
    </row>
    <row r="167" spans="1:10" ht="38.25">
      <c r="A167" s="65" t="s">
        <v>1969</v>
      </c>
      <c r="B167" s="21" t="s">
        <v>1982</v>
      </c>
      <c r="C167" s="21" t="s">
        <v>1983</v>
      </c>
      <c r="D167" s="21">
        <v>0.6</v>
      </c>
      <c r="E167" s="21">
        <v>4.5</v>
      </c>
      <c r="F167" s="21" t="s">
        <v>1984</v>
      </c>
      <c r="G167" s="386">
        <v>10000000</v>
      </c>
      <c r="H167" s="21">
        <v>1</v>
      </c>
      <c r="I167" s="21" t="s">
        <v>1981</v>
      </c>
      <c r="J167" s="534">
        <v>14000000</v>
      </c>
    </row>
    <row r="168" spans="1:10" ht="38.25">
      <c r="A168" s="65" t="s">
        <v>1969</v>
      </c>
      <c r="B168" s="21" t="s">
        <v>1985</v>
      </c>
      <c r="C168" s="21" t="s">
        <v>1986</v>
      </c>
      <c r="D168" s="21">
        <v>2</v>
      </c>
      <c r="E168" s="21">
        <v>5.5</v>
      </c>
      <c r="F168" s="21" t="s">
        <v>1987</v>
      </c>
      <c r="G168" s="386">
        <v>32000000</v>
      </c>
      <c r="H168" s="21">
        <v>1</v>
      </c>
      <c r="I168" s="21" t="s">
        <v>1988</v>
      </c>
      <c r="J168" s="534">
        <v>75000000</v>
      </c>
    </row>
    <row r="169" spans="1:10" ht="51">
      <c r="A169" s="65" t="s">
        <v>1989</v>
      </c>
      <c r="B169" s="21" t="s">
        <v>1990</v>
      </c>
      <c r="C169" s="21" t="s">
        <v>1991</v>
      </c>
      <c r="D169" s="21">
        <v>2.6</v>
      </c>
      <c r="E169" s="21">
        <v>6</v>
      </c>
      <c r="F169" s="21" t="s">
        <v>1992</v>
      </c>
      <c r="G169" s="386">
        <v>6500000</v>
      </c>
      <c r="H169" s="21">
        <v>1</v>
      </c>
      <c r="I169" s="21" t="s">
        <v>1993</v>
      </c>
      <c r="J169" s="534">
        <v>15000000</v>
      </c>
    </row>
    <row r="170" spans="1:10" ht="25.5">
      <c r="A170" s="65" t="s">
        <v>1989</v>
      </c>
      <c r="B170" s="21" t="s">
        <v>1994</v>
      </c>
      <c r="C170" s="21" t="s">
        <v>1995</v>
      </c>
      <c r="D170" s="21">
        <v>2.6</v>
      </c>
      <c r="E170" s="21">
        <v>6</v>
      </c>
      <c r="F170" s="21" t="s">
        <v>1996</v>
      </c>
      <c r="G170" s="386">
        <v>3700000</v>
      </c>
      <c r="H170" s="21">
        <v>1</v>
      </c>
      <c r="I170" s="21" t="s">
        <v>1997</v>
      </c>
      <c r="J170" s="534">
        <v>14000000</v>
      </c>
    </row>
    <row r="171" spans="1:10" ht="63.75">
      <c r="A171" s="65" t="s">
        <v>1989</v>
      </c>
      <c r="B171" s="21" t="s">
        <v>1998</v>
      </c>
      <c r="C171" s="21" t="s">
        <v>1999</v>
      </c>
      <c r="D171" s="21">
        <v>3.5</v>
      </c>
      <c r="E171" s="21">
        <v>6</v>
      </c>
      <c r="F171" s="21" t="s">
        <v>2000</v>
      </c>
      <c r="G171" s="386">
        <v>22000000</v>
      </c>
      <c r="H171" s="21">
        <v>1</v>
      </c>
      <c r="I171" s="21" t="s">
        <v>2001</v>
      </c>
      <c r="J171" s="534">
        <v>95000000</v>
      </c>
    </row>
    <row r="172" spans="1:10" ht="63.75">
      <c r="A172" s="65" t="s">
        <v>1989</v>
      </c>
      <c r="B172" s="21" t="s">
        <v>1998</v>
      </c>
      <c r="C172" s="21" t="s">
        <v>1999</v>
      </c>
      <c r="D172" s="21">
        <v>3.5</v>
      </c>
      <c r="E172" s="21">
        <v>6</v>
      </c>
      <c r="F172" s="21" t="s">
        <v>2000</v>
      </c>
      <c r="G172" s="386">
        <v>22000000</v>
      </c>
      <c r="H172" s="21">
        <v>1</v>
      </c>
      <c r="I172" s="21" t="s">
        <v>2002</v>
      </c>
      <c r="J172" s="534">
        <v>30000000</v>
      </c>
    </row>
    <row r="173" spans="1:10" ht="25.5">
      <c r="A173" s="65" t="s">
        <v>1989</v>
      </c>
      <c r="B173" s="21" t="s">
        <v>1998</v>
      </c>
      <c r="C173" s="21" t="s">
        <v>2003</v>
      </c>
      <c r="D173" s="21">
        <v>0.8</v>
      </c>
      <c r="E173" s="21">
        <v>5.5</v>
      </c>
      <c r="F173" s="21" t="s">
        <v>2004</v>
      </c>
      <c r="G173" s="386">
        <v>4500000</v>
      </c>
      <c r="H173" s="21">
        <v>1</v>
      </c>
      <c r="I173" s="21" t="s">
        <v>1997</v>
      </c>
      <c r="J173" s="534">
        <v>6500000</v>
      </c>
    </row>
    <row r="174" spans="1:10" ht="25.5">
      <c r="A174" s="65" t="s">
        <v>1989</v>
      </c>
      <c r="B174" s="21" t="s">
        <v>1970</v>
      </c>
      <c r="C174" s="21" t="s">
        <v>1971</v>
      </c>
      <c r="D174" s="21">
        <v>2.6</v>
      </c>
      <c r="E174" s="21">
        <v>6</v>
      </c>
      <c r="F174" s="21" t="s">
        <v>1996</v>
      </c>
      <c r="G174" s="386">
        <v>3800000</v>
      </c>
      <c r="H174" s="21">
        <v>1</v>
      </c>
      <c r="I174" s="21" t="s">
        <v>1997</v>
      </c>
      <c r="J174" s="534">
        <v>16800000</v>
      </c>
    </row>
    <row r="175" spans="1:10" ht="63.75">
      <c r="A175" s="65" t="s">
        <v>2005</v>
      </c>
      <c r="B175" s="21" t="s">
        <v>2006</v>
      </c>
      <c r="C175" s="21" t="s">
        <v>2007</v>
      </c>
      <c r="D175" s="21">
        <v>2.8</v>
      </c>
      <c r="E175" s="21">
        <v>6</v>
      </c>
      <c r="F175" s="21" t="s">
        <v>2008</v>
      </c>
      <c r="G175" s="386">
        <v>29500000</v>
      </c>
      <c r="H175" s="21">
        <v>1</v>
      </c>
      <c r="I175" s="21" t="s">
        <v>2009</v>
      </c>
      <c r="J175" s="534">
        <v>82000000</v>
      </c>
    </row>
    <row r="176" spans="1:10" ht="127.5">
      <c r="A176" s="65" t="s">
        <v>2005</v>
      </c>
      <c r="B176" s="21" t="s">
        <v>2010</v>
      </c>
      <c r="C176" s="21" t="s">
        <v>2011</v>
      </c>
      <c r="D176" s="21">
        <v>2.8</v>
      </c>
      <c r="E176" s="21">
        <v>6</v>
      </c>
      <c r="F176" s="21" t="s">
        <v>2012</v>
      </c>
      <c r="G176" s="386">
        <v>40000000</v>
      </c>
      <c r="H176" s="21">
        <v>1</v>
      </c>
      <c r="I176" s="21" t="s">
        <v>2013</v>
      </c>
      <c r="J176" s="534">
        <v>20000000</v>
      </c>
    </row>
    <row r="177" spans="1:10" ht="25.5">
      <c r="A177" s="65" t="s">
        <v>2005</v>
      </c>
      <c r="B177" s="21" t="s">
        <v>2014</v>
      </c>
      <c r="C177" s="21" t="s">
        <v>2015</v>
      </c>
      <c r="D177" s="21">
        <v>2.2000000000000002</v>
      </c>
      <c r="E177" s="21">
        <v>5.5</v>
      </c>
      <c r="F177" s="21" t="s">
        <v>1996</v>
      </c>
      <c r="G177" s="386">
        <v>3200000</v>
      </c>
      <c r="H177" s="21">
        <v>1</v>
      </c>
      <c r="I177" s="21" t="s">
        <v>1997</v>
      </c>
      <c r="J177" s="534">
        <v>16500000</v>
      </c>
    </row>
    <row r="178" spans="1:10" ht="38.25">
      <c r="A178" s="65" t="s">
        <v>2005</v>
      </c>
      <c r="B178" s="21" t="s">
        <v>2016</v>
      </c>
      <c r="C178" s="21" t="s">
        <v>2017</v>
      </c>
      <c r="D178" s="21">
        <v>1.2</v>
      </c>
      <c r="E178" s="21">
        <v>6</v>
      </c>
      <c r="F178" s="21" t="s">
        <v>2018</v>
      </c>
      <c r="G178" s="386">
        <v>8500000</v>
      </c>
      <c r="H178" s="21">
        <v>1</v>
      </c>
      <c r="I178" s="21" t="s">
        <v>2019</v>
      </c>
      <c r="J178" s="534">
        <v>60000000</v>
      </c>
    </row>
    <row r="179" spans="1:10" ht="38.25">
      <c r="A179" s="65" t="s">
        <v>2020</v>
      </c>
      <c r="B179" s="21" t="s">
        <v>2021</v>
      </c>
      <c r="C179" s="21" t="s">
        <v>2022</v>
      </c>
      <c r="D179" s="21">
        <v>1.1000000000000001</v>
      </c>
      <c r="E179" s="21">
        <v>5.5</v>
      </c>
      <c r="F179" s="21" t="s">
        <v>2023</v>
      </c>
      <c r="G179" s="386">
        <v>20000000</v>
      </c>
      <c r="H179" s="21">
        <v>1</v>
      </c>
      <c r="I179" s="21" t="s">
        <v>2024</v>
      </c>
      <c r="J179" s="534">
        <v>10000000</v>
      </c>
    </row>
    <row r="180" spans="1:10" ht="102">
      <c r="A180" s="65" t="s">
        <v>2025</v>
      </c>
      <c r="B180" s="21" t="s">
        <v>2026</v>
      </c>
      <c r="C180" s="21" t="s">
        <v>2027</v>
      </c>
      <c r="D180" s="21">
        <v>1.6</v>
      </c>
      <c r="E180" s="21">
        <v>6</v>
      </c>
      <c r="F180" s="21" t="s">
        <v>2028</v>
      </c>
      <c r="G180" s="386">
        <v>45000000</v>
      </c>
      <c r="H180" s="21">
        <v>1</v>
      </c>
      <c r="I180" s="21" t="s">
        <v>2029</v>
      </c>
      <c r="J180" s="534">
        <v>285000000</v>
      </c>
    </row>
    <row r="181" spans="1:10" ht="51">
      <c r="A181" s="65" t="s">
        <v>2020</v>
      </c>
      <c r="B181" s="21" t="s">
        <v>2030</v>
      </c>
      <c r="C181" s="21" t="s">
        <v>2031</v>
      </c>
      <c r="D181" s="21">
        <v>2.6</v>
      </c>
      <c r="E181" s="21">
        <v>6</v>
      </c>
      <c r="F181" s="21" t="s">
        <v>2032</v>
      </c>
      <c r="G181" s="386">
        <v>13500000</v>
      </c>
      <c r="H181" s="21">
        <v>1</v>
      </c>
      <c r="I181" s="21" t="s">
        <v>2033</v>
      </c>
      <c r="J181" s="534">
        <v>8800000</v>
      </c>
    </row>
    <row r="182" spans="1:10" ht="25.5">
      <c r="A182" s="65" t="s">
        <v>2020</v>
      </c>
      <c r="B182" s="21" t="s">
        <v>2020</v>
      </c>
      <c r="C182" s="21" t="s">
        <v>2034</v>
      </c>
      <c r="D182" s="21" t="s">
        <v>2035</v>
      </c>
      <c r="E182" s="21">
        <v>6</v>
      </c>
      <c r="F182" s="21" t="s">
        <v>2036</v>
      </c>
      <c r="G182" s="386">
        <v>15000000</v>
      </c>
      <c r="H182" s="21">
        <v>1</v>
      </c>
      <c r="I182" s="21" t="s">
        <v>2019</v>
      </c>
      <c r="J182" s="534">
        <v>36000000</v>
      </c>
    </row>
    <row r="183" spans="1:10" ht="63.75">
      <c r="A183" s="65" t="s">
        <v>2020</v>
      </c>
      <c r="B183" s="21" t="s">
        <v>2037</v>
      </c>
      <c r="C183" s="21" t="s">
        <v>2038</v>
      </c>
      <c r="D183" s="21">
        <v>1.5</v>
      </c>
      <c r="E183" s="21">
        <v>5.5</v>
      </c>
      <c r="F183" s="21" t="s">
        <v>2039</v>
      </c>
      <c r="G183" s="386">
        <v>6000000</v>
      </c>
      <c r="H183" s="21">
        <v>1</v>
      </c>
      <c r="I183" s="21" t="s">
        <v>2040</v>
      </c>
      <c r="J183" s="534">
        <v>35000000</v>
      </c>
    </row>
    <row r="184" spans="1:10" ht="89.25">
      <c r="A184" s="65" t="s">
        <v>2041</v>
      </c>
      <c r="B184" s="21" t="s">
        <v>2042</v>
      </c>
      <c r="C184" s="21" t="s">
        <v>2043</v>
      </c>
      <c r="D184" s="21">
        <v>2.8</v>
      </c>
      <c r="E184" s="21">
        <v>6</v>
      </c>
      <c r="F184" s="21" t="s">
        <v>2044</v>
      </c>
      <c r="G184" s="386">
        <v>14000000</v>
      </c>
      <c r="H184" s="21">
        <v>1</v>
      </c>
      <c r="I184" s="21" t="s">
        <v>2045</v>
      </c>
      <c r="J184" s="534">
        <v>25000000</v>
      </c>
    </row>
    <row r="185" spans="1:10" ht="63.75">
      <c r="A185" s="65" t="s">
        <v>2041</v>
      </c>
      <c r="B185" s="21" t="s">
        <v>2046</v>
      </c>
      <c r="C185" s="21" t="s">
        <v>2047</v>
      </c>
      <c r="D185" s="21">
        <v>2.5</v>
      </c>
      <c r="E185" s="21">
        <v>5</v>
      </c>
      <c r="F185" s="21" t="s">
        <v>2048</v>
      </c>
      <c r="G185" s="386">
        <v>7500000</v>
      </c>
      <c r="H185" s="21">
        <v>1</v>
      </c>
      <c r="I185" s="21" t="s">
        <v>2049</v>
      </c>
      <c r="J185" s="534">
        <v>17000000</v>
      </c>
    </row>
    <row r="186" spans="1:10" ht="114.75">
      <c r="A186" s="65" t="s">
        <v>2041</v>
      </c>
      <c r="B186" s="21" t="s">
        <v>1827</v>
      </c>
      <c r="C186" s="21" t="s">
        <v>2050</v>
      </c>
      <c r="D186" s="21">
        <v>3.6</v>
      </c>
      <c r="E186" s="21">
        <v>5.5</v>
      </c>
      <c r="F186" s="21" t="s">
        <v>2051</v>
      </c>
      <c r="G186" s="386">
        <v>45000000</v>
      </c>
      <c r="H186" s="21">
        <v>1</v>
      </c>
      <c r="I186" s="21" t="s">
        <v>1993</v>
      </c>
      <c r="J186" s="534">
        <v>30000000</v>
      </c>
    </row>
    <row r="187" spans="1:10" ht="38.25">
      <c r="A187" s="65" t="s">
        <v>2052</v>
      </c>
      <c r="B187" s="21" t="s">
        <v>2053</v>
      </c>
      <c r="C187" s="21" t="s">
        <v>2054</v>
      </c>
      <c r="D187" s="21">
        <v>6.5</v>
      </c>
      <c r="E187" s="21">
        <v>5</v>
      </c>
      <c r="F187" s="21" t="s">
        <v>2055</v>
      </c>
      <c r="G187" s="386">
        <v>18000000</v>
      </c>
      <c r="H187" s="21">
        <v>1</v>
      </c>
      <c r="I187" s="21" t="s">
        <v>2056</v>
      </c>
      <c r="J187" s="534">
        <v>80000000</v>
      </c>
    </row>
    <row r="188" spans="1:10" ht="89.25">
      <c r="A188" s="65" t="s">
        <v>2041</v>
      </c>
      <c r="B188" s="21" t="s">
        <v>2057</v>
      </c>
      <c r="C188" s="21" t="s">
        <v>2058</v>
      </c>
      <c r="D188" s="21">
        <v>2.8</v>
      </c>
      <c r="E188" s="21">
        <v>5.5</v>
      </c>
      <c r="F188" s="21" t="s">
        <v>2059</v>
      </c>
      <c r="G188" s="386">
        <v>25000000</v>
      </c>
      <c r="H188" s="21">
        <v>1</v>
      </c>
      <c r="I188" s="21" t="s">
        <v>2060</v>
      </c>
      <c r="J188" s="534">
        <v>20000000</v>
      </c>
    </row>
    <row r="189" spans="1:10" ht="114.75">
      <c r="A189" s="65" t="s">
        <v>2041</v>
      </c>
      <c r="B189" s="21" t="s">
        <v>1697</v>
      </c>
      <c r="C189" s="21" t="s">
        <v>2061</v>
      </c>
      <c r="D189" s="21">
        <v>2.2000000000000002</v>
      </c>
      <c r="E189" s="21">
        <v>8</v>
      </c>
      <c r="F189" s="21" t="s">
        <v>2062</v>
      </c>
      <c r="G189" s="386">
        <v>22000000</v>
      </c>
      <c r="H189" s="21">
        <v>1</v>
      </c>
      <c r="I189" s="21" t="s">
        <v>2060</v>
      </c>
      <c r="J189" s="534">
        <v>25000000</v>
      </c>
    </row>
    <row r="190" spans="1:10" ht="63.75">
      <c r="A190" s="65" t="s">
        <v>2063</v>
      </c>
      <c r="B190" s="21" t="s">
        <v>2063</v>
      </c>
      <c r="C190" s="21" t="s">
        <v>2064</v>
      </c>
      <c r="D190" s="21">
        <v>0.2</v>
      </c>
      <c r="E190" s="21">
        <v>6</v>
      </c>
      <c r="F190" s="21" t="s">
        <v>2065</v>
      </c>
      <c r="G190" s="386">
        <v>22000000</v>
      </c>
      <c r="H190" s="21">
        <v>1</v>
      </c>
      <c r="I190" s="21" t="s">
        <v>2066</v>
      </c>
      <c r="J190" s="534">
        <v>95000000</v>
      </c>
    </row>
    <row r="191" spans="1:10" ht="76.5">
      <c r="A191" s="65" t="s">
        <v>2067</v>
      </c>
      <c r="B191" s="21" t="s">
        <v>2068</v>
      </c>
      <c r="C191" s="21" t="s">
        <v>2069</v>
      </c>
      <c r="D191" s="21">
        <v>2</v>
      </c>
      <c r="E191" s="21">
        <v>5.5</v>
      </c>
      <c r="F191" s="21" t="s">
        <v>2070</v>
      </c>
      <c r="G191" s="386">
        <v>7000000</v>
      </c>
      <c r="H191" s="21">
        <v>1</v>
      </c>
      <c r="I191" s="21" t="s">
        <v>2071</v>
      </c>
      <c r="J191" s="534">
        <v>80000000</v>
      </c>
    </row>
    <row r="192" spans="1:10" ht="25.5">
      <c r="A192" s="65" t="s">
        <v>2067</v>
      </c>
      <c r="B192" s="21" t="s">
        <v>2072</v>
      </c>
      <c r="C192" s="21" t="s">
        <v>2073</v>
      </c>
      <c r="D192" s="21">
        <v>2.4</v>
      </c>
      <c r="E192" s="21">
        <v>6</v>
      </c>
      <c r="F192" s="21" t="s">
        <v>1996</v>
      </c>
      <c r="G192" s="386">
        <v>3500000</v>
      </c>
      <c r="H192" s="21">
        <v>1</v>
      </c>
      <c r="I192" s="21" t="s">
        <v>2074</v>
      </c>
      <c r="J192" s="534">
        <v>6800000</v>
      </c>
    </row>
    <row r="193" spans="1:10" ht="51">
      <c r="A193" s="65" t="s">
        <v>2067</v>
      </c>
      <c r="B193" s="21" t="s">
        <v>2075</v>
      </c>
      <c r="C193" s="21" t="s">
        <v>2076</v>
      </c>
      <c r="D193" s="21">
        <v>0.8</v>
      </c>
      <c r="E193" s="21">
        <v>6.5</v>
      </c>
      <c r="F193" s="21" t="s">
        <v>2077</v>
      </c>
      <c r="G193" s="386">
        <v>55000000</v>
      </c>
      <c r="H193" s="21">
        <v>1</v>
      </c>
      <c r="I193" s="21" t="s">
        <v>2078</v>
      </c>
      <c r="J193" s="534">
        <v>90000000</v>
      </c>
    </row>
    <row r="194" spans="1:10" ht="33.75">
      <c r="A194" s="22">
        <v>0</v>
      </c>
      <c r="B194" s="26">
        <v>0</v>
      </c>
      <c r="C194" s="569" t="s">
        <v>23631</v>
      </c>
      <c r="D194" s="569">
        <v>7.19</v>
      </c>
      <c r="E194" s="569">
        <v>0</v>
      </c>
      <c r="F194" s="569" t="s">
        <v>23564</v>
      </c>
      <c r="G194" s="73">
        <v>0</v>
      </c>
      <c r="H194" s="569">
        <v>1</v>
      </c>
      <c r="I194" s="569" t="s">
        <v>23565</v>
      </c>
      <c r="J194" s="531">
        <v>17240000</v>
      </c>
    </row>
    <row r="195" spans="1:10" ht="33.75">
      <c r="A195" s="22">
        <v>0</v>
      </c>
      <c r="B195" s="26">
        <v>0</v>
      </c>
      <c r="C195" s="569" t="s">
        <v>23632</v>
      </c>
      <c r="D195" s="569">
        <v>4.46</v>
      </c>
      <c r="E195" s="569">
        <v>0</v>
      </c>
      <c r="F195" s="569" t="s">
        <v>23564</v>
      </c>
      <c r="G195" s="73">
        <v>0</v>
      </c>
      <c r="H195" s="569">
        <v>1</v>
      </c>
      <c r="I195" s="569" t="s">
        <v>23565</v>
      </c>
      <c r="J195" s="531">
        <v>2155000</v>
      </c>
    </row>
    <row r="196" spans="1:10" ht="33.75">
      <c r="A196" s="22">
        <v>0</v>
      </c>
      <c r="B196" s="26">
        <v>0</v>
      </c>
      <c r="C196" s="569" t="s">
        <v>23633</v>
      </c>
      <c r="D196" s="569">
        <v>2.15</v>
      </c>
      <c r="E196" s="569">
        <v>0</v>
      </c>
      <c r="F196" s="569" t="s">
        <v>23564</v>
      </c>
      <c r="G196" s="73">
        <v>0</v>
      </c>
      <c r="H196" s="569">
        <v>1</v>
      </c>
      <c r="I196" s="569" t="s">
        <v>23565</v>
      </c>
      <c r="J196" s="531">
        <v>538750</v>
      </c>
    </row>
    <row r="197" spans="1:10" ht="33.75">
      <c r="A197" s="22">
        <v>0</v>
      </c>
      <c r="B197" s="26">
        <v>0</v>
      </c>
      <c r="C197" s="569" t="s">
        <v>23634</v>
      </c>
      <c r="D197" s="569">
        <v>4.01</v>
      </c>
      <c r="E197" s="569">
        <v>0</v>
      </c>
      <c r="F197" s="569" t="s">
        <v>23564</v>
      </c>
      <c r="G197" s="73">
        <v>0</v>
      </c>
      <c r="H197" s="569">
        <v>1</v>
      </c>
      <c r="I197" s="569" t="s">
        <v>23565</v>
      </c>
      <c r="J197" s="531">
        <v>1077500</v>
      </c>
    </row>
    <row r="198" spans="1:10" ht="33.75">
      <c r="A198" s="22">
        <v>0</v>
      </c>
      <c r="B198" s="26">
        <v>0</v>
      </c>
      <c r="C198" s="569" t="s">
        <v>23635</v>
      </c>
      <c r="D198" s="569">
        <v>4.62</v>
      </c>
      <c r="E198" s="569">
        <v>0</v>
      </c>
      <c r="F198" s="569" t="s">
        <v>23564</v>
      </c>
      <c r="G198" s="73">
        <v>0</v>
      </c>
      <c r="H198" s="569">
        <v>1</v>
      </c>
      <c r="I198" s="569" t="s">
        <v>23565</v>
      </c>
      <c r="J198" s="531">
        <v>1077500</v>
      </c>
    </row>
    <row r="199" spans="1:10" ht="33.75">
      <c r="A199" s="22">
        <v>0</v>
      </c>
      <c r="B199" s="26">
        <v>0</v>
      </c>
      <c r="C199" s="569" t="s">
        <v>23636</v>
      </c>
      <c r="D199" s="569">
        <v>6.3650000000000002</v>
      </c>
      <c r="E199" s="569">
        <v>0</v>
      </c>
      <c r="F199" s="569" t="s">
        <v>23564</v>
      </c>
      <c r="G199" s="73">
        <v>0</v>
      </c>
      <c r="H199" s="569">
        <v>1</v>
      </c>
      <c r="I199" s="569" t="s">
        <v>23565</v>
      </c>
      <c r="J199" s="531">
        <v>1508500</v>
      </c>
    </row>
    <row r="200" spans="1:10" ht="15.75">
      <c r="A200" s="1013" t="s">
        <v>189</v>
      </c>
      <c r="B200" s="1014"/>
      <c r="C200" s="1014"/>
      <c r="D200" s="1014"/>
      <c r="E200" s="1014"/>
      <c r="F200" s="1014"/>
      <c r="G200" s="550">
        <f>SUM(G164:G199)</f>
        <v>601200000</v>
      </c>
      <c r="H200" s="564"/>
      <c r="I200" s="564"/>
      <c r="J200" s="626">
        <f>SUM(J164:J199)</f>
        <v>1408997250</v>
      </c>
    </row>
    <row r="201" spans="1:10" ht="15.75">
      <c r="A201" s="1013" t="s">
        <v>2292</v>
      </c>
      <c r="B201" s="1014"/>
      <c r="C201" s="1014"/>
      <c r="D201" s="1014"/>
      <c r="E201" s="1014"/>
      <c r="F201" s="1014"/>
      <c r="G201" s="1014"/>
      <c r="H201" s="1014"/>
      <c r="I201" s="1014"/>
      <c r="J201" s="1015"/>
    </row>
    <row r="202" spans="1:10" ht="146.25">
      <c r="A202" s="27" t="s">
        <v>2293</v>
      </c>
      <c r="B202" s="300" t="s">
        <v>118</v>
      </c>
      <c r="C202" s="569" t="s">
        <v>2294</v>
      </c>
      <c r="D202" s="569">
        <v>0.08</v>
      </c>
      <c r="E202" s="569">
        <v>6</v>
      </c>
      <c r="F202" s="109" t="s">
        <v>2295</v>
      </c>
      <c r="G202" s="73">
        <v>200000000</v>
      </c>
      <c r="H202" s="569" t="s">
        <v>2296</v>
      </c>
      <c r="I202" s="109" t="s">
        <v>2297</v>
      </c>
      <c r="J202" s="508">
        <v>320000000</v>
      </c>
    </row>
    <row r="203" spans="1:10" ht="146.25">
      <c r="A203" s="27" t="s">
        <v>2293</v>
      </c>
      <c r="B203" s="300" t="s">
        <v>2298</v>
      </c>
      <c r="C203" s="569" t="s">
        <v>2299</v>
      </c>
      <c r="D203" s="569">
        <v>0.1</v>
      </c>
      <c r="E203" s="569">
        <v>6</v>
      </c>
      <c r="F203" s="109" t="s">
        <v>2300</v>
      </c>
      <c r="G203" s="73">
        <v>150000000</v>
      </c>
      <c r="H203" s="569" t="s">
        <v>2296</v>
      </c>
      <c r="I203" s="109" t="s">
        <v>2301</v>
      </c>
      <c r="J203" s="508">
        <v>470000000</v>
      </c>
    </row>
    <row r="204" spans="1:10" ht="146.25">
      <c r="A204" s="27" t="s">
        <v>2293</v>
      </c>
      <c r="B204" s="300" t="s">
        <v>2302</v>
      </c>
      <c r="C204" s="569" t="s">
        <v>2303</v>
      </c>
      <c r="D204" s="569">
        <v>0.05</v>
      </c>
      <c r="E204" s="569">
        <v>6</v>
      </c>
      <c r="F204" s="109" t="s">
        <v>2304</v>
      </c>
      <c r="G204" s="73">
        <v>100000000</v>
      </c>
      <c r="H204" s="569" t="s">
        <v>2296</v>
      </c>
      <c r="I204" s="109" t="s">
        <v>2305</v>
      </c>
      <c r="J204" s="508">
        <v>190000000</v>
      </c>
    </row>
    <row r="205" spans="1:10" ht="146.25">
      <c r="A205" s="27" t="s">
        <v>2293</v>
      </c>
      <c r="B205" s="300" t="s">
        <v>2306</v>
      </c>
      <c r="C205" s="569" t="s">
        <v>2303</v>
      </c>
      <c r="D205" s="569">
        <v>0.03</v>
      </c>
      <c r="E205" s="569">
        <v>6</v>
      </c>
      <c r="F205" s="109" t="s">
        <v>2304</v>
      </c>
      <c r="G205" s="73">
        <v>85000000</v>
      </c>
      <c r="H205" s="569" t="s">
        <v>2296</v>
      </c>
      <c r="I205" s="109" t="s">
        <v>2305</v>
      </c>
      <c r="J205" s="508">
        <v>170000000</v>
      </c>
    </row>
    <row r="206" spans="1:10" ht="146.25">
      <c r="A206" s="27" t="s">
        <v>2307</v>
      </c>
      <c r="B206" s="300" t="s">
        <v>2308</v>
      </c>
      <c r="C206" s="569" t="s">
        <v>2309</v>
      </c>
      <c r="D206" s="569">
        <v>0.03</v>
      </c>
      <c r="E206" s="569">
        <v>6</v>
      </c>
      <c r="F206" s="109" t="s">
        <v>2304</v>
      </c>
      <c r="G206" s="73">
        <v>85000000</v>
      </c>
      <c r="H206" s="569" t="s">
        <v>2296</v>
      </c>
      <c r="I206" s="109" t="s">
        <v>2301</v>
      </c>
      <c r="J206" s="508">
        <v>170000000</v>
      </c>
    </row>
    <row r="207" spans="1:10" ht="157.5">
      <c r="A207" s="27" t="s">
        <v>2307</v>
      </c>
      <c r="B207" s="300" t="s">
        <v>2310</v>
      </c>
      <c r="C207" s="569" t="s">
        <v>2311</v>
      </c>
      <c r="D207" s="569">
        <v>0.12</v>
      </c>
      <c r="E207" s="569">
        <v>8</v>
      </c>
      <c r="F207" s="109" t="s">
        <v>2312</v>
      </c>
      <c r="G207" s="73">
        <v>45000000</v>
      </c>
      <c r="H207" s="569" t="s">
        <v>2296</v>
      </c>
      <c r="I207" s="109" t="s">
        <v>2313</v>
      </c>
      <c r="J207" s="508">
        <v>270000000</v>
      </c>
    </row>
    <row r="208" spans="1:10" ht="146.25">
      <c r="A208" s="27" t="s">
        <v>2314</v>
      </c>
      <c r="B208" s="300" t="s">
        <v>2315</v>
      </c>
      <c r="C208" s="569" t="s">
        <v>2316</v>
      </c>
      <c r="D208" s="569">
        <v>2.4E-2</v>
      </c>
      <c r="E208" s="569">
        <v>6</v>
      </c>
      <c r="F208" s="109" t="s">
        <v>2304</v>
      </c>
      <c r="G208" s="73">
        <v>25000000</v>
      </c>
      <c r="H208" s="569" t="s">
        <v>2296</v>
      </c>
      <c r="I208" s="109" t="s">
        <v>2305</v>
      </c>
      <c r="J208" s="508">
        <v>105000000</v>
      </c>
    </row>
    <row r="209" spans="1:10" ht="180">
      <c r="A209" s="27" t="s">
        <v>2314</v>
      </c>
      <c r="B209" s="300" t="s">
        <v>2317</v>
      </c>
      <c r="C209" s="569"/>
      <c r="D209" s="569">
        <v>0.04</v>
      </c>
      <c r="E209" s="569">
        <v>5</v>
      </c>
      <c r="F209" s="109" t="s">
        <v>2318</v>
      </c>
      <c r="G209" s="73">
        <v>30000000</v>
      </c>
      <c r="H209" s="569" t="s">
        <v>2296</v>
      </c>
      <c r="I209" s="109" t="s">
        <v>2319</v>
      </c>
      <c r="J209" s="508">
        <v>220000000</v>
      </c>
    </row>
    <row r="210" spans="1:10" ht="146.25">
      <c r="A210" s="27" t="s">
        <v>2314</v>
      </c>
      <c r="B210" s="300" t="s">
        <v>2320</v>
      </c>
      <c r="C210" s="569" t="s">
        <v>2321</v>
      </c>
      <c r="D210" s="569">
        <v>4.4999999999999998E-2</v>
      </c>
      <c r="E210" s="569">
        <v>5</v>
      </c>
      <c r="F210" s="109" t="s">
        <v>2304</v>
      </c>
      <c r="G210" s="73">
        <v>25000000</v>
      </c>
      <c r="H210" s="569" t="s">
        <v>2296</v>
      </c>
      <c r="I210" s="109" t="s">
        <v>2305</v>
      </c>
      <c r="J210" s="508">
        <v>170000000</v>
      </c>
    </row>
    <row r="211" spans="1:10" ht="168.75">
      <c r="A211" s="27" t="s">
        <v>2322</v>
      </c>
      <c r="B211" s="300" t="s">
        <v>2323</v>
      </c>
      <c r="C211" s="569" t="s">
        <v>2324</v>
      </c>
      <c r="D211" s="569">
        <v>7</v>
      </c>
      <c r="E211" s="569">
        <v>6</v>
      </c>
      <c r="F211" s="109" t="s">
        <v>2325</v>
      </c>
      <c r="G211" s="73">
        <v>4000000</v>
      </c>
      <c r="H211" s="569" t="s">
        <v>2296</v>
      </c>
      <c r="I211" s="109" t="s">
        <v>2326</v>
      </c>
      <c r="J211" s="508">
        <v>60000000</v>
      </c>
    </row>
    <row r="212" spans="1:10" ht="180">
      <c r="A212" s="27" t="s">
        <v>2327</v>
      </c>
      <c r="B212" s="300" t="s">
        <v>2328</v>
      </c>
      <c r="C212" s="569" t="s">
        <v>2329</v>
      </c>
      <c r="D212" s="569">
        <v>0.06</v>
      </c>
      <c r="E212" s="569">
        <v>10</v>
      </c>
      <c r="F212" s="109" t="s">
        <v>2330</v>
      </c>
      <c r="G212" s="73">
        <v>25000000</v>
      </c>
      <c r="H212" s="569" t="s">
        <v>2296</v>
      </c>
      <c r="I212" s="109" t="s">
        <v>2313</v>
      </c>
      <c r="J212" s="508">
        <v>120000000</v>
      </c>
    </row>
    <row r="213" spans="1:10" ht="168.75">
      <c r="A213" s="27" t="s">
        <v>2327</v>
      </c>
      <c r="B213" s="300" t="s">
        <v>2331</v>
      </c>
      <c r="C213" s="569" t="s">
        <v>2329</v>
      </c>
      <c r="D213" s="569">
        <v>7</v>
      </c>
      <c r="E213" s="569">
        <v>6</v>
      </c>
      <c r="F213" s="109" t="s">
        <v>2325</v>
      </c>
      <c r="G213" s="73">
        <v>4000000</v>
      </c>
      <c r="H213" s="569" t="s">
        <v>2296</v>
      </c>
      <c r="I213" s="109" t="s">
        <v>2326</v>
      </c>
      <c r="J213" s="508">
        <v>60000000</v>
      </c>
    </row>
    <row r="214" spans="1:10" ht="180">
      <c r="A214" s="27" t="s">
        <v>2327</v>
      </c>
      <c r="B214" s="300" t="s">
        <v>2332</v>
      </c>
      <c r="C214" s="569" t="s">
        <v>2333</v>
      </c>
      <c r="D214" s="569">
        <v>0.06</v>
      </c>
      <c r="E214" s="569">
        <v>10</v>
      </c>
      <c r="F214" s="109" t="s">
        <v>2330</v>
      </c>
      <c r="G214" s="73">
        <v>25000000</v>
      </c>
      <c r="H214" s="569" t="s">
        <v>2296</v>
      </c>
      <c r="I214" s="109" t="s">
        <v>2313</v>
      </c>
      <c r="J214" s="508">
        <v>170000000</v>
      </c>
    </row>
    <row r="215" spans="1:10" ht="146.25">
      <c r="A215" s="27" t="s">
        <v>2334</v>
      </c>
      <c r="B215" s="300" t="s">
        <v>2335</v>
      </c>
      <c r="C215" s="569" t="s">
        <v>2336</v>
      </c>
      <c r="D215" s="569">
        <v>0.06</v>
      </c>
      <c r="E215" s="569">
        <v>6</v>
      </c>
      <c r="F215" s="109" t="s">
        <v>2304</v>
      </c>
      <c r="G215" s="73">
        <v>25000000</v>
      </c>
      <c r="H215" s="569" t="s">
        <v>2296</v>
      </c>
      <c r="I215" s="109" t="s">
        <v>2305</v>
      </c>
      <c r="J215" s="509">
        <v>220000000</v>
      </c>
    </row>
    <row r="216" spans="1:10" ht="180">
      <c r="A216" s="27" t="s">
        <v>2334</v>
      </c>
      <c r="B216" s="300" t="s">
        <v>2337</v>
      </c>
      <c r="C216" s="569" t="s">
        <v>2336</v>
      </c>
      <c r="D216" s="569">
        <v>0.06</v>
      </c>
      <c r="E216" s="569">
        <v>9</v>
      </c>
      <c r="F216" s="109" t="s">
        <v>2330</v>
      </c>
      <c r="G216" s="73">
        <v>25000000</v>
      </c>
      <c r="H216" s="569" t="s">
        <v>2296</v>
      </c>
      <c r="I216" s="109" t="s">
        <v>2313</v>
      </c>
      <c r="J216" s="509">
        <v>150000000</v>
      </c>
    </row>
    <row r="217" spans="1:10" ht="22.5">
      <c r="A217" s="22">
        <v>0</v>
      </c>
      <c r="B217" s="26" t="s">
        <v>23960</v>
      </c>
      <c r="C217" s="569" t="s">
        <v>23961</v>
      </c>
      <c r="D217" s="569">
        <v>12.335000000000001</v>
      </c>
      <c r="E217" s="569">
        <v>7.5</v>
      </c>
      <c r="F217" s="569" t="s">
        <v>23962</v>
      </c>
      <c r="G217" s="73">
        <v>0</v>
      </c>
      <c r="H217" s="569">
        <v>1</v>
      </c>
      <c r="I217" s="569" t="s">
        <v>23963</v>
      </c>
      <c r="J217" s="531">
        <v>850000</v>
      </c>
    </row>
    <row r="218" spans="1:10" ht="45">
      <c r="A218" s="22">
        <v>0</v>
      </c>
      <c r="B218" s="26" t="s">
        <v>23964</v>
      </c>
      <c r="C218" s="569" t="s">
        <v>23965</v>
      </c>
      <c r="D218" s="569">
        <v>12.335000000000001</v>
      </c>
      <c r="E218" s="569">
        <v>7</v>
      </c>
      <c r="F218" s="569" t="s">
        <v>23962</v>
      </c>
      <c r="G218" s="73">
        <v>0</v>
      </c>
      <c r="H218" s="569">
        <v>1</v>
      </c>
      <c r="I218" s="569" t="s">
        <v>23963</v>
      </c>
      <c r="J218" s="531">
        <v>2500000</v>
      </c>
    </row>
    <row r="219" spans="1:10" ht="22.5">
      <c r="A219" s="22">
        <v>0</v>
      </c>
      <c r="B219" s="26" t="s">
        <v>23966</v>
      </c>
      <c r="C219" s="569" t="s">
        <v>23967</v>
      </c>
      <c r="D219" s="569">
        <v>1.6950000000000001</v>
      </c>
      <c r="E219" s="569">
        <v>7</v>
      </c>
      <c r="F219" s="569" t="s">
        <v>23968</v>
      </c>
      <c r="G219" s="73">
        <v>0</v>
      </c>
      <c r="H219" s="569">
        <v>1</v>
      </c>
      <c r="I219" s="569" t="s">
        <v>23969</v>
      </c>
      <c r="J219" s="531">
        <v>63000</v>
      </c>
    </row>
    <row r="220" spans="1:10" ht="45">
      <c r="A220" s="22">
        <v>0</v>
      </c>
      <c r="B220" s="26" t="s">
        <v>2525</v>
      </c>
      <c r="C220" s="569" t="s">
        <v>23970</v>
      </c>
      <c r="D220" s="569">
        <v>5.63</v>
      </c>
      <c r="E220" s="569">
        <v>6</v>
      </c>
      <c r="F220" s="569" t="s">
        <v>23962</v>
      </c>
      <c r="G220" s="73">
        <v>0</v>
      </c>
      <c r="H220" s="569">
        <v>1</v>
      </c>
      <c r="I220" s="569" t="s">
        <v>23963</v>
      </c>
      <c r="J220" s="531">
        <v>750000</v>
      </c>
    </row>
    <row r="221" spans="1:10" ht="45">
      <c r="A221" s="22">
        <v>0</v>
      </c>
      <c r="B221" s="26" t="s">
        <v>12146</v>
      </c>
      <c r="C221" s="569" t="s">
        <v>23971</v>
      </c>
      <c r="D221" s="569">
        <v>5.63</v>
      </c>
      <c r="E221" s="569">
        <v>40</v>
      </c>
      <c r="F221" s="569" t="s">
        <v>23972</v>
      </c>
      <c r="G221" s="73">
        <v>0</v>
      </c>
      <c r="H221" s="569">
        <v>1</v>
      </c>
      <c r="I221" s="569" t="s">
        <v>23562</v>
      </c>
      <c r="J221" s="531">
        <v>85000000</v>
      </c>
    </row>
    <row r="222" spans="1:10" ht="15.75">
      <c r="A222" s="1013" t="s">
        <v>189</v>
      </c>
      <c r="B222" s="1014"/>
      <c r="C222" s="1014"/>
      <c r="D222" s="1014"/>
      <c r="E222" s="1014"/>
      <c r="F222" s="1014"/>
      <c r="G222" s="550">
        <f>SUM(G202:G221)</f>
        <v>853000000</v>
      </c>
      <c r="H222" s="564"/>
      <c r="I222" s="564"/>
      <c r="J222" s="626">
        <f>SUM(J202:J221)</f>
        <v>2954163000</v>
      </c>
    </row>
    <row r="223" spans="1:10" ht="15.75">
      <c r="A223" s="1013" t="s">
        <v>23897</v>
      </c>
      <c r="B223" s="1014"/>
      <c r="C223" s="1014"/>
      <c r="D223" s="1014"/>
      <c r="E223" s="1014"/>
      <c r="F223" s="1014"/>
      <c r="G223" s="1014"/>
      <c r="H223" s="1014"/>
      <c r="I223" s="1014"/>
      <c r="J223" s="1015"/>
    </row>
    <row r="224" spans="1:10" ht="22.5">
      <c r="A224" s="22" t="s">
        <v>23897</v>
      </c>
      <c r="B224" s="26">
        <v>0</v>
      </c>
      <c r="C224" s="569" t="s">
        <v>23898</v>
      </c>
      <c r="D224" s="569">
        <v>2.99</v>
      </c>
      <c r="E224" s="569">
        <v>7.4</v>
      </c>
      <c r="F224" s="569" t="s">
        <v>5921</v>
      </c>
      <c r="G224" s="73">
        <v>0</v>
      </c>
      <c r="H224" s="569">
        <v>1</v>
      </c>
      <c r="I224" s="569" t="s">
        <v>23899</v>
      </c>
      <c r="J224" s="531">
        <v>2595213</v>
      </c>
    </row>
    <row r="225" spans="1:10" ht="15.75">
      <c r="A225" s="1013" t="s">
        <v>189</v>
      </c>
      <c r="B225" s="1014"/>
      <c r="C225" s="1014"/>
      <c r="D225" s="1014"/>
      <c r="E225" s="1014"/>
      <c r="F225" s="1014"/>
      <c r="G225" s="550">
        <f>SUM(G224)</f>
        <v>0</v>
      </c>
      <c r="H225" s="564"/>
      <c r="I225" s="564"/>
      <c r="J225" s="626">
        <f>SUM(J224)</f>
        <v>2595213</v>
      </c>
    </row>
    <row r="226" spans="1:10" ht="15.75">
      <c r="A226" s="1013" t="s">
        <v>2406</v>
      </c>
      <c r="B226" s="1014"/>
      <c r="C226" s="1014"/>
      <c r="D226" s="1014"/>
      <c r="E226" s="1014"/>
      <c r="F226" s="1014"/>
      <c r="G226" s="1014"/>
      <c r="H226" s="1014"/>
      <c r="I226" s="1014"/>
      <c r="J226" s="1015"/>
    </row>
    <row r="227" spans="1:10" ht="112.5">
      <c r="A227" s="27" t="s">
        <v>126</v>
      </c>
      <c r="B227" s="300" t="s">
        <v>2400</v>
      </c>
      <c r="C227" s="70" t="s">
        <v>2401</v>
      </c>
      <c r="D227" s="569">
        <v>2</v>
      </c>
      <c r="E227" s="569">
        <v>14</v>
      </c>
      <c r="F227" s="569" t="s">
        <v>2402</v>
      </c>
      <c r="G227" s="73">
        <v>45000000</v>
      </c>
      <c r="H227" s="569">
        <v>1</v>
      </c>
      <c r="I227" s="569" t="s">
        <v>2403</v>
      </c>
      <c r="J227" s="531">
        <v>85500000</v>
      </c>
    </row>
    <row r="228" spans="1:10" ht="135">
      <c r="A228" s="27" t="s">
        <v>126</v>
      </c>
      <c r="B228" s="300" t="s">
        <v>2400</v>
      </c>
      <c r="C228" s="70" t="s">
        <v>2401</v>
      </c>
      <c r="D228" s="578">
        <v>0.5</v>
      </c>
      <c r="E228" s="569">
        <v>14</v>
      </c>
      <c r="F228" s="569" t="s">
        <v>2404</v>
      </c>
      <c r="G228" s="73">
        <v>23500000</v>
      </c>
      <c r="H228" s="569">
        <v>1</v>
      </c>
      <c r="I228" s="569" t="s">
        <v>2405</v>
      </c>
      <c r="J228" s="531">
        <v>35000000</v>
      </c>
    </row>
    <row r="229" spans="1:10" ht="15.75">
      <c r="A229" s="1013" t="s">
        <v>189</v>
      </c>
      <c r="B229" s="1014"/>
      <c r="C229" s="1014"/>
      <c r="D229" s="1014"/>
      <c r="E229" s="1014"/>
      <c r="F229" s="1014"/>
      <c r="G229" s="550">
        <f>SUM(G227:G228)</f>
        <v>68500000</v>
      </c>
      <c r="H229" s="564"/>
      <c r="I229" s="564"/>
      <c r="J229" s="626">
        <f>SUM(J227:J228)</f>
        <v>120500000</v>
      </c>
    </row>
    <row r="230" spans="1:10" ht="15.75">
      <c r="A230" s="1013" t="s">
        <v>9995</v>
      </c>
      <c r="B230" s="1014"/>
      <c r="C230" s="1014"/>
      <c r="D230" s="1014"/>
      <c r="E230" s="1014"/>
      <c r="F230" s="1014"/>
      <c r="G230" s="1014"/>
      <c r="H230" s="1014"/>
      <c r="I230" s="1014"/>
      <c r="J230" s="1015"/>
    </row>
    <row r="231" spans="1:10" ht="45">
      <c r="A231" s="22" t="s">
        <v>1675</v>
      </c>
      <c r="B231" s="26" t="s">
        <v>1088</v>
      </c>
      <c r="C231" s="569" t="s">
        <v>23611</v>
      </c>
      <c r="D231" s="569">
        <v>2.1</v>
      </c>
      <c r="E231" s="569">
        <v>8</v>
      </c>
      <c r="F231" s="569" t="s">
        <v>391</v>
      </c>
      <c r="G231" s="73">
        <v>0</v>
      </c>
      <c r="H231" s="569">
        <v>1</v>
      </c>
      <c r="I231" s="569" t="s">
        <v>23612</v>
      </c>
      <c r="J231" s="531">
        <v>212407358.86000001</v>
      </c>
    </row>
    <row r="232" spans="1:10" ht="45">
      <c r="A232" s="22" t="s">
        <v>9995</v>
      </c>
      <c r="B232" s="26">
        <v>0</v>
      </c>
      <c r="C232" s="569" t="s">
        <v>23611</v>
      </c>
      <c r="D232" s="569">
        <v>2.1</v>
      </c>
      <c r="E232" s="569">
        <v>8</v>
      </c>
      <c r="F232" s="569" t="s">
        <v>23613</v>
      </c>
      <c r="G232" s="73">
        <v>0</v>
      </c>
      <c r="H232" s="569">
        <v>1</v>
      </c>
      <c r="I232" s="569" t="s">
        <v>23614</v>
      </c>
      <c r="J232" s="531">
        <v>0</v>
      </c>
    </row>
    <row r="233" spans="1:10" ht="15.75">
      <c r="A233" s="1013" t="s">
        <v>189</v>
      </c>
      <c r="B233" s="1014"/>
      <c r="C233" s="1014"/>
      <c r="D233" s="1014"/>
      <c r="E233" s="1014"/>
      <c r="F233" s="1014"/>
      <c r="G233" s="550">
        <f>SUM(G231:G232)</f>
        <v>0</v>
      </c>
      <c r="H233" s="564"/>
      <c r="I233" s="564"/>
      <c r="J233" s="626">
        <f>SUM(J231:J232)</f>
        <v>212407358.86000001</v>
      </c>
    </row>
    <row r="234" spans="1:10" ht="15.75">
      <c r="A234" s="1013" t="s">
        <v>2429</v>
      </c>
      <c r="B234" s="1014"/>
      <c r="C234" s="1014"/>
      <c r="D234" s="1014"/>
      <c r="E234" s="1014"/>
      <c r="F234" s="1014"/>
      <c r="G234" s="1014"/>
      <c r="H234" s="1014"/>
      <c r="I234" s="1014"/>
      <c r="J234" s="1015"/>
    </row>
    <row r="235" spans="1:10" ht="45">
      <c r="A235" s="27" t="s">
        <v>2430</v>
      </c>
      <c r="B235" s="300" t="s">
        <v>2431</v>
      </c>
      <c r="C235" s="569" t="s">
        <v>2432</v>
      </c>
      <c r="D235" s="569">
        <v>0.5</v>
      </c>
      <c r="E235" s="569">
        <v>9</v>
      </c>
      <c r="F235" s="569" t="s">
        <v>2433</v>
      </c>
      <c r="G235" s="73">
        <v>2500000</v>
      </c>
      <c r="H235" s="569" t="s">
        <v>31</v>
      </c>
      <c r="I235" s="569" t="s">
        <v>2434</v>
      </c>
      <c r="J235" s="509">
        <v>26500000</v>
      </c>
    </row>
    <row r="236" spans="1:10" ht="45">
      <c r="A236" s="27" t="s">
        <v>2430</v>
      </c>
      <c r="B236" s="300" t="s">
        <v>1754</v>
      </c>
      <c r="C236" s="569" t="s">
        <v>2435</v>
      </c>
      <c r="D236" s="569">
        <v>4</v>
      </c>
      <c r="E236" s="569">
        <v>9</v>
      </c>
      <c r="F236" s="569" t="s">
        <v>2433</v>
      </c>
      <c r="G236" s="73">
        <v>10000000</v>
      </c>
      <c r="H236" s="569" t="s">
        <v>31</v>
      </c>
      <c r="I236" s="569" t="s">
        <v>2434</v>
      </c>
      <c r="J236" s="509">
        <v>212000000</v>
      </c>
    </row>
    <row r="237" spans="1:10" ht="45">
      <c r="A237" s="27" t="s">
        <v>2430</v>
      </c>
      <c r="B237" s="300" t="s">
        <v>2436</v>
      </c>
      <c r="C237" s="569" t="s">
        <v>2437</v>
      </c>
      <c r="D237" s="569">
        <v>5</v>
      </c>
      <c r="E237" s="569">
        <v>9</v>
      </c>
      <c r="F237" s="569" t="s">
        <v>2433</v>
      </c>
      <c r="G237" s="73">
        <v>10000000</v>
      </c>
      <c r="H237" s="569" t="s">
        <v>31</v>
      </c>
      <c r="I237" s="569" t="s">
        <v>2434</v>
      </c>
      <c r="J237" s="509">
        <v>265000000</v>
      </c>
    </row>
    <row r="238" spans="1:10" ht="45">
      <c r="A238" s="27" t="s">
        <v>2438</v>
      </c>
      <c r="B238" s="300" t="s">
        <v>2439</v>
      </c>
      <c r="C238" s="569" t="s">
        <v>2440</v>
      </c>
      <c r="D238" s="569">
        <v>0.5</v>
      </c>
      <c r="E238" s="569">
        <v>9</v>
      </c>
      <c r="F238" s="569" t="s">
        <v>2433</v>
      </c>
      <c r="G238" s="73">
        <v>3000000</v>
      </c>
      <c r="H238" s="569" t="s">
        <v>31</v>
      </c>
      <c r="I238" s="569" t="s">
        <v>2434</v>
      </c>
      <c r="J238" s="509">
        <v>26500000</v>
      </c>
    </row>
    <row r="239" spans="1:10" ht="45">
      <c r="A239" s="27" t="s">
        <v>2438</v>
      </c>
      <c r="B239" s="300" t="s">
        <v>2441</v>
      </c>
      <c r="C239" s="569" t="s">
        <v>2442</v>
      </c>
      <c r="D239" s="569">
        <v>4</v>
      </c>
      <c r="E239" s="569">
        <v>9</v>
      </c>
      <c r="F239" s="569" t="s">
        <v>2433</v>
      </c>
      <c r="G239" s="73">
        <v>5000000</v>
      </c>
      <c r="H239" s="569" t="s">
        <v>31</v>
      </c>
      <c r="I239" s="569" t="s">
        <v>2434</v>
      </c>
      <c r="J239" s="509">
        <v>212000000</v>
      </c>
    </row>
    <row r="240" spans="1:10" ht="45">
      <c r="A240" s="27" t="s">
        <v>2438</v>
      </c>
      <c r="B240" s="300" t="s">
        <v>2443</v>
      </c>
      <c r="C240" s="569" t="s">
        <v>2444</v>
      </c>
      <c r="D240" s="569">
        <v>20</v>
      </c>
      <c r="E240" s="569">
        <v>9</v>
      </c>
      <c r="F240" s="569" t="s">
        <v>2433</v>
      </c>
      <c r="G240" s="73">
        <v>15000000</v>
      </c>
      <c r="H240" s="569" t="s">
        <v>31</v>
      </c>
      <c r="I240" s="569" t="s">
        <v>2434</v>
      </c>
      <c r="J240" s="509">
        <v>1060000000</v>
      </c>
    </row>
    <row r="241" spans="1:10" ht="45">
      <c r="A241" s="27" t="s">
        <v>2438</v>
      </c>
      <c r="B241" s="300" t="s">
        <v>2445</v>
      </c>
      <c r="C241" s="569" t="s">
        <v>2446</v>
      </c>
      <c r="D241" s="569">
        <v>0.5</v>
      </c>
      <c r="E241" s="569">
        <v>9</v>
      </c>
      <c r="F241" s="569" t="s">
        <v>2433</v>
      </c>
      <c r="G241" s="73">
        <v>2000000</v>
      </c>
      <c r="H241" s="569" t="s">
        <v>31</v>
      </c>
      <c r="I241" s="569" t="s">
        <v>2434</v>
      </c>
      <c r="J241" s="509">
        <v>26500000</v>
      </c>
    </row>
    <row r="242" spans="1:10" ht="45">
      <c r="A242" s="27" t="s">
        <v>2438</v>
      </c>
      <c r="B242" s="300" t="s">
        <v>2447</v>
      </c>
      <c r="C242" s="569" t="s">
        <v>2448</v>
      </c>
      <c r="D242" s="569">
        <v>4</v>
      </c>
      <c r="E242" s="569">
        <v>9</v>
      </c>
      <c r="F242" s="569" t="s">
        <v>2433</v>
      </c>
      <c r="G242" s="73">
        <v>3000000</v>
      </c>
      <c r="H242" s="569" t="s">
        <v>31</v>
      </c>
      <c r="I242" s="569" t="s">
        <v>2434</v>
      </c>
      <c r="J242" s="509">
        <v>212000000</v>
      </c>
    </row>
    <row r="243" spans="1:10" ht="45">
      <c r="A243" s="27" t="s">
        <v>2438</v>
      </c>
      <c r="B243" s="300" t="s">
        <v>2449</v>
      </c>
      <c r="C243" s="569" t="s">
        <v>2450</v>
      </c>
      <c r="D243" s="569">
        <v>1.5</v>
      </c>
      <c r="E243" s="569">
        <v>9</v>
      </c>
      <c r="F243" s="569" t="s">
        <v>2433</v>
      </c>
      <c r="G243" s="73">
        <v>3000000</v>
      </c>
      <c r="H243" s="569" t="s">
        <v>31</v>
      </c>
      <c r="I243" s="569" t="s">
        <v>2434</v>
      </c>
      <c r="J243" s="509">
        <v>79500000</v>
      </c>
    </row>
    <row r="244" spans="1:10" ht="45">
      <c r="A244" s="27" t="s">
        <v>2438</v>
      </c>
      <c r="B244" s="300" t="s">
        <v>2451</v>
      </c>
      <c r="C244" s="569" t="s">
        <v>2452</v>
      </c>
      <c r="D244" s="569">
        <v>4</v>
      </c>
      <c r="E244" s="569">
        <v>9</v>
      </c>
      <c r="F244" s="569" t="s">
        <v>2433</v>
      </c>
      <c r="G244" s="73">
        <v>8000000</v>
      </c>
      <c r="H244" s="569" t="s">
        <v>31</v>
      </c>
      <c r="I244" s="569" t="s">
        <v>2434</v>
      </c>
      <c r="J244" s="509">
        <v>212000000</v>
      </c>
    </row>
    <row r="245" spans="1:10" ht="45">
      <c r="A245" s="27" t="s">
        <v>2438</v>
      </c>
      <c r="B245" s="300" t="s">
        <v>2453</v>
      </c>
      <c r="C245" s="569" t="s">
        <v>2454</v>
      </c>
      <c r="D245" s="569">
        <v>0.75</v>
      </c>
      <c r="E245" s="569">
        <v>9</v>
      </c>
      <c r="F245" s="569" t="s">
        <v>2433</v>
      </c>
      <c r="G245" s="73">
        <v>2500000</v>
      </c>
      <c r="H245" s="569" t="s">
        <v>31</v>
      </c>
      <c r="I245" s="569" t="s">
        <v>2434</v>
      </c>
      <c r="J245" s="509">
        <v>39750000</v>
      </c>
    </row>
    <row r="246" spans="1:10" ht="45">
      <c r="A246" s="27" t="s">
        <v>2438</v>
      </c>
      <c r="B246" s="300" t="s">
        <v>2455</v>
      </c>
      <c r="C246" s="569" t="s">
        <v>2456</v>
      </c>
      <c r="D246" s="569">
        <v>2</v>
      </c>
      <c r="E246" s="569">
        <v>9</v>
      </c>
      <c r="F246" s="569" t="s">
        <v>2433</v>
      </c>
      <c r="G246" s="73">
        <v>5000000</v>
      </c>
      <c r="H246" s="569" t="s">
        <v>31</v>
      </c>
      <c r="I246" s="569" t="s">
        <v>2434</v>
      </c>
      <c r="J246" s="509">
        <v>106000000</v>
      </c>
    </row>
    <row r="247" spans="1:10" ht="45">
      <c r="A247" s="27" t="s">
        <v>2457</v>
      </c>
      <c r="B247" s="300" t="s">
        <v>2458</v>
      </c>
      <c r="C247" s="569" t="s">
        <v>2459</v>
      </c>
      <c r="D247" s="569">
        <v>6</v>
      </c>
      <c r="E247" s="569">
        <v>9</v>
      </c>
      <c r="F247" s="569" t="s">
        <v>2433</v>
      </c>
      <c r="G247" s="73">
        <v>9000000</v>
      </c>
      <c r="H247" s="569" t="s">
        <v>31</v>
      </c>
      <c r="I247" s="569" t="s">
        <v>2434</v>
      </c>
      <c r="J247" s="509">
        <v>318000000</v>
      </c>
    </row>
    <row r="248" spans="1:10" ht="45">
      <c r="A248" s="27" t="s">
        <v>2457</v>
      </c>
      <c r="B248" s="300" t="s">
        <v>2460</v>
      </c>
      <c r="C248" s="569" t="s">
        <v>2461</v>
      </c>
      <c r="D248" s="569">
        <v>6</v>
      </c>
      <c r="E248" s="569">
        <v>9</v>
      </c>
      <c r="F248" s="569" t="s">
        <v>2433</v>
      </c>
      <c r="G248" s="73">
        <v>12000000</v>
      </c>
      <c r="H248" s="569" t="s">
        <v>31</v>
      </c>
      <c r="I248" s="569" t="s">
        <v>2434</v>
      </c>
      <c r="J248" s="509">
        <v>318000000</v>
      </c>
    </row>
    <row r="249" spans="1:10" ht="45">
      <c r="A249" s="27" t="s">
        <v>2462</v>
      </c>
      <c r="B249" s="300" t="s">
        <v>2463</v>
      </c>
      <c r="C249" s="569" t="s">
        <v>2464</v>
      </c>
      <c r="D249" s="569">
        <v>4</v>
      </c>
      <c r="E249" s="569">
        <v>9</v>
      </c>
      <c r="F249" s="569" t="s">
        <v>2433</v>
      </c>
      <c r="G249" s="73">
        <v>10000000</v>
      </c>
      <c r="H249" s="569" t="s">
        <v>31</v>
      </c>
      <c r="I249" s="569" t="s">
        <v>2434</v>
      </c>
      <c r="J249" s="509">
        <v>212000000</v>
      </c>
    </row>
    <row r="250" spans="1:10" ht="25.5">
      <c r="A250" s="22" t="s">
        <v>24684</v>
      </c>
      <c r="B250" s="26">
        <v>0</v>
      </c>
      <c r="C250" s="569" t="s">
        <v>24685</v>
      </c>
      <c r="D250" s="569">
        <v>20.405000000000001</v>
      </c>
      <c r="E250" s="569">
        <v>11.1</v>
      </c>
      <c r="F250" s="569" t="s">
        <v>5921</v>
      </c>
      <c r="G250" s="73">
        <v>0</v>
      </c>
      <c r="H250" s="569">
        <v>1</v>
      </c>
      <c r="I250" s="569" t="s">
        <v>23899</v>
      </c>
      <c r="J250" s="531">
        <v>1894522</v>
      </c>
    </row>
    <row r="251" spans="1:10" ht="25.5">
      <c r="A251" s="22" t="s">
        <v>24686</v>
      </c>
      <c r="B251" s="26">
        <v>0</v>
      </c>
      <c r="C251" s="569" t="s">
        <v>24687</v>
      </c>
      <c r="D251" s="569">
        <v>2.2650000000000001</v>
      </c>
      <c r="E251" s="569">
        <v>7.4</v>
      </c>
      <c r="F251" s="569" t="s">
        <v>24688</v>
      </c>
      <c r="G251" s="73">
        <v>0</v>
      </c>
      <c r="H251" s="569">
        <v>1</v>
      </c>
      <c r="I251" s="569" t="s">
        <v>24438</v>
      </c>
      <c r="J251" s="531">
        <v>36668091.909999996</v>
      </c>
    </row>
    <row r="252" spans="1:10" ht="15.75">
      <c r="A252" s="1013" t="s">
        <v>189</v>
      </c>
      <c r="B252" s="1014"/>
      <c r="C252" s="1014"/>
      <c r="D252" s="1014"/>
      <c r="E252" s="1014"/>
      <c r="F252" s="1014"/>
      <c r="G252" s="550">
        <f>SUM(G235:G251)</f>
        <v>100000000</v>
      </c>
      <c r="H252" s="564"/>
      <c r="I252" s="564"/>
      <c r="J252" s="626">
        <f>SUM(J235:J251)</f>
        <v>3364312613.9099998</v>
      </c>
    </row>
    <row r="253" spans="1:10" ht="15.75">
      <c r="A253" s="1013" t="s">
        <v>2784</v>
      </c>
      <c r="B253" s="1014"/>
      <c r="C253" s="1014"/>
      <c r="D253" s="1014"/>
      <c r="E253" s="1014"/>
      <c r="F253" s="1014"/>
      <c r="G253" s="1014"/>
      <c r="H253" s="1014"/>
      <c r="I253" s="1014"/>
      <c r="J253" s="1015"/>
    </row>
    <row r="254" spans="1:10" ht="33.75">
      <c r="A254" s="22" t="s">
        <v>2505</v>
      </c>
      <c r="B254" s="26" t="s">
        <v>2506</v>
      </c>
      <c r="C254" s="76">
        <v>11200100</v>
      </c>
      <c r="D254" s="77">
        <v>6.3360000000000003</v>
      </c>
      <c r="E254" s="26"/>
      <c r="F254" s="78" t="s">
        <v>2507</v>
      </c>
      <c r="G254" s="381">
        <v>45000000</v>
      </c>
      <c r="H254" s="26">
        <v>1</v>
      </c>
      <c r="I254" s="78" t="s">
        <v>2508</v>
      </c>
      <c r="J254" s="530">
        <v>50000000</v>
      </c>
    </row>
    <row r="255" spans="1:10" ht="33.75">
      <c r="A255" s="22" t="s">
        <v>2509</v>
      </c>
      <c r="B255" s="26" t="s">
        <v>2509</v>
      </c>
      <c r="C255" s="76">
        <v>11200100</v>
      </c>
      <c r="D255" s="77">
        <v>9</v>
      </c>
      <c r="E255" s="26"/>
      <c r="F255" s="78" t="s">
        <v>2510</v>
      </c>
      <c r="G255" s="381">
        <v>5000000</v>
      </c>
      <c r="H255" s="26">
        <v>1</v>
      </c>
      <c r="I255" s="78" t="s">
        <v>2511</v>
      </c>
      <c r="J255" s="530">
        <v>7000000</v>
      </c>
    </row>
    <row r="256" spans="1:10" ht="33.75">
      <c r="A256" s="22" t="s">
        <v>2505</v>
      </c>
      <c r="B256" s="26" t="s">
        <v>2512</v>
      </c>
      <c r="C256" s="76">
        <v>11200200</v>
      </c>
      <c r="D256" s="77">
        <v>5.7560000000000002</v>
      </c>
      <c r="E256" s="26"/>
      <c r="F256" s="78" t="s">
        <v>2507</v>
      </c>
      <c r="G256" s="381">
        <v>40000000</v>
      </c>
      <c r="H256" s="26">
        <v>1</v>
      </c>
      <c r="I256" s="78" t="s">
        <v>2508</v>
      </c>
      <c r="J256" s="530">
        <v>42000000</v>
      </c>
    </row>
    <row r="257" spans="1:10" ht="33.75">
      <c r="A257" s="22" t="s">
        <v>2509</v>
      </c>
      <c r="B257" s="26" t="s">
        <v>2513</v>
      </c>
      <c r="C257" s="76">
        <v>11200200</v>
      </c>
      <c r="D257" s="77">
        <v>6.5</v>
      </c>
      <c r="E257" s="26"/>
      <c r="F257" s="78" t="s">
        <v>2514</v>
      </c>
      <c r="G257" s="381">
        <v>15000000</v>
      </c>
      <c r="H257" s="26">
        <v>1</v>
      </c>
      <c r="I257" s="78" t="s">
        <v>2511</v>
      </c>
      <c r="J257" s="530">
        <v>78325000</v>
      </c>
    </row>
    <row r="258" spans="1:10" ht="22.5">
      <c r="A258" s="22" t="s">
        <v>2505</v>
      </c>
      <c r="B258" s="26" t="s">
        <v>2515</v>
      </c>
      <c r="C258" s="76">
        <v>11200300</v>
      </c>
      <c r="D258" s="77">
        <v>0.115</v>
      </c>
      <c r="E258" s="26"/>
      <c r="F258" s="78" t="s">
        <v>2516</v>
      </c>
      <c r="G258" s="381">
        <v>0</v>
      </c>
      <c r="H258" s="26">
        <v>2</v>
      </c>
      <c r="I258" s="78" t="s">
        <v>2517</v>
      </c>
      <c r="J258" s="530">
        <v>600000</v>
      </c>
    </row>
    <row r="259" spans="1:10" ht="22.5">
      <c r="A259" s="22" t="s">
        <v>2505</v>
      </c>
      <c r="B259" s="26" t="s">
        <v>2518</v>
      </c>
      <c r="C259" s="76">
        <v>11200400</v>
      </c>
      <c r="D259" s="77">
        <v>0.51700000000000002</v>
      </c>
      <c r="E259" s="26"/>
      <c r="F259" s="78" t="s">
        <v>2516</v>
      </c>
      <c r="G259" s="381">
        <v>2500000</v>
      </c>
      <c r="H259" s="26">
        <v>2</v>
      </c>
      <c r="I259" s="78" t="s">
        <v>2517</v>
      </c>
      <c r="J259" s="530">
        <v>3500000</v>
      </c>
    </row>
    <row r="260" spans="1:10" ht="33.75">
      <c r="A260" s="22" t="s">
        <v>2505</v>
      </c>
      <c r="B260" s="26" t="s">
        <v>2519</v>
      </c>
      <c r="C260" s="76">
        <v>11200500</v>
      </c>
      <c r="D260" s="77">
        <v>1.4</v>
      </c>
      <c r="E260" s="26"/>
      <c r="F260" s="78" t="s">
        <v>2520</v>
      </c>
      <c r="G260" s="381">
        <v>2000000</v>
      </c>
      <c r="H260" s="26">
        <v>1</v>
      </c>
      <c r="I260" s="78" t="s">
        <v>2521</v>
      </c>
      <c r="J260" s="530">
        <v>4500000</v>
      </c>
    </row>
    <row r="261" spans="1:10" ht="22.5">
      <c r="A261" s="22" t="s">
        <v>2505</v>
      </c>
      <c r="B261" s="26" t="s">
        <v>2522</v>
      </c>
      <c r="C261" s="76">
        <v>11200600</v>
      </c>
      <c r="D261" s="77">
        <v>0.4</v>
      </c>
      <c r="E261" s="26"/>
      <c r="F261" s="78" t="s">
        <v>2523</v>
      </c>
      <c r="G261" s="381">
        <v>0</v>
      </c>
      <c r="H261" s="26">
        <v>2</v>
      </c>
      <c r="I261" s="78" t="s">
        <v>2524</v>
      </c>
      <c r="J261" s="530">
        <v>500000</v>
      </c>
    </row>
    <row r="262" spans="1:10" ht="45">
      <c r="A262" s="22" t="s">
        <v>2525</v>
      </c>
      <c r="B262" s="26" t="s">
        <v>2526</v>
      </c>
      <c r="C262" s="76">
        <v>11200700</v>
      </c>
      <c r="D262" s="77">
        <v>1.5</v>
      </c>
      <c r="E262" s="26"/>
      <c r="F262" s="78" t="s">
        <v>2527</v>
      </c>
      <c r="G262" s="381">
        <v>15000000</v>
      </c>
      <c r="H262" s="26">
        <v>1</v>
      </c>
      <c r="I262" s="78" t="s">
        <v>2528</v>
      </c>
      <c r="J262" s="530">
        <v>20000000</v>
      </c>
    </row>
    <row r="263" spans="1:10" ht="45">
      <c r="A263" s="22" t="s">
        <v>2505</v>
      </c>
      <c r="B263" s="26" t="s">
        <v>2529</v>
      </c>
      <c r="C263" s="76">
        <v>11200800</v>
      </c>
      <c r="D263" s="77">
        <v>0.8</v>
      </c>
      <c r="E263" s="26"/>
      <c r="F263" s="78" t="s">
        <v>2527</v>
      </c>
      <c r="G263" s="381">
        <v>15000000</v>
      </c>
      <c r="H263" s="26">
        <v>1</v>
      </c>
      <c r="I263" s="78" t="s">
        <v>2528</v>
      </c>
      <c r="J263" s="530">
        <v>20000000</v>
      </c>
    </row>
    <row r="264" spans="1:10" ht="45">
      <c r="A264" s="22" t="s">
        <v>2525</v>
      </c>
      <c r="B264" s="26" t="s">
        <v>2530</v>
      </c>
      <c r="C264" s="76">
        <v>11200900</v>
      </c>
      <c r="D264" s="77">
        <v>1</v>
      </c>
      <c r="E264" s="26"/>
      <c r="F264" s="78" t="s">
        <v>2531</v>
      </c>
      <c r="G264" s="381">
        <v>6000000</v>
      </c>
      <c r="H264" s="26">
        <v>1</v>
      </c>
      <c r="I264" s="78" t="s">
        <v>2532</v>
      </c>
      <c r="J264" s="530">
        <v>7500000</v>
      </c>
    </row>
    <row r="265" spans="1:10" ht="25.5">
      <c r="A265" s="22" t="s">
        <v>2505</v>
      </c>
      <c r="B265" s="26" t="s">
        <v>2533</v>
      </c>
      <c r="C265" s="76">
        <v>11201100</v>
      </c>
      <c r="D265" s="77">
        <v>0.3</v>
      </c>
      <c r="E265" s="26"/>
      <c r="F265" s="78" t="s">
        <v>2534</v>
      </c>
      <c r="G265" s="381">
        <v>2000000</v>
      </c>
      <c r="H265" s="26">
        <v>2</v>
      </c>
      <c r="I265" s="78" t="s">
        <v>2535</v>
      </c>
      <c r="J265" s="530">
        <v>2500000</v>
      </c>
    </row>
    <row r="266" spans="1:10" ht="33.75">
      <c r="A266" s="22" t="s">
        <v>2505</v>
      </c>
      <c r="B266" s="26" t="s">
        <v>2536</v>
      </c>
      <c r="C266" s="76">
        <v>11201300</v>
      </c>
      <c r="D266" s="77">
        <v>0.9</v>
      </c>
      <c r="E266" s="26"/>
      <c r="F266" s="78" t="s">
        <v>2537</v>
      </c>
      <c r="G266" s="381">
        <v>40000000</v>
      </c>
      <c r="H266" s="26">
        <v>1</v>
      </c>
      <c r="I266" s="78" t="s">
        <v>2538</v>
      </c>
      <c r="J266" s="530">
        <v>45000000</v>
      </c>
    </row>
    <row r="267" spans="1:10" ht="22.5">
      <c r="A267" s="22" t="s">
        <v>2505</v>
      </c>
      <c r="B267" s="26" t="s">
        <v>2539</v>
      </c>
      <c r="C267" s="76">
        <v>11201600</v>
      </c>
      <c r="D267" s="77">
        <v>0.8</v>
      </c>
      <c r="E267" s="26"/>
      <c r="F267" s="78" t="s">
        <v>2540</v>
      </c>
      <c r="G267" s="381">
        <v>6000000</v>
      </c>
      <c r="H267" s="26">
        <v>2</v>
      </c>
      <c r="I267" s="78" t="s">
        <v>2541</v>
      </c>
      <c r="J267" s="530">
        <v>7000000</v>
      </c>
    </row>
    <row r="268" spans="1:10" ht="22.5">
      <c r="A268" s="22" t="s">
        <v>2505</v>
      </c>
      <c r="B268" s="79" t="s">
        <v>2542</v>
      </c>
      <c r="C268" s="76">
        <v>11201700</v>
      </c>
      <c r="D268" s="77">
        <v>0.5</v>
      </c>
      <c r="E268" s="26"/>
      <c r="F268" s="78" t="s">
        <v>2543</v>
      </c>
      <c r="G268" s="381">
        <v>1500000</v>
      </c>
      <c r="H268" s="26">
        <v>1</v>
      </c>
      <c r="I268" s="78" t="s">
        <v>2544</v>
      </c>
      <c r="J268" s="530">
        <v>1600000</v>
      </c>
    </row>
    <row r="269" spans="1:10" ht="33.75">
      <c r="A269" s="22" t="s">
        <v>2505</v>
      </c>
      <c r="B269" s="26" t="s">
        <v>2545</v>
      </c>
      <c r="C269" s="76">
        <v>11201800</v>
      </c>
      <c r="D269" s="77">
        <v>1.7</v>
      </c>
      <c r="E269" s="26"/>
      <c r="F269" s="78" t="s">
        <v>2540</v>
      </c>
      <c r="G269" s="381">
        <v>10000000</v>
      </c>
      <c r="H269" s="26">
        <v>2</v>
      </c>
      <c r="I269" s="78" t="s">
        <v>2546</v>
      </c>
      <c r="J269" s="530">
        <v>20000000</v>
      </c>
    </row>
    <row r="270" spans="1:10" ht="45">
      <c r="A270" s="22" t="s">
        <v>2505</v>
      </c>
      <c r="B270" s="26" t="s">
        <v>2547</v>
      </c>
      <c r="C270" s="76">
        <v>11202000</v>
      </c>
      <c r="D270" s="77">
        <v>0.5</v>
      </c>
      <c r="E270" s="26"/>
      <c r="F270" s="78" t="s">
        <v>2548</v>
      </c>
      <c r="G270" s="381">
        <v>2025000</v>
      </c>
      <c r="H270" s="26">
        <v>1</v>
      </c>
      <c r="I270" s="78" t="s">
        <v>2549</v>
      </c>
      <c r="J270" s="530">
        <v>6025000</v>
      </c>
    </row>
    <row r="271" spans="1:10" ht="33.75">
      <c r="A271" s="22" t="s">
        <v>2505</v>
      </c>
      <c r="B271" s="26" t="s">
        <v>2550</v>
      </c>
      <c r="C271" s="76">
        <v>11202300</v>
      </c>
      <c r="D271" s="77">
        <v>1.8</v>
      </c>
      <c r="E271" s="26"/>
      <c r="F271" s="78" t="s">
        <v>2551</v>
      </c>
      <c r="G271" s="381">
        <v>7290000</v>
      </c>
      <c r="H271" s="26">
        <v>1</v>
      </c>
      <c r="I271" s="78" t="s">
        <v>2552</v>
      </c>
      <c r="J271" s="530">
        <v>21690000</v>
      </c>
    </row>
    <row r="272" spans="1:10" ht="33.75">
      <c r="A272" s="22" t="s">
        <v>2505</v>
      </c>
      <c r="B272" s="26" t="s">
        <v>2553</v>
      </c>
      <c r="C272" s="76">
        <v>11202400</v>
      </c>
      <c r="D272" s="77">
        <v>2.2999999999999998</v>
      </c>
      <c r="E272" s="26"/>
      <c r="F272" s="78" t="s">
        <v>2551</v>
      </c>
      <c r="G272" s="381">
        <v>9315000</v>
      </c>
      <c r="H272" s="26">
        <v>2</v>
      </c>
      <c r="I272" s="78" t="s">
        <v>2552</v>
      </c>
      <c r="J272" s="530">
        <v>27715000</v>
      </c>
    </row>
    <row r="273" spans="1:10" ht="33.75">
      <c r="A273" s="22" t="s">
        <v>2505</v>
      </c>
      <c r="B273" s="26" t="s">
        <v>2554</v>
      </c>
      <c r="C273" s="76">
        <v>11203000</v>
      </c>
      <c r="D273" s="77">
        <v>2</v>
      </c>
      <c r="E273" s="26"/>
      <c r="F273" s="78" t="s">
        <v>2551</v>
      </c>
      <c r="G273" s="381">
        <v>8100000</v>
      </c>
      <c r="H273" s="26">
        <v>1</v>
      </c>
      <c r="I273" s="78" t="s">
        <v>2552</v>
      </c>
      <c r="J273" s="530">
        <v>24100000</v>
      </c>
    </row>
    <row r="274" spans="1:10" ht="33.75">
      <c r="A274" s="22" t="s">
        <v>2505</v>
      </c>
      <c r="B274" s="26" t="s">
        <v>2555</v>
      </c>
      <c r="C274" s="76">
        <v>11203100</v>
      </c>
      <c r="D274" s="77">
        <v>1.044</v>
      </c>
      <c r="E274" s="26"/>
      <c r="F274" s="78" t="s">
        <v>2551</v>
      </c>
      <c r="G274" s="381">
        <v>4228200</v>
      </c>
      <c r="H274" s="26">
        <v>2</v>
      </c>
      <c r="I274" s="78" t="s">
        <v>2552</v>
      </c>
      <c r="J274" s="530">
        <v>12580200</v>
      </c>
    </row>
    <row r="275" spans="1:10" ht="33.75">
      <c r="A275" s="22" t="s">
        <v>2505</v>
      </c>
      <c r="B275" s="26" t="s">
        <v>2556</v>
      </c>
      <c r="C275" s="76">
        <v>11203300</v>
      </c>
      <c r="D275" s="77">
        <v>0.7</v>
      </c>
      <c r="E275" s="26"/>
      <c r="F275" s="78" t="s">
        <v>2551</v>
      </c>
      <c r="G275" s="381">
        <v>2835000</v>
      </c>
      <c r="H275" s="26">
        <v>2</v>
      </c>
      <c r="I275" s="78" t="s">
        <v>2552</v>
      </c>
      <c r="J275" s="530">
        <v>8435000</v>
      </c>
    </row>
    <row r="276" spans="1:10" ht="33.75">
      <c r="A276" s="22" t="s">
        <v>2505</v>
      </c>
      <c r="B276" s="26" t="s">
        <v>2557</v>
      </c>
      <c r="C276" s="76">
        <v>11203400</v>
      </c>
      <c r="D276" s="77">
        <v>0.8</v>
      </c>
      <c r="E276" s="26"/>
      <c r="F276" s="78" t="s">
        <v>2551</v>
      </c>
      <c r="G276" s="381">
        <v>3240000</v>
      </c>
      <c r="H276" s="26">
        <v>2</v>
      </c>
      <c r="I276" s="78" t="s">
        <v>2552</v>
      </c>
      <c r="J276" s="530">
        <v>9640000</v>
      </c>
    </row>
    <row r="277" spans="1:10" ht="33.75">
      <c r="A277" s="22" t="s">
        <v>2505</v>
      </c>
      <c r="B277" s="26" t="s">
        <v>2558</v>
      </c>
      <c r="C277" s="76">
        <v>11203600</v>
      </c>
      <c r="D277" s="77">
        <v>1.698</v>
      </c>
      <c r="E277" s="26"/>
      <c r="F277" s="78" t="s">
        <v>2551</v>
      </c>
      <c r="G277" s="381">
        <v>6876900</v>
      </c>
      <c r="H277" s="26">
        <v>2</v>
      </c>
      <c r="I277" s="78" t="s">
        <v>2552</v>
      </c>
      <c r="J277" s="530">
        <v>20460900</v>
      </c>
    </row>
    <row r="278" spans="1:10" ht="33.75">
      <c r="A278" s="22" t="s">
        <v>2505</v>
      </c>
      <c r="B278" s="26" t="s">
        <v>2559</v>
      </c>
      <c r="C278" s="76">
        <v>11203700</v>
      </c>
      <c r="D278" s="77">
        <v>4</v>
      </c>
      <c r="E278" s="26"/>
      <c r="F278" s="78" t="s">
        <v>2551</v>
      </c>
      <c r="G278" s="381">
        <v>16200000</v>
      </c>
      <c r="H278" s="26">
        <v>1</v>
      </c>
      <c r="I278" s="78" t="s">
        <v>2552</v>
      </c>
      <c r="J278" s="530">
        <v>48200000</v>
      </c>
    </row>
    <row r="279" spans="1:10" ht="33.75">
      <c r="A279" s="22" t="s">
        <v>2505</v>
      </c>
      <c r="B279" s="26" t="s">
        <v>2560</v>
      </c>
      <c r="C279" s="76">
        <v>11203800</v>
      </c>
      <c r="D279" s="77">
        <v>3.3</v>
      </c>
      <c r="E279" s="26"/>
      <c r="F279" s="78" t="s">
        <v>2551</v>
      </c>
      <c r="G279" s="381">
        <v>13365000</v>
      </c>
      <c r="H279" s="26">
        <v>1</v>
      </c>
      <c r="I279" s="78" t="s">
        <v>2552</v>
      </c>
      <c r="J279" s="530">
        <v>39765000</v>
      </c>
    </row>
    <row r="280" spans="1:10" ht="33.75">
      <c r="A280" s="22" t="s">
        <v>2505</v>
      </c>
      <c r="B280" s="26" t="s">
        <v>2561</v>
      </c>
      <c r="C280" s="76">
        <v>11203900</v>
      </c>
      <c r="D280" s="77">
        <v>1.032</v>
      </c>
      <c r="E280" s="26"/>
      <c r="F280" s="78" t="s">
        <v>2551</v>
      </c>
      <c r="G280" s="381">
        <v>4179600</v>
      </c>
      <c r="H280" s="26">
        <v>2</v>
      </c>
      <c r="I280" s="78" t="s">
        <v>2552</v>
      </c>
      <c r="J280" s="530">
        <v>12435600</v>
      </c>
    </row>
    <row r="281" spans="1:10" ht="33.75">
      <c r="A281" s="22" t="s">
        <v>2505</v>
      </c>
      <c r="B281" s="26" t="s">
        <v>2562</v>
      </c>
      <c r="C281" s="76">
        <v>11204000</v>
      </c>
      <c r="D281" s="77">
        <v>0.3</v>
      </c>
      <c r="E281" s="26"/>
      <c r="F281" s="78" t="s">
        <v>2551</v>
      </c>
      <c r="G281" s="381">
        <v>1215000</v>
      </c>
      <c r="H281" s="26">
        <v>2</v>
      </c>
      <c r="I281" s="78" t="s">
        <v>2552</v>
      </c>
      <c r="J281" s="530">
        <v>3615000</v>
      </c>
    </row>
    <row r="282" spans="1:10" ht="33.75">
      <c r="A282" s="22" t="s">
        <v>2505</v>
      </c>
      <c r="B282" s="26" t="s">
        <v>2563</v>
      </c>
      <c r="C282" s="76">
        <v>11204200</v>
      </c>
      <c r="D282" s="77">
        <v>2.052</v>
      </c>
      <c r="E282" s="26"/>
      <c r="F282" s="78" t="s">
        <v>2551</v>
      </c>
      <c r="G282" s="381">
        <v>8310600</v>
      </c>
      <c r="H282" s="26">
        <v>1</v>
      </c>
      <c r="I282" s="78" t="s">
        <v>2552</v>
      </c>
      <c r="J282" s="530">
        <v>24726600</v>
      </c>
    </row>
    <row r="283" spans="1:10" customFormat="1" ht="33.75">
      <c r="A283" s="22" t="s">
        <v>2509</v>
      </c>
      <c r="B283" s="26" t="s">
        <v>2564</v>
      </c>
      <c r="C283" s="76">
        <v>11204400</v>
      </c>
      <c r="D283" s="77">
        <v>0.93500000000000005</v>
      </c>
      <c r="E283" s="26"/>
      <c r="F283" s="78" t="s">
        <v>2551</v>
      </c>
      <c r="G283" s="381">
        <v>3786750</v>
      </c>
      <c r="H283" s="26">
        <v>2</v>
      </c>
      <c r="I283" s="78" t="s">
        <v>2552</v>
      </c>
      <c r="J283" s="530">
        <v>11266750</v>
      </c>
    </row>
    <row r="284" spans="1:10" ht="33.75">
      <c r="A284" s="22" t="s">
        <v>2509</v>
      </c>
      <c r="B284" s="26" t="s">
        <v>2565</v>
      </c>
      <c r="C284" s="76">
        <v>11204500</v>
      </c>
      <c r="D284" s="77">
        <v>2.2559999999999998</v>
      </c>
      <c r="E284" s="26"/>
      <c r="F284" s="78" t="s">
        <v>2551</v>
      </c>
      <c r="G284" s="381">
        <v>9136800</v>
      </c>
      <c r="H284" s="26">
        <v>1</v>
      </c>
      <c r="I284" s="78" t="s">
        <v>2552</v>
      </c>
      <c r="J284" s="530">
        <v>27184799.999999996</v>
      </c>
    </row>
    <row r="285" spans="1:10" ht="33.75">
      <c r="A285" s="22" t="s">
        <v>2509</v>
      </c>
      <c r="B285" s="26" t="s">
        <v>2566</v>
      </c>
      <c r="C285" s="76">
        <v>11204600</v>
      </c>
      <c r="D285" s="77">
        <v>0.91700000000000004</v>
      </c>
      <c r="E285" s="26"/>
      <c r="F285" s="78" t="s">
        <v>2551</v>
      </c>
      <c r="G285" s="381">
        <v>3713850</v>
      </c>
      <c r="H285" s="26">
        <v>1</v>
      </c>
      <c r="I285" s="78" t="s">
        <v>2552</v>
      </c>
      <c r="J285" s="530">
        <v>11049850</v>
      </c>
    </row>
    <row r="286" spans="1:10" ht="33.75">
      <c r="A286" s="22" t="s">
        <v>2509</v>
      </c>
      <c r="B286" s="26" t="s">
        <v>2567</v>
      </c>
      <c r="C286" s="76">
        <v>11204700</v>
      </c>
      <c r="D286" s="77">
        <v>0.71199999999999997</v>
      </c>
      <c r="E286" s="26"/>
      <c r="F286" s="78" t="s">
        <v>2551</v>
      </c>
      <c r="G286" s="381">
        <v>2883600</v>
      </c>
      <c r="H286" s="26">
        <v>2</v>
      </c>
      <c r="I286" s="78" t="s">
        <v>2552</v>
      </c>
      <c r="J286" s="530">
        <v>8579600</v>
      </c>
    </row>
    <row r="287" spans="1:10" ht="33.75">
      <c r="A287" s="22" t="s">
        <v>2525</v>
      </c>
      <c r="B287" s="26" t="s">
        <v>2568</v>
      </c>
      <c r="C287" s="76">
        <v>11204800</v>
      </c>
      <c r="D287" s="77">
        <v>0.36799999999999999</v>
      </c>
      <c r="E287" s="26"/>
      <c r="F287" s="78" t="s">
        <v>2551</v>
      </c>
      <c r="G287" s="381">
        <v>1490400</v>
      </c>
      <c r="H287" s="26">
        <v>2</v>
      </c>
      <c r="I287" s="78" t="s">
        <v>2552</v>
      </c>
      <c r="J287" s="530">
        <v>4434400</v>
      </c>
    </row>
    <row r="288" spans="1:10" ht="33.75">
      <c r="A288" s="22" t="s">
        <v>2509</v>
      </c>
      <c r="B288" s="26" t="s">
        <v>2569</v>
      </c>
      <c r="C288" s="76">
        <v>11204900</v>
      </c>
      <c r="D288" s="77">
        <v>0.54300000000000004</v>
      </c>
      <c r="E288" s="26"/>
      <c r="F288" s="78" t="s">
        <v>2551</v>
      </c>
      <c r="G288" s="381">
        <v>2199150</v>
      </c>
      <c r="H288" s="26">
        <v>2</v>
      </c>
      <c r="I288" s="78" t="s">
        <v>2552</v>
      </c>
      <c r="J288" s="530">
        <v>6543150</v>
      </c>
    </row>
    <row r="289" spans="1:10" ht="33.75">
      <c r="A289" s="22" t="s">
        <v>2525</v>
      </c>
      <c r="B289" s="26" t="s">
        <v>2570</v>
      </c>
      <c r="C289" s="76">
        <v>11205000</v>
      </c>
      <c r="D289" s="77">
        <v>0.67</v>
      </c>
      <c r="E289" s="26"/>
      <c r="F289" s="78" t="s">
        <v>2551</v>
      </c>
      <c r="G289" s="381">
        <v>2713500</v>
      </c>
      <c r="H289" s="26">
        <v>1</v>
      </c>
      <c r="I289" s="78" t="s">
        <v>2552</v>
      </c>
      <c r="J289" s="530">
        <v>8073500</v>
      </c>
    </row>
    <row r="290" spans="1:10" ht="33.75">
      <c r="A290" s="22" t="s">
        <v>2525</v>
      </c>
      <c r="B290" s="26" t="s">
        <v>2571</v>
      </c>
      <c r="C290" s="76">
        <v>11205200</v>
      </c>
      <c r="D290" s="77">
        <v>0.73199999999999998</v>
      </c>
      <c r="E290" s="26"/>
      <c r="F290" s="78" t="s">
        <v>2551</v>
      </c>
      <c r="G290" s="381">
        <v>2964600</v>
      </c>
      <c r="H290" s="26">
        <v>2</v>
      </c>
      <c r="I290" s="78" t="s">
        <v>2552</v>
      </c>
      <c r="J290" s="530">
        <v>8820600</v>
      </c>
    </row>
    <row r="291" spans="1:10" ht="33.75">
      <c r="A291" s="22" t="s">
        <v>2525</v>
      </c>
      <c r="B291" s="26" t="s">
        <v>2572</v>
      </c>
      <c r="C291" s="76">
        <v>11205300</v>
      </c>
      <c r="D291" s="77">
        <v>1.625</v>
      </c>
      <c r="E291" s="26"/>
      <c r="F291" s="78" t="s">
        <v>2551</v>
      </c>
      <c r="G291" s="381">
        <v>6581250</v>
      </c>
      <c r="H291" s="26">
        <v>1</v>
      </c>
      <c r="I291" s="78" t="s">
        <v>2552</v>
      </c>
      <c r="J291" s="530">
        <v>19581250</v>
      </c>
    </row>
    <row r="292" spans="1:10" ht="33.75">
      <c r="A292" s="22" t="s">
        <v>2525</v>
      </c>
      <c r="B292" s="26" t="s">
        <v>2573</v>
      </c>
      <c r="C292" s="76">
        <v>11205400</v>
      </c>
      <c r="D292" s="77">
        <v>1.571</v>
      </c>
      <c r="E292" s="26"/>
      <c r="F292" s="78" t="s">
        <v>2551</v>
      </c>
      <c r="G292" s="381">
        <v>6362549.9999999991</v>
      </c>
      <c r="H292" s="26">
        <v>1</v>
      </c>
      <c r="I292" s="78" t="s">
        <v>2552</v>
      </c>
      <c r="J292" s="530">
        <v>18930549.999999996</v>
      </c>
    </row>
    <row r="293" spans="1:10" ht="33.75">
      <c r="A293" s="22" t="s">
        <v>2525</v>
      </c>
      <c r="B293" s="26" t="s">
        <v>2574</v>
      </c>
      <c r="C293" s="76">
        <v>11205500</v>
      </c>
      <c r="D293" s="77">
        <v>1.1419999999999999</v>
      </c>
      <c r="E293" s="26"/>
      <c r="F293" s="78" t="s">
        <v>2551</v>
      </c>
      <c r="G293" s="381">
        <v>4625100</v>
      </c>
      <c r="H293" s="26">
        <v>1</v>
      </c>
      <c r="I293" s="78" t="s">
        <v>2552</v>
      </c>
      <c r="J293" s="530">
        <v>13761100</v>
      </c>
    </row>
    <row r="294" spans="1:10" ht="33.75">
      <c r="A294" s="22" t="s">
        <v>2525</v>
      </c>
      <c r="B294" s="26" t="s">
        <v>2575</v>
      </c>
      <c r="C294" s="76">
        <v>11205600</v>
      </c>
      <c r="D294" s="77">
        <v>0.48299999999999998</v>
      </c>
      <c r="E294" s="26"/>
      <c r="F294" s="78" t="s">
        <v>2551</v>
      </c>
      <c r="G294" s="381">
        <v>1956150</v>
      </c>
      <c r="H294" s="26">
        <v>2</v>
      </c>
      <c r="I294" s="78" t="s">
        <v>2552</v>
      </c>
      <c r="J294" s="530">
        <v>5820150</v>
      </c>
    </row>
    <row r="295" spans="1:10" ht="33.75">
      <c r="A295" s="22" t="s">
        <v>2525</v>
      </c>
      <c r="B295" s="26" t="s">
        <v>2576</v>
      </c>
      <c r="C295" s="76">
        <v>11205700</v>
      </c>
      <c r="D295" s="77">
        <v>0.53</v>
      </c>
      <c r="E295" s="26"/>
      <c r="F295" s="78" t="s">
        <v>2551</v>
      </c>
      <c r="G295" s="381">
        <v>2146500</v>
      </c>
      <c r="H295" s="26">
        <v>2</v>
      </c>
      <c r="I295" s="78" t="s">
        <v>2552</v>
      </c>
      <c r="J295" s="530">
        <v>6386500</v>
      </c>
    </row>
    <row r="296" spans="1:10" ht="33.75">
      <c r="A296" s="22" t="s">
        <v>2509</v>
      </c>
      <c r="B296" s="26" t="s">
        <v>2577</v>
      </c>
      <c r="C296" s="76">
        <v>11205900</v>
      </c>
      <c r="D296" s="77">
        <v>1.7090000000000001</v>
      </c>
      <c r="E296" s="26"/>
      <c r="F296" s="78" t="s">
        <v>2551</v>
      </c>
      <c r="G296" s="381">
        <v>6921450</v>
      </c>
      <c r="H296" s="26">
        <v>1</v>
      </c>
      <c r="I296" s="78" t="s">
        <v>2552</v>
      </c>
      <c r="J296" s="530">
        <v>20593450</v>
      </c>
    </row>
    <row r="297" spans="1:10" ht="33.75">
      <c r="A297" s="22" t="s">
        <v>2509</v>
      </c>
      <c r="B297" s="26" t="s">
        <v>2578</v>
      </c>
      <c r="C297" s="76">
        <v>11206000</v>
      </c>
      <c r="D297" s="77">
        <v>2.0070000000000001</v>
      </c>
      <c r="E297" s="26"/>
      <c r="F297" s="78" t="s">
        <v>2551</v>
      </c>
      <c r="G297" s="381">
        <v>8128350.0000000009</v>
      </c>
      <c r="H297" s="26">
        <v>2</v>
      </c>
      <c r="I297" s="78" t="s">
        <v>2552</v>
      </c>
      <c r="J297" s="530">
        <v>24184350</v>
      </c>
    </row>
    <row r="298" spans="1:10" ht="33.75">
      <c r="A298" s="22" t="s">
        <v>2509</v>
      </c>
      <c r="B298" s="26" t="s">
        <v>2579</v>
      </c>
      <c r="C298" s="76">
        <v>11206100</v>
      </c>
      <c r="D298" s="77">
        <v>0.80500000000000005</v>
      </c>
      <c r="E298" s="26"/>
      <c r="F298" s="78" t="s">
        <v>2551</v>
      </c>
      <c r="G298" s="381">
        <v>3260250</v>
      </c>
      <c r="H298" s="26">
        <v>2</v>
      </c>
      <c r="I298" s="78" t="s">
        <v>2552</v>
      </c>
      <c r="J298" s="530">
        <v>9700250</v>
      </c>
    </row>
    <row r="299" spans="1:10" ht="33.75">
      <c r="A299" s="22" t="s">
        <v>2509</v>
      </c>
      <c r="B299" s="26" t="s">
        <v>2580</v>
      </c>
      <c r="C299" s="76">
        <v>11206200</v>
      </c>
      <c r="D299" s="77">
        <v>1.216</v>
      </c>
      <c r="E299" s="26"/>
      <c r="F299" s="78" t="s">
        <v>2551</v>
      </c>
      <c r="G299" s="381">
        <v>4924799.9999999991</v>
      </c>
      <c r="H299" s="26">
        <v>2</v>
      </c>
      <c r="I299" s="78" t="s">
        <v>2552</v>
      </c>
      <c r="J299" s="530">
        <v>14652800</v>
      </c>
    </row>
    <row r="300" spans="1:10" ht="33.75">
      <c r="A300" s="22" t="s">
        <v>2509</v>
      </c>
      <c r="B300" s="26" t="s">
        <v>2581</v>
      </c>
      <c r="C300" s="76">
        <v>11206300</v>
      </c>
      <c r="D300" s="77">
        <v>1.129</v>
      </c>
      <c r="E300" s="26"/>
      <c r="F300" s="78" t="s">
        <v>2551</v>
      </c>
      <c r="G300" s="381">
        <v>4572450</v>
      </c>
      <c r="H300" s="26">
        <v>2</v>
      </c>
      <c r="I300" s="78" t="s">
        <v>2552</v>
      </c>
      <c r="J300" s="530">
        <v>13604450</v>
      </c>
    </row>
    <row r="301" spans="1:10" ht="33.75">
      <c r="A301" s="22" t="s">
        <v>2509</v>
      </c>
      <c r="B301" s="26" t="s">
        <v>2582</v>
      </c>
      <c r="C301" s="76">
        <v>11206400</v>
      </c>
      <c r="D301" s="77">
        <v>2.2999999999999998</v>
      </c>
      <c r="E301" s="26"/>
      <c r="F301" s="78" t="s">
        <v>2551</v>
      </c>
      <c r="G301" s="381">
        <v>9315000</v>
      </c>
      <c r="H301" s="26">
        <v>1</v>
      </c>
      <c r="I301" s="78" t="s">
        <v>2552</v>
      </c>
      <c r="J301" s="530">
        <v>27715000</v>
      </c>
    </row>
    <row r="302" spans="1:10" ht="33.75">
      <c r="A302" s="22" t="s">
        <v>2509</v>
      </c>
      <c r="B302" s="26" t="s">
        <v>2583</v>
      </c>
      <c r="C302" s="76">
        <v>11206500</v>
      </c>
      <c r="D302" s="77">
        <v>1.4690000000000001</v>
      </c>
      <c r="E302" s="26"/>
      <c r="F302" s="78" t="s">
        <v>2551</v>
      </c>
      <c r="G302" s="381">
        <v>5949450</v>
      </c>
      <c r="H302" s="26">
        <v>2</v>
      </c>
      <c r="I302" s="78" t="s">
        <v>2552</v>
      </c>
      <c r="J302" s="530">
        <v>17701450</v>
      </c>
    </row>
    <row r="303" spans="1:10" ht="33.75">
      <c r="A303" s="22" t="s">
        <v>2509</v>
      </c>
      <c r="B303" s="26" t="s">
        <v>2584</v>
      </c>
      <c r="C303" s="76">
        <v>11206600</v>
      </c>
      <c r="D303" s="77">
        <v>0.48</v>
      </c>
      <c r="E303" s="26"/>
      <c r="F303" s="78" t="s">
        <v>2551</v>
      </c>
      <c r="G303" s="381">
        <v>1944000</v>
      </c>
      <c r="H303" s="26">
        <v>2</v>
      </c>
      <c r="I303" s="78" t="s">
        <v>2552</v>
      </c>
      <c r="J303" s="530">
        <v>5784000</v>
      </c>
    </row>
    <row r="304" spans="1:10" ht="33.75">
      <c r="A304" s="22" t="s">
        <v>2509</v>
      </c>
      <c r="B304" s="26" t="s">
        <v>2585</v>
      </c>
      <c r="C304" s="76">
        <v>11206700</v>
      </c>
      <c r="D304" s="77">
        <v>0.20599999999999999</v>
      </c>
      <c r="E304" s="26"/>
      <c r="F304" s="78" t="s">
        <v>2551</v>
      </c>
      <c r="G304" s="381">
        <v>834300</v>
      </c>
      <c r="H304" s="26">
        <v>2</v>
      </c>
      <c r="I304" s="78" t="s">
        <v>2552</v>
      </c>
      <c r="J304" s="530">
        <v>2482300</v>
      </c>
    </row>
    <row r="305" spans="1:10" ht="33.75">
      <c r="A305" s="22" t="s">
        <v>2509</v>
      </c>
      <c r="B305" s="26" t="s">
        <v>2586</v>
      </c>
      <c r="C305" s="76">
        <v>11206800</v>
      </c>
      <c r="D305" s="77">
        <v>0.92200000000000004</v>
      </c>
      <c r="E305" s="26"/>
      <c r="F305" s="78" t="s">
        <v>2551</v>
      </c>
      <c r="G305" s="381">
        <v>3734100</v>
      </c>
      <c r="H305" s="26">
        <v>1</v>
      </c>
      <c r="I305" s="78" t="s">
        <v>2552</v>
      </c>
      <c r="J305" s="530">
        <v>11110099.999999998</v>
      </c>
    </row>
    <row r="306" spans="1:10" ht="33.75">
      <c r="A306" s="22" t="s">
        <v>2509</v>
      </c>
      <c r="B306" s="26" t="s">
        <v>2587</v>
      </c>
      <c r="C306" s="76">
        <v>11206900</v>
      </c>
      <c r="D306" s="77">
        <v>2</v>
      </c>
      <c r="E306" s="26"/>
      <c r="F306" s="78" t="s">
        <v>2551</v>
      </c>
      <c r="G306" s="381">
        <v>8100000</v>
      </c>
      <c r="H306" s="26">
        <v>1</v>
      </c>
      <c r="I306" s="78" t="s">
        <v>2552</v>
      </c>
      <c r="J306" s="530">
        <v>24100000</v>
      </c>
    </row>
    <row r="307" spans="1:10" ht="33.75">
      <c r="A307" s="22" t="s">
        <v>2509</v>
      </c>
      <c r="B307" s="26" t="s">
        <v>2588</v>
      </c>
      <c r="C307" s="76">
        <v>11207000</v>
      </c>
      <c r="D307" s="77">
        <v>1.323</v>
      </c>
      <c r="E307" s="26"/>
      <c r="F307" s="78" t="s">
        <v>2551</v>
      </c>
      <c r="G307" s="381">
        <v>5358150</v>
      </c>
      <c r="H307" s="26">
        <v>1</v>
      </c>
      <c r="I307" s="78" t="s">
        <v>2552</v>
      </c>
      <c r="J307" s="530">
        <v>15942150</v>
      </c>
    </row>
    <row r="308" spans="1:10" ht="33.75">
      <c r="A308" s="22" t="s">
        <v>2509</v>
      </c>
      <c r="B308" s="26" t="s">
        <v>2589</v>
      </c>
      <c r="C308" s="76">
        <v>11207100</v>
      </c>
      <c r="D308" s="77">
        <v>0.50800000000000001</v>
      </c>
      <c r="E308" s="26"/>
      <c r="F308" s="78" t="s">
        <v>2551</v>
      </c>
      <c r="G308" s="381">
        <v>2057400</v>
      </c>
      <c r="H308" s="26">
        <v>2</v>
      </c>
      <c r="I308" s="78" t="s">
        <v>2552</v>
      </c>
      <c r="J308" s="530">
        <v>6121400</v>
      </c>
    </row>
    <row r="309" spans="1:10" ht="33.75">
      <c r="A309" s="22" t="s">
        <v>2509</v>
      </c>
      <c r="B309" s="26" t="s">
        <v>2590</v>
      </c>
      <c r="C309" s="76">
        <v>11207200</v>
      </c>
      <c r="D309" s="77">
        <v>2.516</v>
      </c>
      <c r="E309" s="26"/>
      <c r="F309" s="78" t="s">
        <v>2551</v>
      </c>
      <c r="G309" s="381">
        <v>10189800</v>
      </c>
      <c r="H309" s="26">
        <v>2</v>
      </c>
      <c r="I309" s="78" t="s">
        <v>2552</v>
      </c>
      <c r="J309" s="530">
        <v>30317800</v>
      </c>
    </row>
    <row r="310" spans="1:10" ht="33.75">
      <c r="A310" s="22" t="s">
        <v>2525</v>
      </c>
      <c r="B310" s="26" t="s">
        <v>2591</v>
      </c>
      <c r="C310" s="76">
        <v>11207300</v>
      </c>
      <c r="D310" s="77">
        <v>3.1549999999999998</v>
      </c>
      <c r="E310" s="26"/>
      <c r="F310" s="78" t="s">
        <v>2551</v>
      </c>
      <c r="G310" s="381">
        <v>12777750</v>
      </c>
      <c r="H310" s="26">
        <v>1</v>
      </c>
      <c r="I310" s="78" t="s">
        <v>2552</v>
      </c>
      <c r="J310" s="530">
        <v>38017750</v>
      </c>
    </row>
    <row r="311" spans="1:10" ht="33.75">
      <c r="A311" s="22" t="s">
        <v>2525</v>
      </c>
      <c r="B311" s="26" t="s">
        <v>2592</v>
      </c>
      <c r="C311" s="76">
        <v>11207400</v>
      </c>
      <c r="D311" s="77">
        <v>0.9</v>
      </c>
      <c r="E311" s="26"/>
      <c r="F311" s="78" t="s">
        <v>2551</v>
      </c>
      <c r="G311" s="381">
        <v>3645000</v>
      </c>
      <c r="H311" s="26">
        <v>2</v>
      </c>
      <c r="I311" s="78" t="s">
        <v>2552</v>
      </c>
      <c r="J311" s="530">
        <v>10845000</v>
      </c>
    </row>
    <row r="312" spans="1:10" ht="33.75">
      <c r="A312" s="22" t="s">
        <v>2525</v>
      </c>
      <c r="B312" s="26" t="s">
        <v>2593</v>
      </c>
      <c r="C312" s="76">
        <v>11207500</v>
      </c>
      <c r="D312" s="77">
        <v>1.585</v>
      </c>
      <c r="E312" s="26"/>
      <c r="F312" s="78" t="s">
        <v>2551</v>
      </c>
      <c r="G312" s="381">
        <v>6419250</v>
      </c>
      <c r="H312" s="26">
        <v>2</v>
      </c>
      <c r="I312" s="78" t="s">
        <v>2552</v>
      </c>
      <c r="J312" s="530">
        <v>19099250</v>
      </c>
    </row>
    <row r="313" spans="1:10" ht="33.75">
      <c r="A313" s="22" t="s">
        <v>2525</v>
      </c>
      <c r="B313" s="26" t="s">
        <v>2594</v>
      </c>
      <c r="C313" s="76">
        <v>11207600</v>
      </c>
      <c r="D313" s="77">
        <v>0.498</v>
      </c>
      <c r="E313" s="26"/>
      <c r="F313" s="78" t="s">
        <v>2551</v>
      </c>
      <c r="G313" s="381">
        <v>2016900</v>
      </c>
      <c r="H313" s="26">
        <v>2</v>
      </c>
      <c r="I313" s="78" t="s">
        <v>2552</v>
      </c>
      <c r="J313" s="530">
        <v>6000900</v>
      </c>
    </row>
    <row r="314" spans="1:10" ht="33.75">
      <c r="A314" s="22" t="s">
        <v>2595</v>
      </c>
      <c r="B314" s="26" t="s">
        <v>2596</v>
      </c>
      <c r="C314" s="76">
        <v>11207800</v>
      </c>
      <c r="D314" s="77">
        <v>2.4950000000000001</v>
      </c>
      <c r="E314" s="26"/>
      <c r="F314" s="78" t="s">
        <v>2551</v>
      </c>
      <c r="G314" s="381">
        <v>10104750</v>
      </c>
      <c r="H314" s="26">
        <v>2</v>
      </c>
      <c r="I314" s="78" t="s">
        <v>2552</v>
      </c>
      <c r="J314" s="530">
        <v>30064750</v>
      </c>
    </row>
    <row r="315" spans="1:10" ht="33.75">
      <c r="A315" s="22" t="s">
        <v>2595</v>
      </c>
      <c r="B315" s="26" t="s">
        <v>2597</v>
      </c>
      <c r="C315" s="76">
        <v>11207900</v>
      </c>
      <c r="D315" s="77">
        <v>8.5</v>
      </c>
      <c r="E315" s="26"/>
      <c r="F315" s="78" t="s">
        <v>2551</v>
      </c>
      <c r="G315" s="381">
        <v>34425000</v>
      </c>
      <c r="H315" s="26">
        <v>1</v>
      </c>
      <c r="I315" s="78" t="s">
        <v>2552</v>
      </c>
      <c r="J315" s="530">
        <v>102425000</v>
      </c>
    </row>
    <row r="316" spans="1:10" ht="33.75">
      <c r="A316" s="22" t="s">
        <v>2598</v>
      </c>
      <c r="B316" s="26" t="s">
        <v>2599</v>
      </c>
      <c r="C316" s="76">
        <v>11208000</v>
      </c>
      <c r="D316" s="77">
        <v>4.79</v>
      </c>
      <c r="E316" s="26"/>
      <c r="F316" s="78" t="s">
        <v>2551</v>
      </c>
      <c r="G316" s="381">
        <v>19399500</v>
      </c>
      <c r="H316" s="26">
        <v>2</v>
      </c>
      <c r="I316" s="78" t="s">
        <v>2552</v>
      </c>
      <c r="J316" s="530">
        <v>57719500</v>
      </c>
    </row>
    <row r="317" spans="1:10" ht="33.75">
      <c r="A317" s="22" t="s">
        <v>2598</v>
      </c>
      <c r="B317" s="26" t="s">
        <v>1870</v>
      </c>
      <c r="C317" s="76">
        <v>11208100</v>
      </c>
      <c r="D317" s="77">
        <v>2.5390000000000001</v>
      </c>
      <c r="E317" s="26"/>
      <c r="F317" s="78" t="s">
        <v>2551</v>
      </c>
      <c r="G317" s="381">
        <v>10282950</v>
      </c>
      <c r="H317" s="26">
        <v>1</v>
      </c>
      <c r="I317" s="78" t="s">
        <v>2552</v>
      </c>
      <c r="J317" s="530">
        <v>30594950</v>
      </c>
    </row>
    <row r="318" spans="1:10" ht="33.75">
      <c r="A318" s="22" t="s">
        <v>2595</v>
      </c>
      <c r="B318" s="26" t="s">
        <v>2600</v>
      </c>
      <c r="C318" s="76">
        <v>11208200</v>
      </c>
      <c r="D318" s="77">
        <v>6.4669999999999996</v>
      </c>
      <c r="E318" s="26"/>
      <c r="F318" s="78" t="s">
        <v>2551</v>
      </c>
      <c r="G318" s="381">
        <v>26191350</v>
      </c>
      <c r="H318" s="26">
        <v>1</v>
      </c>
      <c r="I318" s="78" t="s">
        <v>2552</v>
      </c>
      <c r="J318" s="530">
        <v>77927350</v>
      </c>
    </row>
    <row r="319" spans="1:10" ht="33.75">
      <c r="A319" s="22" t="s">
        <v>2598</v>
      </c>
      <c r="B319" s="26" t="s">
        <v>2601</v>
      </c>
      <c r="C319" s="76">
        <v>11208300</v>
      </c>
      <c r="D319" s="77">
        <v>0.54500000000000004</v>
      </c>
      <c r="E319" s="26"/>
      <c r="F319" s="78" t="s">
        <v>2551</v>
      </c>
      <c r="G319" s="381">
        <v>2207250</v>
      </c>
      <c r="H319" s="26">
        <v>2</v>
      </c>
      <c r="I319" s="78" t="s">
        <v>2552</v>
      </c>
      <c r="J319" s="530">
        <v>6567250</v>
      </c>
    </row>
    <row r="320" spans="1:10" ht="33.75">
      <c r="A320" s="22" t="s">
        <v>2595</v>
      </c>
      <c r="B320" s="26" t="s">
        <v>2602</v>
      </c>
      <c r="C320" s="76">
        <v>11208400</v>
      </c>
      <c r="D320" s="77">
        <v>2.3490000000000002</v>
      </c>
      <c r="E320" s="26"/>
      <c r="F320" s="78" t="s">
        <v>2551</v>
      </c>
      <c r="G320" s="381">
        <v>9513450</v>
      </c>
      <c r="H320" s="26">
        <v>1</v>
      </c>
      <c r="I320" s="78" t="s">
        <v>2552</v>
      </c>
      <c r="J320" s="530">
        <v>28305450</v>
      </c>
    </row>
    <row r="321" spans="1:10" ht="33.75">
      <c r="A321" s="22" t="s">
        <v>2595</v>
      </c>
      <c r="B321" s="26" t="s">
        <v>2603</v>
      </c>
      <c r="C321" s="76">
        <v>11208500</v>
      </c>
      <c r="D321" s="77">
        <v>4.0460000000000003</v>
      </c>
      <c r="E321" s="26"/>
      <c r="F321" s="78" t="s">
        <v>2551</v>
      </c>
      <c r="G321" s="381">
        <v>16386300.000000002</v>
      </c>
      <c r="H321" s="26">
        <v>1</v>
      </c>
      <c r="I321" s="78" t="s">
        <v>2552</v>
      </c>
      <c r="J321" s="530">
        <v>48754300</v>
      </c>
    </row>
    <row r="322" spans="1:10" ht="33.75">
      <c r="A322" s="22" t="s">
        <v>2595</v>
      </c>
      <c r="B322" s="26" t="s">
        <v>2604</v>
      </c>
      <c r="C322" s="76">
        <v>11208600</v>
      </c>
      <c r="D322" s="77">
        <v>1.1419999999999999</v>
      </c>
      <c r="E322" s="26"/>
      <c r="F322" s="78" t="s">
        <v>2551</v>
      </c>
      <c r="G322" s="381">
        <v>4625100</v>
      </c>
      <c r="H322" s="26">
        <v>2</v>
      </c>
      <c r="I322" s="78" t="s">
        <v>2552</v>
      </c>
      <c r="J322" s="530">
        <v>13761100</v>
      </c>
    </row>
    <row r="323" spans="1:10" ht="33.75">
      <c r="A323" s="22" t="s">
        <v>2598</v>
      </c>
      <c r="B323" s="26" t="s">
        <v>2605</v>
      </c>
      <c r="C323" s="76">
        <v>11208700</v>
      </c>
      <c r="D323" s="77">
        <v>3.8820000000000001</v>
      </c>
      <c r="E323" s="26"/>
      <c r="F323" s="78" t="s">
        <v>2551</v>
      </c>
      <c r="G323" s="381">
        <v>15722099.999999998</v>
      </c>
      <c r="H323" s="26">
        <v>1</v>
      </c>
      <c r="I323" s="78" t="s">
        <v>2552</v>
      </c>
      <c r="J323" s="530">
        <v>46778099.999999993</v>
      </c>
    </row>
    <row r="324" spans="1:10" ht="33.75">
      <c r="A324" s="22" t="s">
        <v>2598</v>
      </c>
      <c r="B324" s="26" t="s">
        <v>2606</v>
      </c>
      <c r="C324" s="76">
        <v>11208800</v>
      </c>
      <c r="D324" s="77">
        <v>0.63900000000000001</v>
      </c>
      <c r="E324" s="26"/>
      <c r="F324" s="78" t="s">
        <v>2551</v>
      </c>
      <c r="G324" s="381">
        <v>2587950</v>
      </c>
      <c r="H324" s="26">
        <v>2</v>
      </c>
      <c r="I324" s="78" t="s">
        <v>2552</v>
      </c>
      <c r="J324" s="530">
        <v>7699950</v>
      </c>
    </row>
    <row r="325" spans="1:10" ht="33.75">
      <c r="A325" s="22" t="s">
        <v>2505</v>
      </c>
      <c r="B325" s="26" t="s">
        <v>2607</v>
      </c>
      <c r="C325" s="76">
        <v>11208900</v>
      </c>
      <c r="D325" s="77">
        <v>5.8739999999999997</v>
      </c>
      <c r="E325" s="26"/>
      <c r="F325" s="78" t="s">
        <v>2551</v>
      </c>
      <c r="G325" s="381">
        <v>23789699.999999996</v>
      </c>
      <c r="H325" s="26">
        <v>2</v>
      </c>
      <c r="I325" s="78" t="s">
        <v>2552</v>
      </c>
      <c r="J325" s="530">
        <v>70781700</v>
      </c>
    </row>
    <row r="326" spans="1:10" ht="33.75">
      <c r="A326" s="22" t="s">
        <v>2525</v>
      </c>
      <c r="B326" s="26" t="s">
        <v>2608</v>
      </c>
      <c r="C326" s="76">
        <v>11209000</v>
      </c>
      <c r="D326" s="77">
        <v>0.55000000000000004</v>
      </c>
      <c r="E326" s="26"/>
      <c r="F326" s="78" t="s">
        <v>2551</v>
      </c>
      <c r="G326" s="381">
        <v>2227500</v>
      </c>
      <c r="H326" s="26">
        <v>2</v>
      </c>
      <c r="I326" s="78" t="s">
        <v>2552</v>
      </c>
      <c r="J326" s="530">
        <v>6627500</v>
      </c>
    </row>
    <row r="327" spans="1:10" ht="33.75">
      <c r="A327" s="22" t="s">
        <v>2525</v>
      </c>
      <c r="B327" s="26" t="s">
        <v>421</v>
      </c>
      <c r="C327" s="76">
        <v>11209100</v>
      </c>
      <c r="D327" s="77">
        <v>3.01</v>
      </c>
      <c r="E327" s="26"/>
      <c r="F327" s="78" t="s">
        <v>2551</v>
      </c>
      <c r="G327" s="381">
        <v>12190500</v>
      </c>
      <c r="H327" s="26">
        <v>1</v>
      </c>
      <c r="I327" s="78" t="s">
        <v>2552</v>
      </c>
      <c r="J327" s="530">
        <v>36270500</v>
      </c>
    </row>
    <row r="328" spans="1:10" ht="33.75">
      <c r="A328" s="22" t="s">
        <v>2525</v>
      </c>
      <c r="B328" s="26" t="s">
        <v>2609</v>
      </c>
      <c r="C328" s="76">
        <v>11209200</v>
      </c>
      <c r="D328" s="77">
        <v>0.32300000000000001</v>
      </c>
      <c r="E328" s="26"/>
      <c r="F328" s="78" t="s">
        <v>2551</v>
      </c>
      <c r="G328" s="381">
        <v>1308150</v>
      </c>
      <c r="H328" s="26">
        <v>2</v>
      </c>
      <c r="I328" s="78" t="s">
        <v>2552</v>
      </c>
      <c r="J328" s="530">
        <v>3892150</v>
      </c>
    </row>
    <row r="329" spans="1:10" ht="33.75">
      <c r="A329" s="22" t="s">
        <v>2525</v>
      </c>
      <c r="B329" s="26" t="s">
        <v>2610</v>
      </c>
      <c r="C329" s="76">
        <v>11209300</v>
      </c>
      <c r="D329" s="77">
        <v>1.639</v>
      </c>
      <c r="E329" s="26"/>
      <c r="F329" s="78" t="s">
        <v>2551</v>
      </c>
      <c r="G329" s="381">
        <v>6637950</v>
      </c>
      <c r="H329" s="26">
        <v>1</v>
      </c>
      <c r="I329" s="78" t="s">
        <v>2552</v>
      </c>
      <c r="J329" s="530">
        <v>19749950</v>
      </c>
    </row>
    <row r="330" spans="1:10" ht="33.75">
      <c r="A330" s="22" t="s">
        <v>2598</v>
      </c>
      <c r="B330" s="26" t="s">
        <v>2192</v>
      </c>
      <c r="C330" s="76">
        <v>11209400</v>
      </c>
      <c r="D330" s="77">
        <v>2.54</v>
      </c>
      <c r="E330" s="26"/>
      <c r="F330" s="78" t="s">
        <v>2551</v>
      </c>
      <c r="G330" s="381">
        <v>10287000</v>
      </c>
      <c r="H330" s="26">
        <v>1</v>
      </c>
      <c r="I330" s="78" t="s">
        <v>2552</v>
      </c>
      <c r="J330" s="530">
        <v>30607000</v>
      </c>
    </row>
    <row r="331" spans="1:10" ht="33.75">
      <c r="A331" s="22" t="s">
        <v>2598</v>
      </c>
      <c r="B331" s="26" t="s">
        <v>2611</v>
      </c>
      <c r="C331" s="76">
        <v>11209500</v>
      </c>
      <c r="D331" s="77">
        <v>0.68799999999999994</v>
      </c>
      <c r="E331" s="26"/>
      <c r="F331" s="78" t="s">
        <v>2551</v>
      </c>
      <c r="G331" s="381">
        <v>2786399.9999999995</v>
      </c>
      <c r="H331" s="26">
        <v>2</v>
      </c>
      <c r="I331" s="78" t="s">
        <v>2552</v>
      </c>
      <c r="J331" s="530">
        <v>8290399.9999999981</v>
      </c>
    </row>
    <row r="332" spans="1:10" ht="33.75">
      <c r="A332" s="22" t="s">
        <v>2598</v>
      </c>
      <c r="B332" s="26" t="s">
        <v>2612</v>
      </c>
      <c r="C332" s="76">
        <v>11209600</v>
      </c>
      <c r="D332" s="77">
        <v>1.3520000000000001</v>
      </c>
      <c r="E332" s="26"/>
      <c r="F332" s="78" t="s">
        <v>2551</v>
      </c>
      <c r="G332" s="381">
        <v>5475600</v>
      </c>
      <c r="H332" s="26">
        <v>2</v>
      </c>
      <c r="I332" s="78" t="s">
        <v>2552</v>
      </c>
      <c r="J332" s="530">
        <v>16291600</v>
      </c>
    </row>
    <row r="333" spans="1:10" ht="33.75">
      <c r="A333" s="22" t="s">
        <v>2598</v>
      </c>
      <c r="B333" s="26" t="s">
        <v>2613</v>
      </c>
      <c r="C333" s="76">
        <v>11209700</v>
      </c>
      <c r="D333" s="77">
        <v>1.032</v>
      </c>
      <c r="E333" s="26"/>
      <c r="F333" s="78" t="s">
        <v>2551</v>
      </c>
      <c r="G333" s="381">
        <v>4179600</v>
      </c>
      <c r="H333" s="26">
        <v>2</v>
      </c>
      <c r="I333" s="78" t="s">
        <v>2552</v>
      </c>
      <c r="J333" s="530">
        <v>12435600</v>
      </c>
    </row>
    <row r="334" spans="1:10" ht="33.75">
      <c r="A334" s="22" t="s">
        <v>2598</v>
      </c>
      <c r="B334" s="26" t="s">
        <v>2614</v>
      </c>
      <c r="C334" s="76">
        <v>11209800</v>
      </c>
      <c r="D334" s="77">
        <v>19.126999999999999</v>
      </c>
      <c r="E334" s="26"/>
      <c r="F334" s="78" t="s">
        <v>2551</v>
      </c>
      <c r="G334" s="381">
        <v>77464350</v>
      </c>
      <c r="H334" s="26">
        <v>1</v>
      </c>
      <c r="I334" s="78" t="s">
        <v>2552</v>
      </c>
      <c r="J334" s="530">
        <v>230480350</v>
      </c>
    </row>
    <row r="335" spans="1:10" ht="33.75">
      <c r="A335" s="22" t="s">
        <v>2598</v>
      </c>
      <c r="B335" s="26" t="s">
        <v>2615</v>
      </c>
      <c r="C335" s="76">
        <v>11209900</v>
      </c>
      <c r="D335" s="77">
        <v>0.36299999999999999</v>
      </c>
      <c r="E335" s="26"/>
      <c r="F335" s="78" t="s">
        <v>2551</v>
      </c>
      <c r="G335" s="381">
        <v>1470150</v>
      </c>
      <c r="H335" s="26">
        <v>2</v>
      </c>
      <c r="I335" s="78" t="s">
        <v>2552</v>
      </c>
      <c r="J335" s="530">
        <v>4374150</v>
      </c>
    </row>
    <row r="336" spans="1:10" ht="33.75">
      <c r="A336" s="22" t="s">
        <v>2598</v>
      </c>
      <c r="B336" s="26" t="s">
        <v>2616</v>
      </c>
      <c r="C336" s="76">
        <v>11210000</v>
      </c>
      <c r="D336" s="77">
        <v>4.9770000000000003</v>
      </c>
      <c r="E336" s="26"/>
      <c r="F336" s="78" t="s">
        <v>2551</v>
      </c>
      <c r="G336" s="381">
        <v>20156850</v>
      </c>
      <c r="H336" s="26">
        <v>1</v>
      </c>
      <c r="I336" s="78" t="s">
        <v>2552</v>
      </c>
      <c r="J336" s="530">
        <v>59972850</v>
      </c>
    </row>
    <row r="337" spans="1:10" ht="33.75">
      <c r="A337" s="22" t="s">
        <v>2595</v>
      </c>
      <c r="B337" s="26" t="s">
        <v>2617</v>
      </c>
      <c r="C337" s="76">
        <v>11210100</v>
      </c>
      <c r="D337" s="77">
        <v>3.9940000000000002</v>
      </c>
      <c r="E337" s="26"/>
      <c r="F337" s="78" t="s">
        <v>2551</v>
      </c>
      <c r="G337" s="381">
        <v>16175700</v>
      </c>
      <c r="H337" s="26">
        <v>1</v>
      </c>
      <c r="I337" s="78" t="s">
        <v>2552</v>
      </c>
      <c r="J337" s="530">
        <v>48127700</v>
      </c>
    </row>
    <row r="338" spans="1:10" ht="33.75">
      <c r="A338" s="22" t="s">
        <v>2595</v>
      </c>
      <c r="B338" s="26" t="s">
        <v>2618</v>
      </c>
      <c r="C338" s="76">
        <v>11210200</v>
      </c>
      <c r="D338" s="77">
        <v>5.74</v>
      </c>
      <c r="E338" s="26"/>
      <c r="F338" s="78" t="s">
        <v>2551</v>
      </c>
      <c r="G338" s="381">
        <v>23247000</v>
      </c>
      <c r="H338" s="26">
        <v>1</v>
      </c>
      <c r="I338" s="78" t="s">
        <v>2552</v>
      </c>
      <c r="J338" s="530">
        <v>69167000</v>
      </c>
    </row>
    <row r="339" spans="1:10" ht="33.75">
      <c r="A339" s="22" t="s">
        <v>2598</v>
      </c>
      <c r="B339" s="26" t="s">
        <v>2619</v>
      </c>
      <c r="C339" s="76">
        <v>11210300</v>
      </c>
      <c r="D339" s="77">
        <v>10.302</v>
      </c>
      <c r="E339" s="26"/>
      <c r="F339" s="78" t="s">
        <v>2551</v>
      </c>
      <c r="G339" s="381">
        <v>41723100</v>
      </c>
      <c r="H339" s="26">
        <v>2</v>
      </c>
      <c r="I339" s="78" t="s">
        <v>2552</v>
      </c>
      <c r="J339" s="530">
        <v>124139099.99999999</v>
      </c>
    </row>
    <row r="340" spans="1:10" ht="33.75">
      <c r="A340" s="22" t="s">
        <v>2595</v>
      </c>
      <c r="B340" s="26" t="s">
        <v>2620</v>
      </c>
      <c r="C340" s="76">
        <v>11210400</v>
      </c>
      <c r="D340" s="77">
        <v>7.6</v>
      </c>
      <c r="E340" s="26"/>
      <c r="F340" s="78" t="s">
        <v>2551</v>
      </c>
      <c r="G340" s="381">
        <v>30780000</v>
      </c>
      <c r="H340" s="26">
        <v>1</v>
      </c>
      <c r="I340" s="78" t="s">
        <v>2552</v>
      </c>
      <c r="J340" s="530">
        <v>91580000</v>
      </c>
    </row>
    <row r="341" spans="1:10" ht="33.75">
      <c r="A341" s="22" t="s">
        <v>2595</v>
      </c>
      <c r="B341" s="26" t="s">
        <v>2621</v>
      </c>
      <c r="C341" s="76">
        <v>11210500</v>
      </c>
      <c r="D341" s="77">
        <v>2.7160000000000002</v>
      </c>
      <c r="E341" s="26"/>
      <c r="F341" s="78" t="s">
        <v>2551</v>
      </c>
      <c r="G341" s="381">
        <v>10999800</v>
      </c>
      <c r="H341" s="26">
        <v>1</v>
      </c>
      <c r="I341" s="78" t="s">
        <v>2552</v>
      </c>
      <c r="J341" s="530">
        <v>32727800</v>
      </c>
    </row>
    <row r="342" spans="1:10" ht="33.75">
      <c r="A342" s="22" t="s">
        <v>2598</v>
      </c>
      <c r="B342" s="26" t="s">
        <v>2622</v>
      </c>
      <c r="C342" s="76">
        <v>11210600</v>
      </c>
      <c r="D342" s="77">
        <v>2.5409999999999999</v>
      </c>
      <c r="E342" s="26"/>
      <c r="F342" s="78" t="s">
        <v>2551</v>
      </c>
      <c r="G342" s="381">
        <v>10291050</v>
      </c>
      <c r="H342" s="26">
        <v>2</v>
      </c>
      <c r="I342" s="78" t="s">
        <v>2552</v>
      </c>
      <c r="J342" s="530">
        <v>30619050</v>
      </c>
    </row>
    <row r="343" spans="1:10" ht="33.75">
      <c r="A343" s="22" t="s">
        <v>2598</v>
      </c>
      <c r="B343" s="26" t="s">
        <v>2623</v>
      </c>
      <c r="C343" s="76">
        <v>11210700</v>
      </c>
      <c r="D343" s="77">
        <v>4.673</v>
      </c>
      <c r="E343" s="26"/>
      <c r="F343" s="78" t="s">
        <v>2551</v>
      </c>
      <c r="G343" s="381">
        <v>18925650</v>
      </c>
      <c r="H343" s="26">
        <v>1</v>
      </c>
      <c r="I343" s="78" t="s">
        <v>2552</v>
      </c>
      <c r="J343" s="530">
        <v>56309650</v>
      </c>
    </row>
    <row r="344" spans="1:10" ht="33.75">
      <c r="A344" s="22" t="s">
        <v>2598</v>
      </c>
      <c r="B344" s="26" t="s">
        <v>2624</v>
      </c>
      <c r="C344" s="76">
        <v>11210800</v>
      </c>
      <c r="D344" s="77">
        <v>2.335</v>
      </c>
      <c r="E344" s="26"/>
      <c r="F344" s="78" t="s">
        <v>2551</v>
      </c>
      <c r="G344" s="381">
        <v>9456750</v>
      </c>
      <c r="H344" s="26">
        <v>3</v>
      </c>
      <c r="I344" s="78" t="s">
        <v>2552</v>
      </c>
      <c r="J344" s="530">
        <v>28136750</v>
      </c>
    </row>
    <row r="345" spans="1:10" ht="33.75">
      <c r="A345" s="22" t="s">
        <v>2598</v>
      </c>
      <c r="B345" s="26" t="s">
        <v>2625</v>
      </c>
      <c r="C345" s="76">
        <v>11210900</v>
      </c>
      <c r="D345" s="77">
        <v>1.52</v>
      </c>
      <c r="E345" s="26"/>
      <c r="F345" s="78" t="s">
        <v>2551</v>
      </c>
      <c r="G345" s="381">
        <v>6156000</v>
      </c>
      <c r="H345" s="26">
        <v>2</v>
      </c>
      <c r="I345" s="78" t="s">
        <v>2552</v>
      </c>
      <c r="J345" s="530">
        <v>18316000</v>
      </c>
    </row>
    <row r="346" spans="1:10" ht="33.75">
      <c r="A346" s="22" t="s">
        <v>2598</v>
      </c>
      <c r="B346" s="26" t="s">
        <v>2626</v>
      </c>
      <c r="C346" s="76">
        <v>11211000</v>
      </c>
      <c r="D346" s="77">
        <v>5.4320000000000004</v>
      </c>
      <c r="E346" s="26"/>
      <c r="F346" s="78" t="s">
        <v>2551</v>
      </c>
      <c r="G346" s="381">
        <v>21999600</v>
      </c>
      <c r="H346" s="26">
        <v>1</v>
      </c>
      <c r="I346" s="78" t="s">
        <v>2552</v>
      </c>
      <c r="J346" s="530">
        <v>65455600</v>
      </c>
    </row>
    <row r="347" spans="1:10" ht="33.75">
      <c r="A347" s="22" t="s">
        <v>2598</v>
      </c>
      <c r="B347" s="26" t="s">
        <v>2627</v>
      </c>
      <c r="C347" s="76">
        <v>11211100</v>
      </c>
      <c r="D347" s="77">
        <v>4.5129999999999999</v>
      </c>
      <c r="E347" s="26"/>
      <c r="F347" s="78" t="s">
        <v>2551</v>
      </c>
      <c r="G347" s="381">
        <v>18277650</v>
      </c>
      <c r="H347" s="26">
        <v>2</v>
      </c>
      <c r="I347" s="78" t="s">
        <v>2552</v>
      </c>
      <c r="J347" s="530">
        <v>54381649.999999993</v>
      </c>
    </row>
    <row r="348" spans="1:10" ht="33.75">
      <c r="A348" s="22" t="s">
        <v>2598</v>
      </c>
      <c r="B348" s="26" t="s">
        <v>2628</v>
      </c>
      <c r="C348" s="76">
        <v>11211200</v>
      </c>
      <c r="D348" s="77">
        <v>2.82</v>
      </c>
      <c r="E348" s="26"/>
      <c r="F348" s="78" t="s">
        <v>2551</v>
      </c>
      <c r="G348" s="381">
        <v>11421000</v>
      </c>
      <c r="H348" s="26">
        <v>2</v>
      </c>
      <c r="I348" s="78" t="s">
        <v>2552</v>
      </c>
      <c r="J348" s="530">
        <v>33981000</v>
      </c>
    </row>
    <row r="349" spans="1:10" ht="33.75">
      <c r="A349" s="22" t="s">
        <v>2598</v>
      </c>
      <c r="B349" s="26" t="s">
        <v>2629</v>
      </c>
      <c r="C349" s="76">
        <v>11211300</v>
      </c>
      <c r="D349" s="77">
        <v>4.5860000000000003</v>
      </c>
      <c r="E349" s="26"/>
      <c r="F349" s="78" t="s">
        <v>2551</v>
      </c>
      <c r="G349" s="381">
        <v>18573300</v>
      </c>
      <c r="H349" s="26">
        <v>2</v>
      </c>
      <c r="I349" s="78" t="s">
        <v>2552</v>
      </c>
      <c r="J349" s="530">
        <v>55261300</v>
      </c>
    </row>
    <row r="350" spans="1:10" ht="33.75">
      <c r="A350" s="22" t="s">
        <v>2598</v>
      </c>
      <c r="B350" s="26" t="s">
        <v>2630</v>
      </c>
      <c r="C350" s="76">
        <v>11211400</v>
      </c>
      <c r="D350" s="77">
        <v>1.804</v>
      </c>
      <c r="E350" s="26"/>
      <c r="F350" s="78" t="s">
        <v>2551</v>
      </c>
      <c r="G350" s="381">
        <v>7306200</v>
      </c>
      <c r="H350" s="26">
        <v>2</v>
      </c>
      <c r="I350" s="78" t="s">
        <v>2552</v>
      </c>
      <c r="J350" s="530">
        <v>21738200</v>
      </c>
    </row>
    <row r="351" spans="1:10" ht="33.75">
      <c r="A351" s="22" t="s">
        <v>2598</v>
      </c>
      <c r="B351" s="26" t="s">
        <v>2631</v>
      </c>
      <c r="C351" s="76">
        <v>11211500</v>
      </c>
      <c r="D351" s="77">
        <v>4.9349999999999996</v>
      </c>
      <c r="E351" s="26"/>
      <c r="F351" s="78" t="s">
        <v>2551</v>
      </c>
      <c r="G351" s="381">
        <v>19986750</v>
      </c>
      <c r="H351" s="26">
        <v>1</v>
      </c>
      <c r="I351" s="78" t="s">
        <v>2552</v>
      </c>
      <c r="J351" s="530">
        <v>59466750</v>
      </c>
    </row>
    <row r="352" spans="1:10" ht="33.75">
      <c r="A352" s="22" t="s">
        <v>2595</v>
      </c>
      <c r="B352" s="26" t="s">
        <v>2632</v>
      </c>
      <c r="C352" s="76">
        <v>11211600</v>
      </c>
      <c r="D352" s="77">
        <v>1.9259999999999999</v>
      </c>
      <c r="E352" s="26"/>
      <c r="F352" s="78" t="s">
        <v>2551</v>
      </c>
      <c r="G352" s="381">
        <v>7800299.9999999991</v>
      </c>
      <c r="H352" s="26">
        <v>1</v>
      </c>
      <c r="I352" s="78" t="s">
        <v>2552</v>
      </c>
      <c r="J352" s="530">
        <v>23208299.999999996</v>
      </c>
    </row>
    <row r="353" spans="1:10" ht="33.75">
      <c r="A353" s="22" t="s">
        <v>2595</v>
      </c>
      <c r="B353" s="26" t="s">
        <v>2633</v>
      </c>
      <c r="C353" s="76">
        <v>11211700</v>
      </c>
      <c r="D353" s="77">
        <v>0.73099999999999998</v>
      </c>
      <c r="E353" s="26"/>
      <c r="F353" s="78" t="s">
        <v>2551</v>
      </c>
      <c r="G353" s="381">
        <v>2960550</v>
      </c>
      <c r="H353" s="26">
        <v>1</v>
      </c>
      <c r="I353" s="78" t="s">
        <v>2552</v>
      </c>
      <c r="J353" s="530">
        <v>8808550</v>
      </c>
    </row>
    <row r="354" spans="1:10" ht="33.75">
      <c r="A354" s="22" t="s">
        <v>2595</v>
      </c>
      <c r="B354" s="26" t="s">
        <v>2634</v>
      </c>
      <c r="C354" s="76">
        <v>11211800</v>
      </c>
      <c r="D354" s="77">
        <v>0.247</v>
      </c>
      <c r="E354" s="26"/>
      <c r="F354" s="78" t="s">
        <v>2551</v>
      </c>
      <c r="G354" s="381">
        <v>1000349.9999999999</v>
      </c>
      <c r="H354" s="26">
        <v>1</v>
      </c>
      <c r="I354" s="78" t="s">
        <v>2552</v>
      </c>
      <c r="J354" s="530">
        <v>2976349.9999999995</v>
      </c>
    </row>
    <row r="355" spans="1:10" ht="33.75">
      <c r="A355" s="22" t="s">
        <v>2595</v>
      </c>
      <c r="B355" s="26" t="s">
        <v>2635</v>
      </c>
      <c r="C355" s="76">
        <v>11211900</v>
      </c>
      <c r="D355" s="77">
        <v>1.206</v>
      </c>
      <c r="E355" s="26"/>
      <c r="F355" s="78" t="s">
        <v>2551</v>
      </c>
      <c r="G355" s="381">
        <v>4884299.9999999991</v>
      </c>
      <c r="H355" s="26">
        <v>2</v>
      </c>
      <c r="I355" s="78" t="s">
        <v>2552</v>
      </c>
      <c r="J355" s="530">
        <v>14532300</v>
      </c>
    </row>
    <row r="356" spans="1:10" ht="33.75">
      <c r="A356" s="22" t="s">
        <v>2598</v>
      </c>
      <c r="B356" s="26" t="s">
        <v>2636</v>
      </c>
      <c r="C356" s="76">
        <v>11212000</v>
      </c>
      <c r="D356" s="77">
        <v>0.13500000000000001</v>
      </c>
      <c r="E356" s="26"/>
      <c r="F356" s="78" t="s">
        <v>2551</v>
      </c>
      <c r="G356" s="381">
        <v>546750</v>
      </c>
      <c r="H356" s="26">
        <v>2</v>
      </c>
      <c r="I356" s="78" t="s">
        <v>2552</v>
      </c>
      <c r="J356" s="530">
        <v>1626750</v>
      </c>
    </row>
    <row r="357" spans="1:10" ht="33.75">
      <c r="A357" s="22" t="s">
        <v>2598</v>
      </c>
      <c r="B357" s="26" t="s">
        <v>2637</v>
      </c>
      <c r="C357" s="76">
        <v>11212100</v>
      </c>
      <c r="D357" s="77">
        <v>2.851</v>
      </c>
      <c r="E357" s="26"/>
      <c r="F357" s="78" t="s">
        <v>2551</v>
      </c>
      <c r="G357" s="381">
        <v>11546550</v>
      </c>
      <c r="H357" s="26">
        <v>2</v>
      </c>
      <c r="I357" s="78" t="s">
        <v>2552</v>
      </c>
      <c r="J357" s="530">
        <v>34354550</v>
      </c>
    </row>
    <row r="358" spans="1:10" ht="33.75">
      <c r="A358" s="22" t="s">
        <v>2598</v>
      </c>
      <c r="B358" s="26" t="s">
        <v>2638</v>
      </c>
      <c r="C358" s="76">
        <v>11212200</v>
      </c>
      <c r="D358" s="77">
        <v>3.649</v>
      </c>
      <c r="E358" s="26"/>
      <c r="F358" s="78" t="s">
        <v>2551</v>
      </c>
      <c r="G358" s="381">
        <v>14778450</v>
      </c>
      <c r="H358" s="26">
        <v>1</v>
      </c>
      <c r="I358" s="78" t="s">
        <v>2552</v>
      </c>
      <c r="J358" s="530">
        <v>43970450</v>
      </c>
    </row>
    <row r="359" spans="1:10" ht="33.75">
      <c r="A359" s="22" t="s">
        <v>2598</v>
      </c>
      <c r="B359" s="26" t="s">
        <v>2639</v>
      </c>
      <c r="C359" s="76">
        <v>11212300</v>
      </c>
      <c r="D359" s="77">
        <v>1.7330000000000001</v>
      </c>
      <c r="E359" s="26"/>
      <c r="F359" s="78" t="s">
        <v>2551</v>
      </c>
      <c r="G359" s="381">
        <v>7018650</v>
      </c>
      <c r="H359" s="26">
        <v>1</v>
      </c>
      <c r="I359" s="78" t="s">
        <v>2552</v>
      </c>
      <c r="J359" s="530">
        <v>20882650</v>
      </c>
    </row>
    <row r="360" spans="1:10" ht="33.75">
      <c r="A360" s="22" t="s">
        <v>2598</v>
      </c>
      <c r="B360" s="26" t="s">
        <v>2640</v>
      </c>
      <c r="C360" s="76">
        <v>11212400</v>
      </c>
      <c r="D360" s="77">
        <v>3.1230000000000002</v>
      </c>
      <c r="E360" s="26"/>
      <c r="F360" s="78" t="s">
        <v>2551</v>
      </c>
      <c r="G360" s="381">
        <v>12648150</v>
      </c>
      <c r="H360" s="26">
        <v>2</v>
      </c>
      <c r="I360" s="78" t="s">
        <v>2552</v>
      </c>
      <c r="J360" s="530">
        <v>37632150</v>
      </c>
    </row>
    <row r="361" spans="1:10" ht="33.75">
      <c r="A361" s="22" t="s">
        <v>2595</v>
      </c>
      <c r="B361" s="26" t="s">
        <v>2641</v>
      </c>
      <c r="C361" s="76">
        <v>11212500</v>
      </c>
      <c r="D361" s="77">
        <v>6.7030000000000003</v>
      </c>
      <c r="E361" s="26"/>
      <c r="F361" s="78" t="s">
        <v>2551</v>
      </c>
      <c r="G361" s="381">
        <v>27147150</v>
      </c>
      <c r="H361" s="26">
        <v>2</v>
      </c>
      <c r="I361" s="78" t="s">
        <v>2552</v>
      </c>
      <c r="J361" s="530">
        <v>80771150</v>
      </c>
    </row>
    <row r="362" spans="1:10" ht="33.75">
      <c r="A362" s="22" t="s">
        <v>2595</v>
      </c>
      <c r="B362" s="26" t="s">
        <v>2642</v>
      </c>
      <c r="C362" s="76">
        <v>11212600</v>
      </c>
      <c r="D362" s="77">
        <v>1.7130000000000001</v>
      </c>
      <c r="E362" s="26"/>
      <c r="F362" s="78" t="s">
        <v>2551</v>
      </c>
      <c r="G362" s="381">
        <v>6937650</v>
      </c>
      <c r="H362" s="26">
        <v>2</v>
      </c>
      <c r="I362" s="78" t="s">
        <v>2552</v>
      </c>
      <c r="J362" s="530">
        <v>20641650</v>
      </c>
    </row>
    <row r="363" spans="1:10" ht="33.75">
      <c r="A363" s="22" t="s">
        <v>2595</v>
      </c>
      <c r="B363" s="26" t="s">
        <v>2643</v>
      </c>
      <c r="C363" s="76">
        <v>11212700</v>
      </c>
      <c r="D363" s="77">
        <v>1.2390000000000001</v>
      </c>
      <c r="E363" s="26"/>
      <c r="F363" s="78" t="s">
        <v>2551</v>
      </c>
      <c r="G363" s="381">
        <v>5017950</v>
      </c>
      <c r="H363" s="26">
        <v>2</v>
      </c>
      <c r="I363" s="78" t="s">
        <v>2552</v>
      </c>
      <c r="J363" s="530">
        <v>14929950</v>
      </c>
    </row>
    <row r="364" spans="1:10" ht="33.75">
      <c r="A364" s="22" t="s">
        <v>2595</v>
      </c>
      <c r="B364" s="26" t="s">
        <v>2644</v>
      </c>
      <c r="C364" s="76">
        <v>11212800</v>
      </c>
      <c r="D364" s="77">
        <v>3.194</v>
      </c>
      <c r="E364" s="26"/>
      <c r="F364" s="78" t="s">
        <v>2551</v>
      </c>
      <c r="G364" s="381">
        <v>12935700</v>
      </c>
      <c r="H364" s="26">
        <v>2</v>
      </c>
      <c r="I364" s="78" t="s">
        <v>2552</v>
      </c>
      <c r="J364" s="530">
        <v>38487700</v>
      </c>
    </row>
    <row r="365" spans="1:10" ht="33.75">
      <c r="A365" s="22" t="s">
        <v>2595</v>
      </c>
      <c r="B365" s="26" t="s">
        <v>2645</v>
      </c>
      <c r="C365" s="76">
        <v>11212900</v>
      </c>
      <c r="D365" s="77">
        <v>1.583</v>
      </c>
      <c r="E365" s="26"/>
      <c r="F365" s="78" t="s">
        <v>2551</v>
      </c>
      <c r="G365" s="381">
        <v>6411150</v>
      </c>
      <c r="H365" s="26">
        <v>1</v>
      </c>
      <c r="I365" s="78" t="s">
        <v>2552</v>
      </c>
      <c r="J365" s="530">
        <v>19075150</v>
      </c>
    </row>
    <row r="366" spans="1:10" ht="33.75">
      <c r="A366" s="22" t="s">
        <v>2598</v>
      </c>
      <c r="B366" s="26" t="s">
        <v>2646</v>
      </c>
      <c r="C366" s="76">
        <v>11213000</v>
      </c>
      <c r="D366" s="77">
        <v>1.278</v>
      </c>
      <c r="E366" s="26"/>
      <c r="F366" s="78" t="s">
        <v>2551</v>
      </c>
      <c r="G366" s="381">
        <v>5175900</v>
      </c>
      <c r="H366" s="26">
        <v>1</v>
      </c>
      <c r="I366" s="78" t="s">
        <v>2552</v>
      </c>
      <c r="J366" s="530">
        <v>15399900</v>
      </c>
    </row>
    <row r="367" spans="1:10" ht="33.75">
      <c r="A367" s="22" t="s">
        <v>2598</v>
      </c>
      <c r="B367" s="26" t="s">
        <v>2647</v>
      </c>
      <c r="C367" s="76">
        <v>11213100</v>
      </c>
      <c r="D367" s="77">
        <v>0.65300000000000002</v>
      </c>
      <c r="E367" s="26"/>
      <c r="F367" s="78" t="s">
        <v>2551</v>
      </c>
      <c r="G367" s="381">
        <v>2644649.9999999995</v>
      </c>
      <c r="H367" s="26">
        <v>2</v>
      </c>
      <c r="I367" s="78" t="s">
        <v>2552</v>
      </c>
      <c r="J367" s="530">
        <v>7868650</v>
      </c>
    </row>
    <row r="368" spans="1:10" ht="33.75">
      <c r="A368" s="22" t="s">
        <v>2598</v>
      </c>
      <c r="B368" s="26" t="s">
        <v>2648</v>
      </c>
      <c r="C368" s="76">
        <v>11213200</v>
      </c>
      <c r="D368" s="77">
        <v>0.746</v>
      </c>
      <c r="E368" s="26"/>
      <c r="F368" s="78" t="s">
        <v>2551</v>
      </c>
      <c r="G368" s="381">
        <v>3021300</v>
      </c>
      <c r="H368" s="26">
        <v>2</v>
      </c>
      <c r="I368" s="78" t="s">
        <v>2552</v>
      </c>
      <c r="J368" s="530">
        <v>8989300</v>
      </c>
    </row>
    <row r="369" spans="1:10" ht="33.75">
      <c r="A369" s="22" t="s">
        <v>2598</v>
      </c>
      <c r="B369" s="26" t="s">
        <v>2649</v>
      </c>
      <c r="C369" s="76">
        <v>11213300</v>
      </c>
      <c r="D369" s="77">
        <v>0.34100000000000003</v>
      </c>
      <c r="E369" s="26"/>
      <c r="F369" s="78" t="s">
        <v>2551</v>
      </c>
      <c r="G369" s="381">
        <v>1381050</v>
      </c>
      <c r="H369" s="26">
        <v>2</v>
      </c>
      <c r="I369" s="78" t="s">
        <v>2552</v>
      </c>
      <c r="J369" s="530">
        <v>4109050</v>
      </c>
    </row>
    <row r="370" spans="1:10" ht="33.75">
      <c r="A370" s="22" t="s">
        <v>2598</v>
      </c>
      <c r="B370" s="26" t="s">
        <v>2650</v>
      </c>
      <c r="C370" s="76">
        <v>11213400</v>
      </c>
      <c r="D370" s="77">
        <v>0.95899999999999996</v>
      </c>
      <c r="E370" s="26"/>
      <c r="F370" s="78" t="s">
        <v>2551</v>
      </c>
      <c r="G370" s="381">
        <v>3883950</v>
      </c>
      <c r="H370" s="26">
        <v>1</v>
      </c>
      <c r="I370" s="78" t="s">
        <v>2552</v>
      </c>
      <c r="J370" s="530">
        <v>11555950</v>
      </c>
    </row>
    <row r="371" spans="1:10" ht="33.75">
      <c r="A371" s="22" t="s">
        <v>2595</v>
      </c>
      <c r="B371" s="26" t="s">
        <v>2651</v>
      </c>
      <c r="C371" s="76">
        <v>11213500</v>
      </c>
      <c r="D371" s="77">
        <v>0.51300000000000001</v>
      </c>
      <c r="E371" s="26"/>
      <c r="F371" s="78" t="s">
        <v>2551</v>
      </c>
      <c r="G371" s="381">
        <v>2077650</v>
      </c>
      <c r="H371" s="26">
        <v>1</v>
      </c>
      <c r="I371" s="78" t="s">
        <v>2552</v>
      </c>
      <c r="J371" s="530">
        <v>6181650</v>
      </c>
    </row>
    <row r="372" spans="1:10" ht="33.75">
      <c r="A372" s="22" t="s">
        <v>2509</v>
      </c>
      <c r="B372" s="26" t="s">
        <v>2652</v>
      </c>
      <c r="C372" s="76">
        <v>11213600</v>
      </c>
      <c r="D372" s="77">
        <v>1.7390000000000001</v>
      </c>
      <c r="E372" s="26"/>
      <c r="F372" s="78" t="s">
        <v>2551</v>
      </c>
      <c r="G372" s="381">
        <v>7042950</v>
      </c>
      <c r="H372" s="26">
        <v>2</v>
      </c>
      <c r="I372" s="78" t="s">
        <v>2552</v>
      </c>
      <c r="J372" s="530">
        <v>20954950</v>
      </c>
    </row>
    <row r="373" spans="1:10" ht="33.75">
      <c r="A373" s="22" t="s">
        <v>2525</v>
      </c>
      <c r="B373" s="26" t="s">
        <v>137</v>
      </c>
      <c r="C373" s="76">
        <v>11213700</v>
      </c>
      <c r="D373" s="77">
        <v>0.42199999999999999</v>
      </c>
      <c r="E373" s="26"/>
      <c r="F373" s="78" t="s">
        <v>2551</v>
      </c>
      <c r="G373" s="381">
        <v>1709100</v>
      </c>
      <c r="H373" s="26">
        <v>2</v>
      </c>
      <c r="I373" s="78" t="s">
        <v>2552</v>
      </c>
      <c r="J373" s="530">
        <v>5085100</v>
      </c>
    </row>
    <row r="374" spans="1:10" ht="33.75">
      <c r="A374" s="22" t="s">
        <v>2525</v>
      </c>
      <c r="B374" s="26" t="s">
        <v>2653</v>
      </c>
      <c r="C374" s="76">
        <v>11213900</v>
      </c>
      <c r="D374" s="77">
        <v>0.49</v>
      </c>
      <c r="E374" s="26"/>
      <c r="F374" s="78" t="s">
        <v>2551</v>
      </c>
      <c r="G374" s="381">
        <v>1984500</v>
      </c>
      <c r="H374" s="26">
        <v>1</v>
      </c>
      <c r="I374" s="78" t="s">
        <v>2552</v>
      </c>
      <c r="J374" s="530">
        <v>5904500</v>
      </c>
    </row>
    <row r="375" spans="1:10" ht="33.75">
      <c r="A375" s="22" t="s">
        <v>2525</v>
      </c>
      <c r="B375" s="26" t="s">
        <v>2654</v>
      </c>
      <c r="C375" s="76">
        <v>11214000</v>
      </c>
      <c r="D375" s="77">
        <v>1.2390000000000001</v>
      </c>
      <c r="E375" s="26"/>
      <c r="F375" s="78" t="s">
        <v>2551</v>
      </c>
      <c r="G375" s="381">
        <v>5017950</v>
      </c>
      <c r="H375" s="26">
        <v>1</v>
      </c>
      <c r="I375" s="78" t="s">
        <v>2552</v>
      </c>
      <c r="J375" s="530">
        <v>14929950</v>
      </c>
    </row>
    <row r="376" spans="1:10" ht="33.75">
      <c r="A376" s="22" t="s">
        <v>2525</v>
      </c>
      <c r="B376" s="26" t="s">
        <v>2655</v>
      </c>
      <c r="C376" s="76">
        <v>11214100</v>
      </c>
      <c r="D376" s="77">
        <v>7.82</v>
      </c>
      <c r="E376" s="26"/>
      <c r="F376" s="78" t="s">
        <v>2551</v>
      </c>
      <c r="G376" s="381">
        <v>31671000</v>
      </c>
      <c r="H376" s="26">
        <v>2</v>
      </c>
      <c r="I376" s="78" t="s">
        <v>2552</v>
      </c>
      <c r="J376" s="530">
        <v>94231000</v>
      </c>
    </row>
    <row r="377" spans="1:10" ht="33.75">
      <c r="A377" s="22" t="s">
        <v>2505</v>
      </c>
      <c r="B377" s="26" t="s">
        <v>2656</v>
      </c>
      <c r="C377" s="76">
        <v>11214700</v>
      </c>
      <c r="D377" s="77">
        <v>1.4999999999999999E-2</v>
      </c>
      <c r="E377" s="26"/>
      <c r="F377" s="78" t="s">
        <v>2551</v>
      </c>
      <c r="G377" s="381">
        <v>60750</v>
      </c>
      <c r="H377" s="26">
        <v>2</v>
      </c>
      <c r="I377" s="78" t="s">
        <v>2552</v>
      </c>
      <c r="J377" s="530">
        <v>180750</v>
      </c>
    </row>
    <row r="378" spans="1:10" ht="33.75">
      <c r="A378" s="22" t="s">
        <v>2595</v>
      </c>
      <c r="B378" s="26" t="s">
        <v>2657</v>
      </c>
      <c r="C378" s="76">
        <v>11214800</v>
      </c>
      <c r="D378" s="77">
        <v>1.8089999999999999</v>
      </c>
      <c r="E378" s="26"/>
      <c r="F378" s="78" t="s">
        <v>2551</v>
      </c>
      <c r="G378" s="381">
        <v>7326450</v>
      </c>
      <c r="H378" s="26">
        <v>2</v>
      </c>
      <c r="I378" s="78" t="s">
        <v>2552</v>
      </c>
      <c r="J378" s="530">
        <v>21798450</v>
      </c>
    </row>
    <row r="379" spans="1:10" ht="33.75">
      <c r="A379" s="22" t="s">
        <v>2509</v>
      </c>
      <c r="B379" s="26" t="s">
        <v>2658</v>
      </c>
      <c r="C379" s="76">
        <v>11215100</v>
      </c>
      <c r="D379" s="77">
        <v>0.39900000000000002</v>
      </c>
      <c r="E379" s="26"/>
      <c r="F379" s="78" t="s">
        <v>2551</v>
      </c>
      <c r="G379" s="381">
        <v>1615949.9999999998</v>
      </c>
      <c r="H379" s="26">
        <v>2</v>
      </c>
      <c r="I379" s="78" t="s">
        <v>2552</v>
      </c>
      <c r="J379" s="530">
        <v>4807950</v>
      </c>
    </row>
    <row r="380" spans="1:10" ht="33.75">
      <c r="A380" s="22" t="s">
        <v>2509</v>
      </c>
      <c r="B380" s="26" t="s">
        <v>2659</v>
      </c>
      <c r="C380" s="76">
        <v>11215200</v>
      </c>
      <c r="D380" s="77">
        <v>0.49199999999999999</v>
      </c>
      <c r="E380" s="26"/>
      <c r="F380" s="78" t="s">
        <v>2551</v>
      </c>
      <c r="G380" s="381">
        <v>1992600</v>
      </c>
      <c r="H380" s="26">
        <v>2</v>
      </c>
      <c r="I380" s="78" t="s">
        <v>2552</v>
      </c>
      <c r="J380" s="530">
        <v>5928600</v>
      </c>
    </row>
    <row r="381" spans="1:10" ht="33.75">
      <c r="A381" s="22" t="s">
        <v>2509</v>
      </c>
      <c r="B381" s="26" t="s">
        <v>2660</v>
      </c>
      <c r="C381" s="76">
        <v>11215300</v>
      </c>
      <c r="D381" s="77">
        <v>0.65200000000000002</v>
      </c>
      <c r="E381" s="26"/>
      <c r="F381" s="78" t="s">
        <v>2551</v>
      </c>
      <c r="G381" s="381">
        <v>2640600</v>
      </c>
      <c r="H381" s="26">
        <v>2</v>
      </c>
      <c r="I381" s="78" t="s">
        <v>2552</v>
      </c>
      <c r="J381" s="530">
        <v>7856600</v>
      </c>
    </row>
    <row r="382" spans="1:10" ht="33.75">
      <c r="A382" s="22" t="s">
        <v>2525</v>
      </c>
      <c r="B382" s="26" t="s">
        <v>2661</v>
      </c>
      <c r="C382" s="76">
        <v>11215400</v>
      </c>
      <c r="D382" s="77">
        <v>0.34399999999999997</v>
      </c>
      <c r="E382" s="26"/>
      <c r="F382" s="78" t="s">
        <v>2551</v>
      </c>
      <c r="G382" s="381">
        <v>1393199.9999999998</v>
      </c>
      <c r="H382" s="26">
        <v>2</v>
      </c>
      <c r="I382" s="78" t="s">
        <v>2552</v>
      </c>
      <c r="J382" s="530">
        <v>4145199.9999999991</v>
      </c>
    </row>
    <row r="383" spans="1:10" ht="33.75">
      <c r="A383" s="22" t="s">
        <v>2525</v>
      </c>
      <c r="B383" s="26" t="s">
        <v>2662</v>
      </c>
      <c r="C383" s="76">
        <v>11215500</v>
      </c>
      <c r="D383" s="77">
        <v>1.0549999999999999</v>
      </c>
      <c r="E383" s="26"/>
      <c r="F383" s="78" t="s">
        <v>2551</v>
      </c>
      <c r="G383" s="381">
        <v>4272750</v>
      </c>
      <c r="H383" s="26">
        <v>2</v>
      </c>
      <c r="I383" s="78" t="s">
        <v>2552</v>
      </c>
      <c r="J383" s="530">
        <v>12712750</v>
      </c>
    </row>
    <row r="384" spans="1:10" ht="33.75">
      <c r="A384" s="22" t="s">
        <v>2505</v>
      </c>
      <c r="B384" s="26" t="s">
        <v>2663</v>
      </c>
      <c r="C384" s="76">
        <v>11215600</v>
      </c>
      <c r="D384" s="77">
        <v>1.758</v>
      </c>
      <c r="E384" s="26"/>
      <c r="F384" s="78" t="s">
        <v>2551</v>
      </c>
      <c r="G384" s="381">
        <v>7119900</v>
      </c>
      <c r="H384" s="26">
        <v>2</v>
      </c>
      <c r="I384" s="78" t="s">
        <v>2552</v>
      </c>
      <c r="J384" s="530">
        <v>21183900</v>
      </c>
    </row>
    <row r="385" spans="1:10" ht="33.75">
      <c r="A385" s="22" t="s">
        <v>2598</v>
      </c>
      <c r="B385" s="26" t="s">
        <v>2664</v>
      </c>
      <c r="C385" s="76">
        <v>11215700</v>
      </c>
      <c r="D385" s="77">
        <v>3.1360000000000001</v>
      </c>
      <c r="E385" s="26"/>
      <c r="F385" s="78" t="s">
        <v>2551</v>
      </c>
      <c r="G385" s="381">
        <v>12700800</v>
      </c>
      <c r="H385" s="26">
        <v>2</v>
      </c>
      <c r="I385" s="78" t="s">
        <v>2552</v>
      </c>
      <c r="J385" s="530">
        <v>37788800</v>
      </c>
    </row>
    <row r="386" spans="1:10" ht="33.75">
      <c r="A386" s="22" t="s">
        <v>2525</v>
      </c>
      <c r="B386" s="26" t="s">
        <v>2665</v>
      </c>
      <c r="C386" s="76">
        <v>11215800</v>
      </c>
      <c r="D386" s="77">
        <v>0.85599999999999998</v>
      </c>
      <c r="E386" s="26"/>
      <c r="F386" s="78" t="s">
        <v>2551</v>
      </c>
      <c r="G386" s="381">
        <v>3466800</v>
      </c>
      <c r="H386" s="26">
        <v>2</v>
      </c>
      <c r="I386" s="78" t="s">
        <v>2552</v>
      </c>
      <c r="J386" s="530">
        <v>10314800</v>
      </c>
    </row>
    <row r="387" spans="1:10" ht="33.75">
      <c r="A387" s="22" t="s">
        <v>2598</v>
      </c>
      <c r="B387" s="26" t="s">
        <v>2666</v>
      </c>
      <c r="C387" s="76">
        <v>11215900</v>
      </c>
      <c r="D387" s="77">
        <v>0.77700000000000002</v>
      </c>
      <c r="E387" s="26"/>
      <c r="F387" s="78" t="s">
        <v>2551</v>
      </c>
      <c r="G387" s="381">
        <v>3146850</v>
      </c>
      <c r="H387" s="26">
        <v>1</v>
      </c>
      <c r="I387" s="78" t="s">
        <v>2552</v>
      </c>
      <c r="J387" s="530">
        <v>9362850</v>
      </c>
    </row>
    <row r="388" spans="1:10" ht="33.75">
      <c r="A388" s="22" t="s">
        <v>2598</v>
      </c>
      <c r="B388" s="26" t="s">
        <v>2667</v>
      </c>
      <c r="C388" s="76">
        <v>11216000</v>
      </c>
      <c r="D388" s="77">
        <v>0.75</v>
      </c>
      <c r="E388" s="26"/>
      <c r="F388" s="78" t="s">
        <v>2551</v>
      </c>
      <c r="G388" s="381">
        <v>3037500</v>
      </c>
      <c r="H388" s="26">
        <v>1</v>
      </c>
      <c r="I388" s="78" t="s">
        <v>2552</v>
      </c>
      <c r="J388" s="530">
        <v>9037500</v>
      </c>
    </row>
    <row r="389" spans="1:10" ht="33.75">
      <c r="A389" s="22" t="s">
        <v>2509</v>
      </c>
      <c r="B389" s="26" t="s">
        <v>2668</v>
      </c>
      <c r="C389" s="76">
        <v>11216100</v>
      </c>
      <c r="D389" s="77">
        <v>1.081</v>
      </c>
      <c r="E389" s="26"/>
      <c r="F389" s="78" t="s">
        <v>2551</v>
      </c>
      <c r="G389" s="381">
        <v>4378050</v>
      </c>
      <c r="H389" s="26">
        <v>2</v>
      </c>
      <c r="I389" s="78" t="s">
        <v>2552</v>
      </c>
      <c r="J389" s="530">
        <v>13026050</v>
      </c>
    </row>
    <row r="390" spans="1:10" ht="33.75">
      <c r="A390" s="22" t="s">
        <v>2505</v>
      </c>
      <c r="B390" s="26" t="s">
        <v>2669</v>
      </c>
      <c r="C390" s="76">
        <v>11216200</v>
      </c>
      <c r="D390" s="77">
        <v>0.26</v>
      </c>
      <c r="E390" s="26"/>
      <c r="F390" s="78" t="s">
        <v>2551</v>
      </c>
      <c r="G390" s="381">
        <v>1053000</v>
      </c>
      <c r="H390" s="26">
        <v>1</v>
      </c>
      <c r="I390" s="78" t="s">
        <v>2552</v>
      </c>
      <c r="J390" s="530">
        <v>3133000</v>
      </c>
    </row>
    <row r="391" spans="1:10" ht="33.75">
      <c r="A391" s="22" t="s">
        <v>2505</v>
      </c>
      <c r="B391" s="26" t="s">
        <v>2670</v>
      </c>
      <c r="C391" s="76">
        <v>11216300</v>
      </c>
      <c r="D391" s="77">
        <v>0.35</v>
      </c>
      <c r="E391" s="26"/>
      <c r="F391" s="78" t="s">
        <v>2551</v>
      </c>
      <c r="G391" s="381">
        <v>1417500</v>
      </c>
      <c r="H391" s="26">
        <v>2</v>
      </c>
      <c r="I391" s="78" t="s">
        <v>2552</v>
      </c>
      <c r="J391" s="530">
        <v>4217500</v>
      </c>
    </row>
    <row r="392" spans="1:10" ht="33.75">
      <c r="A392" s="22" t="s">
        <v>2505</v>
      </c>
      <c r="B392" s="26" t="s">
        <v>2671</v>
      </c>
      <c r="C392" s="76">
        <v>11216400</v>
      </c>
      <c r="D392" s="77">
        <v>0.16</v>
      </c>
      <c r="E392" s="26"/>
      <c r="F392" s="78" t="s">
        <v>2551</v>
      </c>
      <c r="G392" s="381">
        <v>648000</v>
      </c>
      <c r="H392" s="26">
        <v>2</v>
      </c>
      <c r="I392" s="78" t="s">
        <v>2552</v>
      </c>
      <c r="J392" s="530">
        <v>1928000</v>
      </c>
    </row>
    <row r="393" spans="1:10" ht="33.75">
      <c r="A393" s="22" t="s">
        <v>2505</v>
      </c>
      <c r="B393" s="26" t="s">
        <v>2672</v>
      </c>
      <c r="C393" s="76">
        <v>11216500</v>
      </c>
      <c r="D393" s="77">
        <v>6.0999999999999999E-2</v>
      </c>
      <c r="E393" s="26"/>
      <c r="F393" s="78" t="s">
        <v>2551</v>
      </c>
      <c r="G393" s="381">
        <v>247050</v>
      </c>
      <c r="H393" s="26">
        <v>2</v>
      </c>
      <c r="I393" s="78" t="s">
        <v>2552</v>
      </c>
      <c r="J393" s="530">
        <v>735050</v>
      </c>
    </row>
    <row r="394" spans="1:10" ht="33.75">
      <c r="A394" s="22" t="s">
        <v>2505</v>
      </c>
      <c r="B394" s="26" t="s">
        <v>2673</v>
      </c>
      <c r="C394" s="76">
        <v>11216700</v>
      </c>
      <c r="D394" s="77">
        <v>0.64</v>
      </c>
      <c r="E394" s="26"/>
      <c r="F394" s="78" t="s">
        <v>2551</v>
      </c>
      <c r="G394" s="381">
        <v>2592000</v>
      </c>
      <c r="H394" s="26">
        <v>2</v>
      </c>
      <c r="I394" s="78" t="s">
        <v>2552</v>
      </c>
      <c r="J394" s="530">
        <v>7712000</v>
      </c>
    </row>
    <row r="395" spans="1:10" ht="33.75">
      <c r="A395" s="22" t="s">
        <v>2505</v>
      </c>
      <c r="B395" s="26" t="s">
        <v>2674</v>
      </c>
      <c r="C395" s="76">
        <v>11216800</v>
      </c>
      <c r="D395" s="77">
        <v>0.9</v>
      </c>
      <c r="E395" s="26"/>
      <c r="F395" s="78" t="s">
        <v>2551</v>
      </c>
      <c r="G395" s="381">
        <v>3645000</v>
      </c>
      <c r="H395" s="26">
        <v>2</v>
      </c>
      <c r="I395" s="78" t="s">
        <v>2552</v>
      </c>
      <c r="J395" s="530">
        <v>10845000</v>
      </c>
    </row>
    <row r="396" spans="1:10" ht="33.75">
      <c r="A396" s="22" t="s">
        <v>2505</v>
      </c>
      <c r="B396" s="26" t="s">
        <v>2675</v>
      </c>
      <c r="C396" s="76">
        <v>11217300</v>
      </c>
      <c r="D396" s="77">
        <v>0.09</v>
      </c>
      <c r="E396" s="26"/>
      <c r="F396" s="78" t="s">
        <v>2551</v>
      </c>
      <c r="G396" s="381">
        <v>364500</v>
      </c>
      <c r="H396" s="26">
        <v>2</v>
      </c>
      <c r="I396" s="78" t="s">
        <v>2552</v>
      </c>
      <c r="J396" s="530">
        <v>1084500</v>
      </c>
    </row>
    <row r="397" spans="1:10" ht="33.75">
      <c r="A397" s="22" t="s">
        <v>2505</v>
      </c>
      <c r="B397" s="26" t="s">
        <v>2676</v>
      </c>
      <c r="C397" s="76">
        <v>11217600</v>
      </c>
      <c r="D397" s="77">
        <v>0.18</v>
      </c>
      <c r="E397" s="26"/>
      <c r="F397" s="78" t="s">
        <v>2551</v>
      </c>
      <c r="G397" s="381">
        <v>729000</v>
      </c>
      <c r="H397" s="26">
        <v>2</v>
      </c>
      <c r="I397" s="78" t="s">
        <v>2552</v>
      </c>
      <c r="J397" s="530">
        <v>2169000</v>
      </c>
    </row>
    <row r="398" spans="1:10" ht="33.75">
      <c r="A398" s="22" t="s">
        <v>2505</v>
      </c>
      <c r="B398" s="26" t="s">
        <v>2677</v>
      </c>
      <c r="C398" s="76">
        <v>11217700</v>
      </c>
      <c r="D398" s="77">
        <v>0.16</v>
      </c>
      <c r="E398" s="26"/>
      <c r="F398" s="78" t="s">
        <v>2551</v>
      </c>
      <c r="G398" s="381">
        <v>648000</v>
      </c>
      <c r="H398" s="26">
        <v>2</v>
      </c>
      <c r="I398" s="78" t="s">
        <v>2552</v>
      </c>
      <c r="J398" s="530">
        <v>1928000</v>
      </c>
    </row>
    <row r="399" spans="1:10" ht="33.75">
      <c r="A399" s="22" t="s">
        <v>2505</v>
      </c>
      <c r="B399" s="26" t="s">
        <v>2678</v>
      </c>
      <c r="C399" s="76">
        <v>11217800</v>
      </c>
      <c r="D399" s="77">
        <v>0.24</v>
      </c>
      <c r="E399" s="26"/>
      <c r="F399" s="78" t="s">
        <v>2551</v>
      </c>
      <c r="G399" s="381">
        <v>972000</v>
      </c>
      <c r="H399" s="26">
        <v>2</v>
      </c>
      <c r="I399" s="78" t="s">
        <v>2552</v>
      </c>
      <c r="J399" s="530">
        <v>2892000</v>
      </c>
    </row>
    <row r="400" spans="1:10" ht="33.75">
      <c r="A400" s="22" t="s">
        <v>2525</v>
      </c>
      <c r="B400" s="26" t="s">
        <v>2679</v>
      </c>
      <c r="C400" s="76">
        <v>11217900</v>
      </c>
      <c r="D400" s="77">
        <v>0.58099999999999996</v>
      </c>
      <c r="E400" s="26"/>
      <c r="F400" s="78" t="s">
        <v>2551</v>
      </c>
      <c r="G400" s="381">
        <v>2353050</v>
      </c>
      <c r="H400" s="26">
        <v>2</v>
      </c>
      <c r="I400" s="78" t="s">
        <v>2552</v>
      </c>
      <c r="J400" s="530">
        <v>7001049.9999999991</v>
      </c>
    </row>
    <row r="401" spans="1:10" ht="33.75">
      <c r="A401" s="22" t="s">
        <v>2525</v>
      </c>
      <c r="B401" s="26" t="s">
        <v>2680</v>
      </c>
      <c r="C401" s="76">
        <v>11218000</v>
      </c>
      <c r="D401" s="77">
        <v>0.33</v>
      </c>
      <c r="E401" s="26"/>
      <c r="F401" s="78" t="s">
        <v>2551</v>
      </c>
      <c r="G401" s="381">
        <v>1336500</v>
      </c>
      <c r="H401" s="26">
        <v>2</v>
      </c>
      <c r="I401" s="78" t="s">
        <v>2552</v>
      </c>
      <c r="J401" s="530">
        <v>3976500</v>
      </c>
    </row>
    <row r="402" spans="1:10" ht="33.75">
      <c r="A402" s="22" t="s">
        <v>2525</v>
      </c>
      <c r="B402" s="26" t="s">
        <v>2681</v>
      </c>
      <c r="C402" s="76">
        <v>11218100</v>
      </c>
      <c r="D402" s="77">
        <v>0.22</v>
      </c>
      <c r="E402" s="26"/>
      <c r="F402" s="78" t="s">
        <v>2551</v>
      </c>
      <c r="G402" s="381">
        <v>891000</v>
      </c>
      <c r="H402" s="26">
        <v>2</v>
      </c>
      <c r="I402" s="78" t="s">
        <v>2552</v>
      </c>
      <c r="J402" s="530">
        <v>2651000</v>
      </c>
    </row>
    <row r="403" spans="1:10" ht="33.75">
      <c r="A403" s="22" t="s">
        <v>2525</v>
      </c>
      <c r="B403" s="26" t="s">
        <v>2682</v>
      </c>
      <c r="C403" s="76">
        <v>11218200</v>
      </c>
      <c r="D403" s="77">
        <v>0.06</v>
      </c>
      <c r="E403" s="26"/>
      <c r="F403" s="78" t="s">
        <v>2551</v>
      </c>
      <c r="G403" s="381">
        <v>243000</v>
      </c>
      <c r="H403" s="26">
        <v>2</v>
      </c>
      <c r="I403" s="78" t="s">
        <v>2552</v>
      </c>
      <c r="J403" s="530">
        <v>723000</v>
      </c>
    </row>
    <row r="404" spans="1:10" ht="33.75">
      <c r="A404" s="22" t="s">
        <v>2525</v>
      </c>
      <c r="B404" s="26" t="s">
        <v>2683</v>
      </c>
      <c r="C404" s="76">
        <v>11218300</v>
      </c>
      <c r="D404" s="77">
        <v>0.62</v>
      </c>
      <c r="E404" s="26"/>
      <c r="F404" s="78" t="s">
        <v>2551</v>
      </c>
      <c r="G404" s="381">
        <v>2511000</v>
      </c>
      <c r="H404" s="26">
        <v>2</v>
      </c>
      <c r="I404" s="78" t="s">
        <v>2552</v>
      </c>
      <c r="J404" s="530">
        <v>7471000</v>
      </c>
    </row>
    <row r="405" spans="1:10" ht="33.75">
      <c r="A405" s="22" t="s">
        <v>2525</v>
      </c>
      <c r="B405" s="26" t="s">
        <v>2684</v>
      </c>
      <c r="C405" s="76">
        <v>11218400</v>
      </c>
      <c r="D405" s="77">
        <v>0.3</v>
      </c>
      <c r="E405" s="26"/>
      <c r="F405" s="78" t="s">
        <v>2551</v>
      </c>
      <c r="G405" s="381">
        <v>1215000</v>
      </c>
      <c r="H405" s="26">
        <v>2</v>
      </c>
      <c r="I405" s="78" t="s">
        <v>2552</v>
      </c>
      <c r="J405" s="530">
        <v>3615000</v>
      </c>
    </row>
    <row r="406" spans="1:10" ht="33.75">
      <c r="A406" s="22" t="s">
        <v>2525</v>
      </c>
      <c r="B406" s="26" t="s">
        <v>2685</v>
      </c>
      <c r="C406" s="76">
        <v>11218500</v>
      </c>
      <c r="D406" s="77">
        <v>0.09</v>
      </c>
      <c r="E406" s="26"/>
      <c r="F406" s="78" t="s">
        <v>2551</v>
      </c>
      <c r="G406" s="381">
        <v>364500</v>
      </c>
      <c r="H406" s="26">
        <v>2</v>
      </c>
      <c r="I406" s="78" t="s">
        <v>2552</v>
      </c>
      <c r="J406" s="530">
        <v>1084500</v>
      </c>
    </row>
    <row r="407" spans="1:10" ht="33.75">
      <c r="A407" s="22" t="s">
        <v>2525</v>
      </c>
      <c r="B407" s="26" t="s">
        <v>2686</v>
      </c>
      <c r="C407" s="76">
        <v>11218600</v>
      </c>
      <c r="D407" s="77">
        <v>0.08</v>
      </c>
      <c r="E407" s="26"/>
      <c r="F407" s="78" t="s">
        <v>2551</v>
      </c>
      <c r="G407" s="381">
        <v>324000</v>
      </c>
      <c r="H407" s="26">
        <v>2</v>
      </c>
      <c r="I407" s="78" t="s">
        <v>2552</v>
      </c>
      <c r="J407" s="530">
        <v>964000</v>
      </c>
    </row>
    <row r="408" spans="1:10" ht="33.75">
      <c r="A408" s="22" t="s">
        <v>2525</v>
      </c>
      <c r="B408" s="26" t="s">
        <v>2687</v>
      </c>
      <c r="C408" s="76">
        <v>11218700</v>
      </c>
      <c r="D408" s="77">
        <v>0.23</v>
      </c>
      <c r="E408" s="26"/>
      <c r="F408" s="78" t="s">
        <v>2551</v>
      </c>
      <c r="G408" s="381">
        <v>931500</v>
      </c>
      <c r="H408" s="26">
        <v>2</v>
      </c>
      <c r="I408" s="78" t="s">
        <v>2552</v>
      </c>
      <c r="J408" s="530">
        <v>2771500</v>
      </c>
    </row>
    <row r="409" spans="1:10" ht="33.75">
      <c r="A409" s="22" t="s">
        <v>2525</v>
      </c>
      <c r="B409" s="26" t="s">
        <v>2688</v>
      </c>
      <c r="C409" s="76">
        <v>11218800</v>
      </c>
      <c r="D409" s="77">
        <v>0.42</v>
      </c>
      <c r="E409" s="26"/>
      <c r="F409" s="78" t="s">
        <v>2551</v>
      </c>
      <c r="G409" s="381">
        <v>1701000</v>
      </c>
      <c r="H409" s="26">
        <v>1</v>
      </c>
      <c r="I409" s="78" t="s">
        <v>2552</v>
      </c>
      <c r="J409" s="530">
        <v>5061000</v>
      </c>
    </row>
    <row r="410" spans="1:10" ht="33.75">
      <c r="A410" s="22" t="s">
        <v>2525</v>
      </c>
      <c r="B410" s="26" t="s">
        <v>2689</v>
      </c>
      <c r="C410" s="76">
        <v>11218900</v>
      </c>
      <c r="D410" s="77">
        <v>0.33</v>
      </c>
      <c r="E410" s="26"/>
      <c r="F410" s="78" t="s">
        <v>2551</v>
      </c>
      <c r="G410" s="381">
        <v>1336500</v>
      </c>
      <c r="H410" s="26">
        <v>2</v>
      </c>
      <c r="I410" s="78" t="s">
        <v>2552</v>
      </c>
      <c r="J410" s="530">
        <v>3976500</v>
      </c>
    </row>
    <row r="411" spans="1:10" ht="33.75">
      <c r="A411" s="22" t="s">
        <v>2505</v>
      </c>
      <c r="B411" s="26" t="s">
        <v>2690</v>
      </c>
      <c r="C411" s="76">
        <v>11219000</v>
      </c>
      <c r="D411" s="77">
        <v>0.12</v>
      </c>
      <c r="E411" s="26"/>
      <c r="F411" s="78" t="s">
        <v>2551</v>
      </c>
      <c r="G411" s="381">
        <v>486000</v>
      </c>
      <c r="H411" s="26">
        <v>2</v>
      </c>
      <c r="I411" s="78" t="s">
        <v>2552</v>
      </c>
      <c r="J411" s="530">
        <v>1446000</v>
      </c>
    </row>
    <row r="412" spans="1:10" ht="33.75">
      <c r="A412" s="22" t="s">
        <v>2525</v>
      </c>
      <c r="B412" s="26" t="s">
        <v>2691</v>
      </c>
      <c r="C412" s="76">
        <v>11219100</v>
      </c>
      <c r="D412" s="77">
        <v>0.37</v>
      </c>
      <c r="E412" s="26"/>
      <c r="F412" s="78" t="s">
        <v>2551</v>
      </c>
      <c r="G412" s="381">
        <v>1498500</v>
      </c>
      <c r="H412" s="26">
        <v>2</v>
      </c>
      <c r="I412" s="78" t="s">
        <v>2552</v>
      </c>
      <c r="J412" s="530">
        <v>4458500</v>
      </c>
    </row>
    <row r="413" spans="1:10" ht="33.75">
      <c r="A413" s="22" t="s">
        <v>2525</v>
      </c>
      <c r="B413" s="26" t="s">
        <v>2692</v>
      </c>
      <c r="C413" s="76">
        <v>11219200</v>
      </c>
      <c r="D413" s="77">
        <v>1.83</v>
      </c>
      <c r="E413" s="26"/>
      <c r="F413" s="78" t="s">
        <v>2551</v>
      </c>
      <c r="G413" s="381">
        <v>7411500</v>
      </c>
      <c r="H413" s="26">
        <v>1</v>
      </c>
      <c r="I413" s="78" t="s">
        <v>2552</v>
      </c>
      <c r="J413" s="530">
        <v>22051500</v>
      </c>
    </row>
    <row r="414" spans="1:10" ht="33.75">
      <c r="A414" s="22" t="s">
        <v>2525</v>
      </c>
      <c r="B414" s="26" t="s">
        <v>2693</v>
      </c>
      <c r="C414" s="76">
        <v>11219300</v>
      </c>
      <c r="D414" s="77">
        <v>0.21</v>
      </c>
      <c r="E414" s="26"/>
      <c r="F414" s="78" t="s">
        <v>2551</v>
      </c>
      <c r="G414" s="381">
        <v>850500</v>
      </c>
      <c r="H414" s="26">
        <v>2</v>
      </c>
      <c r="I414" s="78" t="s">
        <v>2552</v>
      </c>
      <c r="J414" s="530">
        <v>2530500</v>
      </c>
    </row>
    <row r="415" spans="1:10" ht="33.75">
      <c r="A415" s="22" t="s">
        <v>2525</v>
      </c>
      <c r="B415" s="26" t="s">
        <v>2694</v>
      </c>
      <c r="C415" s="76">
        <v>11219400</v>
      </c>
      <c r="D415" s="77">
        <v>0.93</v>
      </c>
      <c r="E415" s="26"/>
      <c r="F415" s="78" t="s">
        <v>2551</v>
      </c>
      <c r="G415" s="381">
        <v>3766500</v>
      </c>
      <c r="H415" s="26">
        <v>2</v>
      </c>
      <c r="I415" s="78" t="s">
        <v>2552</v>
      </c>
      <c r="J415" s="530">
        <v>11206500</v>
      </c>
    </row>
    <row r="416" spans="1:10" ht="33.75">
      <c r="A416" s="22" t="s">
        <v>2505</v>
      </c>
      <c r="B416" s="26" t="s">
        <v>2695</v>
      </c>
      <c r="C416" s="76">
        <v>11219500</v>
      </c>
      <c r="D416" s="77">
        <v>0.25</v>
      </c>
      <c r="E416" s="26"/>
      <c r="F416" s="78" t="s">
        <v>2551</v>
      </c>
      <c r="G416" s="381">
        <v>1012500</v>
      </c>
      <c r="H416" s="26">
        <v>2</v>
      </c>
      <c r="I416" s="78" t="s">
        <v>2552</v>
      </c>
      <c r="J416" s="530">
        <v>3012500</v>
      </c>
    </row>
    <row r="417" spans="1:10" ht="33.75">
      <c r="A417" s="22" t="s">
        <v>2505</v>
      </c>
      <c r="B417" s="26" t="s">
        <v>2696</v>
      </c>
      <c r="C417" s="76">
        <v>11219600</v>
      </c>
      <c r="D417" s="77">
        <v>0.65</v>
      </c>
      <c r="E417" s="26"/>
      <c r="F417" s="78" t="s">
        <v>2551</v>
      </c>
      <c r="G417" s="381">
        <v>2632500</v>
      </c>
      <c r="H417" s="26">
        <v>2</v>
      </c>
      <c r="I417" s="78" t="s">
        <v>2552</v>
      </c>
      <c r="J417" s="530">
        <v>7832500</v>
      </c>
    </row>
    <row r="418" spans="1:10" ht="33.75">
      <c r="A418" s="22" t="s">
        <v>2505</v>
      </c>
      <c r="B418" s="26" t="s">
        <v>2697</v>
      </c>
      <c r="C418" s="76">
        <v>11219700</v>
      </c>
      <c r="D418" s="77">
        <v>0.92</v>
      </c>
      <c r="E418" s="26"/>
      <c r="F418" s="78" t="s">
        <v>2551</v>
      </c>
      <c r="G418" s="381">
        <v>3726000</v>
      </c>
      <c r="H418" s="26">
        <v>2</v>
      </c>
      <c r="I418" s="78" t="s">
        <v>2552</v>
      </c>
      <c r="J418" s="530">
        <v>11086000</v>
      </c>
    </row>
    <row r="419" spans="1:10" ht="33.75">
      <c r="A419" s="22" t="s">
        <v>2505</v>
      </c>
      <c r="B419" s="26" t="s">
        <v>2698</v>
      </c>
      <c r="C419" s="76">
        <v>11220000</v>
      </c>
      <c r="D419" s="77">
        <v>0.32</v>
      </c>
      <c r="E419" s="26"/>
      <c r="F419" s="78" t="s">
        <v>2551</v>
      </c>
      <c r="G419" s="381">
        <v>1296000</v>
      </c>
      <c r="H419" s="26">
        <v>2</v>
      </c>
      <c r="I419" s="78" t="s">
        <v>2552</v>
      </c>
      <c r="J419" s="530">
        <v>3856000</v>
      </c>
    </row>
    <row r="420" spans="1:10" ht="33.75">
      <c r="A420" s="22" t="s">
        <v>2505</v>
      </c>
      <c r="B420" s="26" t="s">
        <v>2699</v>
      </c>
      <c r="C420" s="76">
        <v>11220100</v>
      </c>
      <c r="D420" s="77">
        <v>0.11</v>
      </c>
      <c r="E420" s="26"/>
      <c r="F420" s="78" t="s">
        <v>2551</v>
      </c>
      <c r="G420" s="381">
        <v>445500</v>
      </c>
      <c r="H420" s="26">
        <v>2</v>
      </c>
      <c r="I420" s="78" t="s">
        <v>2552</v>
      </c>
      <c r="J420" s="530">
        <v>1325500</v>
      </c>
    </row>
    <row r="421" spans="1:10" ht="33.75">
      <c r="A421" s="22" t="s">
        <v>2525</v>
      </c>
      <c r="B421" s="26" t="s">
        <v>2700</v>
      </c>
      <c r="C421" s="76">
        <v>11220300</v>
      </c>
      <c r="D421" s="77">
        <v>2.2000000000000002</v>
      </c>
      <c r="E421" s="26"/>
      <c r="F421" s="78" t="s">
        <v>2551</v>
      </c>
      <c r="G421" s="381">
        <v>8910000</v>
      </c>
      <c r="H421" s="26">
        <v>1</v>
      </c>
      <c r="I421" s="78" t="s">
        <v>2552</v>
      </c>
      <c r="J421" s="530">
        <v>26510000</v>
      </c>
    </row>
    <row r="422" spans="1:10" ht="33.75">
      <c r="A422" s="22" t="s">
        <v>2525</v>
      </c>
      <c r="B422" s="26" t="s">
        <v>2701</v>
      </c>
      <c r="C422" s="76">
        <v>11220400</v>
      </c>
      <c r="D422" s="77">
        <v>0.21</v>
      </c>
      <c r="E422" s="26"/>
      <c r="F422" s="78" t="s">
        <v>2551</v>
      </c>
      <c r="G422" s="381">
        <v>850500</v>
      </c>
      <c r="H422" s="26">
        <v>1</v>
      </c>
      <c r="I422" s="78" t="s">
        <v>2552</v>
      </c>
      <c r="J422" s="530">
        <v>2530500</v>
      </c>
    </row>
    <row r="423" spans="1:10" ht="33.75">
      <c r="A423" s="22" t="s">
        <v>2525</v>
      </c>
      <c r="B423" s="26" t="s">
        <v>2702</v>
      </c>
      <c r="C423" s="76">
        <v>11220500</v>
      </c>
      <c r="D423" s="77">
        <v>0.22</v>
      </c>
      <c r="E423" s="26"/>
      <c r="F423" s="78" t="s">
        <v>2551</v>
      </c>
      <c r="G423" s="381">
        <v>891000</v>
      </c>
      <c r="H423" s="26">
        <v>1</v>
      </c>
      <c r="I423" s="78" t="s">
        <v>2552</v>
      </c>
      <c r="J423" s="530">
        <v>2651000</v>
      </c>
    </row>
    <row r="424" spans="1:10" ht="33.75">
      <c r="A424" s="22" t="s">
        <v>2525</v>
      </c>
      <c r="B424" s="26" t="s">
        <v>2703</v>
      </c>
      <c r="C424" s="76">
        <v>11220600</v>
      </c>
      <c r="D424" s="77">
        <v>0.96</v>
      </c>
      <c r="E424" s="26"/>
      <c r="F424" s="78" t="s">
        <v>2551</v>
      </c>
      <c r="G424" s="381">
        <v>3888000</v>
      </c>
      <c r="H424" s="26">
        <v>1</v>
      </c>
      <c r="I424" s="78" t="s">
        <v>2552</v>
      </c>
      <c r="J424" s="530">
        <v>11568000</v>
      </c>
    </row>
    <row r="425" spans="1:10" ht="33.75">
      <c r="A425" s="22" t="s">
        <v>2525</v>
      </c>
      <c r="B425" s="26" t="s">
        <v>2704</v>
      </c>
      <c r="C425" s="76">
        <v>11220700</v>
      </c>
      <c r="D425" s="77">
        <v>0.75</v>
      </c>
      <c r="E425" s="26"/>
      <c r="F425" s="78" t="s">
        <v>2551</v>
      </c>
      <c r="G425" s="381">
        <v>3037500</v>
      </c>
      <c r="H425" s="26">
        <v>1</v>
      </c>
      <c r="I425" s="78" t="s">
        <v>2552</v>
      </c>
      <c r="J425" s="530">
        <v>9037500</v>
      </c>
    </row>
    <row r="426" spans="1:10" ht="33.75">
      <c r="A426" s="22" t="s">
        <v>2525</v>
      </c>
      <c r="B426" s="26" t="s">
        <v>2705</v>
      </c>
      <c r="C426" s="76">
        <v>11220800</v>
      </c>
      <c r="D426" s="77">
        <v>0.25</v>
      </c>
      <c r="E426" s="26"/>
      <c r="F426" s="78" t="s">
        <v>2551</v>
      </c>
      <c r="G426" s="381">
        <v>1012500</v>
      </c>
      <c r="H426" s="26">
        <v>1</v>
      </c>
      <c r="I426" s="78" t="s">
        <v>2552</v>
      </c>
      <c r="J426" s="530">
        <v>3012500</v>
      </c>
    </row>
    <row r="427" spans="1:10" ht="33.75">
      <c r="A427" s="22" t="s">
        <v>2525</v>
      </c>
      <c r="B427" s="26" t="s">
        <v>2706</v>
      </c>
      <c r="C427" s="76">
        <v>11220900</v>
      </c>
      <c r="D427" s="77">
        <v>0.2</v>
      </c>
      <c r="E427" s="26"/>
      <c r="F427" s="78" t="s">
        <v>2551</v>
      </c>
      <c r="G427" s="381">
        <v>810000</v>
      </c>
      <c r="H427" s="26">
        <v>1</v>
      </c>
      <c r="I427" s="78" t="s">
        <v>2552</v>
      </c>
      <c r="J427" s="530">
        <v>2410000</v>
      </c>
    </row>
    <row r="428" spans="1:10" ht="33.75">
      <c r="A428" s="22" t="s">
        <v>2525</v>
      </c>
      <c r="B428" s="26" t="s">
        <v>2707</v>
      </c>
      <c r="C428" s="76">
        <v>11221000</v>
      </c>
      <c r="D428" s="77">
        <v>0.23</v>
      </c>
      <c r="E428" s="26"/>
      <c r="F428" s="78" t="s">
        <v>2551</v>
      </c>
      <c r="G428" s="381">
        <v>931500</v>
      </c>
      <c r="H428" s="26">
        <v>1</v>
      </c>
      <c r="I428" s="78" t="s">
        <v>2552</v>
      </c>
      <c r="J428" s="530">
        <v>2771500</v>
      </c>
    </row>
    <row r="429" spans="1:10" ht="33.75">
      <c r="A429" s="22" t="s">
        <v>2525</v>
      </c>
      <c r="B429" s="26" t="s">
        <v>2708</v>
      </c>
      <c r="C429" s="76">
        <v>11221100</v>
      </c>
      <c r="D429" s="77">
        <v>0.31</v>
      </c>
      <c r="E429" s="26"/>
      <c r="F429" s="78" t="s">
        <v>2551</v>
      </c>
      <c r="G429" s="381">
        <v>1255500</v>
      </c>
      <c r="H429" s="26">
        <v>1</v>
      </c>
      <c r="I429" s="78" t="s">
        <v>2552</v>
      </c>
      <c r="J429" s="530">
        <v>3735500</v>
      </c>
    </row>
    <row r="430" spans="1:10" ht="33.75">
      <c r="A430" s="22" t="s">
        <v>2505</v>
      </c>
      <c r="B430" s="26" t="s">
        <v>2709</v>
      </c>
      <c r="C430" s="76">
        <v>11221300</v>
      </c>
      <c r="D430" s="77">
        <v>0.14000000000000001</v>
      </c>
      <c r="E430" s="26"/>
      <c r="F430" s="78" t="s">
        <v>2551</v>
      </c>
      <c r="G430" s="381">
        <v>567000</v>
      </c>
      <c r="H430" s="26">
        <v>1</v>
      </c>
      <c r="I430" s="78" t="s">
        <v>2552</v>
      </c>
      <c r="J430" s="530">
        <v>1687000</v>
      </c>
    </row>
    <row r="431" spans="1:10" ht="33.75">
      <c r="A431" s="22" t="s">
        <v>2505</v>
      </c>
      <c r="B431" s="26" t="s">
        <v>2710</v>
      </c>
      <c r="C431" s="76">
        <v>11221400</v>
      </c>
      <c r="D431" s="77">
        <v>0.2</v>
      </c>
      <c r="E431" s="26"/>
      <c r="F431" s="78" t="s">
        <v>2551</v>
      </c>
      <c r="G431" s="381">
        <v>810000</v>
      </c>
      <c r="H431" s="26">
        <v>2</v>
      </c>
      <c r="I431" s="78" t="s">
        <v>2552</v>
      </c>
      <c r="J431" s="530">
        <v>2410000</v>
      </c>
    </row>
    <row r="432" spans="1:10" ht="33.75">
      <c r="A432" s="22" t="s">
        <v>2505</v>
      </c>
      <c r="B432" s="26" t="s">
        <v>2711</v>
      </c>
      <c r="C432" s="76">
        <v>11221600</v>
      </c>
      <c r="D432" s="77">
        <v>0.08</v>
      </c>
      <c r="E432" s="26"/>
      <c r="F432" s="78" t="s">
        <v>2551</v>
      </c>
      <c r="G432" s="381">
        <v>324000</v>
      </c>
      <c r="H432" s="26">
        <v>2</v>
      </c>
      <c r="I432" s="78" t="s">
        <v>2552</v>
      </c>
      <c r="J432" s="530">
        <v>964000</v>
      </c>
    </row>
    <row r="433" spans="1:10" ht="33.75">
      <c r="A433" s="22" t="s">
        <v>2505</v>
      </c>
      <c r="B433" s="26" t="s">
        <v>2712</v>
      </c>
      <c r="C433" s="76">
        <v>11221700</v>
      </c>
      <c r="D433" s="77">
        <v>0.94</v>
      </c>
      <c r="E433" s="26"/>
      <c r="F433" s="78" t="s">
        <v>2551</v>
      </c>
      <c r="G433" s="381">
        <v>3807000</v>
      </c>
      <c r="H433" s="26">
        <v>1</v>
      </c>
      <c r="I433" s="78" t="s">
        <v>2552</v>
      </c>
      <c r="J433" s="530">
        <v>11327000</v>
      </c>
    </row>
    <row r="434" spans="1:10" ht="33.75">
      <c r="A434" s="22" t="s">
        <v>2505</v>
      </c>
      <c r="B434" s="26" t="s">
        <v>2713</v>
      </c>
      <c r="C434" s="76">
        <v>11221800</v>
      </c>
      <c r="D434" s="77">
        <v>0.28000000000000003</v>
      </c>
      <c r="E434" s="26"/>
      <c r="F434" s="78" t="s">
        <v>2551</v>
      </c>
      <c r="G434" s="381">
        <v>1134000</v>
      </c>
      <c r="H434" s="26">
        <v>2</v>
      </c>
      <c r="I434" s="78" t="s">
        <v>2552</v>
      </c>
      <c r="J434" s="530">
        <v>3374000</v>
      </c>
    </row>
    <row r="435" spans="1:10" ht="33.75">
      <c r="A435" s="22" t="s">
        <v>2505</v>
      </c>
      <c r="B435" s="26" t="s">
        <v>2714</v>
      </c>
      <c r="C435" s="76">
        <v>11221900</v>
      </c>
      <c r="D435" s="77">
        <v>0.21</v>
      </c>
      <c r="E435" s="26"/>
      <c r="F435" s="78" t="s">
        <v>2551</v>
      </c>
      <c r="G435" s="381">
        <v>850500</v>
      </c>
      <c r="H435" s="26">
        <v>2</v>
      </c>
      <c r="I435" s="78" t="s">
        <v>2552</v>
      </c>
      <c r="J435" s="530">
        <v>2530500</v>
      </c>
    </row>
    <row r="436" spans="1:10" ht="33.75">
      <c r="A436" s="22" t="s">
        <v>2505</v>
      </c>
      <c r="B436" s="26" t="s">
        <v>2715</v>
      </c>
      <c r="C436" s="76">
        <v>11222000</v>
      </c>
      <c r="D436" s="77">
        <v>0.93</v>
      </c>
      <c r="E436" s="26"/>
      <c r="F436" s="78" t="s">
        <v>2551</v>
      </c>
      <c r="G436" s="381">
        <v>3766500</v>
      </c>
      <c r="H436" s="26">
        <v>2</v>
      </c>
      <c r="I436" s="78" t="s">
        <v>2552</v>
      </c>
      <c r="J436" s="530">
        <v>11206500</v>
      </c>
    </row>
    <row r="437" spans="1:10" ht="33.75">
      <c r="A437" s="22" t="s">
        <v>2505</v>
      </c>
      <c r="B437" s="26" t="s">
        <v>2716</v>
      </c>
      <c r="C437" s="76">
        <v>11222200</v>
      </c>
      <c r="D437" s="77">
        <v>0.81</v>
      </c>
      <c r="E437" s="26"/>
      <c r="F437" s="78" t="s">
        <v>2551</v>
      </c>
      <c r="G437" s="381">
        <v>3280500</v>
      </c>
      <c r="H437" s="26">
        <v>2</v>
      </c>
      <c r="I437" s="78" t="s">
        <v>2552</v>
      </c>
      <c r="J437" s="530">
        <v>9760500</v>
      </c>
    </row>
    <row r="438" spans="1:10" ht="33.75">
      <c r="A438" s="22" t="s">
        <v>2505</v>
      </c>
      <c r="B438" s="26" t="s">
        <v>2717</v>
      </c>
      <c r="C438" s="76">
        <v>11222300</v>
      </c>
      <c r="D438" s="77">
        <v>0.12</v>
      </c>
      <c r="E438" s="26"/>
      <c r="F438" s="78" t="s">
        <v>2551</v>
      </c>
      <c r="G438" s="381">
        <v>486000</v>
      </c>
      <c r="H438" s="26">
        <v>2</v>
      </c>
      <c r="I438" s="78" t="s">
        <v>2552</v>
      </c>
      <c r="J438" s="530">
        <v>1446000</v>
      </c>
    </row>
    <row r="439" spans="1:10" ht="33.75">
      <c r="A439" s="22" t="s">
        <v>2509</v>
      </c>
      <c r="B439" s="26" t="s">
        <v>2718</v>
      </c>
      <c r="C439" s="76">
        <v>11222400</v>
      </c>
      <c r="D439" s="77">
        <v>0.7</v>
      </c>
      <c r="E439" s="26"/>
      <c r="F439" s="78" t="s">
        <v>2551</v>
      </c>
      <c r="G439" s="381">
        <v>2835000</v>
      </c>
      <c r="H439" s="26">
        <v>2</v>
      </c>
      <c r="I439" s="78" t="s">
        <v>2552</v>
      </c>
      <c r="J439" s="530">
        <v>8435000</v>
      </c>
    </row>
    <row r="440" spans="1:10" ht="33.75">
      <c r="A440" s="22" t="s">
        <v>2509</v>
      </c>
      <c r="B440" s="26" t="s">
        <v>2719</v>
      </c>
      <c r="C440" s="76">
        <v>11222500</v>
      </c>
      <c r="D440" s="77">
        <v>0.32</v>
      </c>
      <c r="E440" s="26"/>
      <c r="F440" s="78" t="s">
        <v>2551</v>
      </c>
      <c r="G440" s="381">
        <v>1296000</v>
      </c>
      <c r="H440" s="26">
        <v>2</v>
      </c>
      <c r="I440" s="78" t="s">
        <v>2552</v>
      </c>
      <c r="J440" s="530">
        <v>3856000</v>
      </c>
    </row>
    <row r="441" spans="1:10" ht="33.75">
      <c r="A441" s="22" t="s">
        <v>2509</v>
      </c>
      <c r="B441" s="26" t="s">
        <v>2720</v>
      </c>
      <c r="C441" s="76">
        <v>11222600</v>
      </c>
      <c r="D441" s="77">
        <v>0.83</v>
      </c>
      <c r="E441" s="26"/>
      <c r="F441" s="78" t="s">
        <v>2551</v>
      </c>
      <c r="G441" s="381">
        <v>3361500</v>
      </c>
      <c r="H441" s="26">
        <v>2</v>
      </c>
      <c r="I441" s="78" t="s">
        <v>2552</v>
      </c>
      <c r="J441" s="530">
        <v>10001500</v>
      </c>
    </row>
    <row r="442" spans="1:10" ht="33.75">
      <c r="A442" s="22" t="s">
        <v>2509</v>
      </c>
      <c r="B442" s="26" t="s">
        <v>2721</v>
      </c>
      <c r="C442" s="76">
        <v>11222700</v>
      </c>
      <c r="D442" s="77">
        <v>0.2</v>
      </c>
      <c r="E442" s="26"/>
      <c r="F442" s="78" t="s">
        <v>2551</v>
      </c>
      <c r="G442" s="381">
        <v>810000</v>
      </c>
      <c r="H442" s="26">
        <v>2</v>
      </c>
      <c r="I442" s="78" t="s">
        <v>2552</v>
      </c>
      <c r="J442" s="530">
        <v>2410000</v>
      </c>
    </row>
    <row r="443" spans="1:10" ht="33.75">
      <c r="A443" s="22" t="s">
        <v>2525</v>
      </c>
      <c r="B443" s="26" t="s">
        <v>2722</v>
      </c>
      <c r="C443" s="76">
        <v>11222800</v>
      </c>
      <c r="D443" s="77">
        <v>0.35</v>
      </c>
      <c r="E443" s="26"/>
      <c r="F443" s="78" t="s">
        <v>2551</v>
      </c>
      <c r="G443" s="381">
        <v>1417500</v>
      </c>
      <c r="H443" s="26">
        <v>2</v>
      </c>
      <c r="I443" s="78" t="s">
        <v>2552</v>
      </c>
      <c r="J443" s="530">
        <v>4217500</v>
      </c>
    </row>
    <row r="444" spans="1:10" ht="33.75">
      <c r="A444" s="22" t="s">
        <v>2505</v>
      </c>
      <c r="B444" s="26" t="s">
        <v>2723</v>
      </c>
      <c r="C444" s="76">
        <v>11222900</v>
      </c>
      <c r="D444" s="77">
        <v>0.38</v>
      </c>
      <c r="E444" s="26"/>
      <c r="F444" s="78" t="s">
        <v>2551</v>
      </c>
      <c r="G444" s="381">
        <v>1539000</v>
      </c>
      <c r="H444" s="26">
        <v>2</v>
      </c>
      <c r="I444" s="78" t="s">
        <v>2552</v>
      </c>
      <c r="J444" s="530">
        <v>4579000</v>
      </c>
    </row>
    <row r="445" spans="1:10" ht="33.75">
      <c r="A445" s="22" t="s">
        <v>2505</v>
      </c>
      <c r="B445" s="26" t="s">
        <v>2724</v>
      </c>
      <c r="C445" s="76">
        <v>11223100</v>
      </c>
      <c r="D445" s="77">
        <v>0.1</v>
      </c>
      <c r="E445" s="26"/>
      <c r="F445" s="78" t="s">
        <v>2551</v>
      </c>
      <c r="G445" s="381">
        <v>405000</v>
      </c>
      <c r="H445" s="26">
        <v>2</v>
      </c>
      <c r="I445" s="78" t="s">
        <v>2552</v>
      </c>
      <c r="J445" s="530">
        <v>1205000</v>
      </c>
    </row>
    <row r="446" spans="1:10" ht="33.75">
      <c r="A446" s="22" t="s">
        <v>2598</v>
      </c>
      <c r="B446" s="26" t="s">
        <v>2725</v>
      </c>
      <c r="C446" s="76">
        <v>11223200</v>
      </c>
      <c r="D446" s="77">
        <v>1.95</v>
      </c>
      <c r="E446" s="26"/>
      <c r="F446" s="78" t="s">
        <v>2551</v>
      </c>
      <c r="G446" s="381">
        <v>7897500</v>
      </c>
      <c r="H446" s="26">
        <v>2</v>
      </c>
      <c r="I446" s="78" t="s">
        <v>2552</v>
      </c>
      <c r="J446" s="530">
        <v>23497500</v>
      </c>
    </row>
    <row r="447" spans="1:10" ht="33.75">
      <c r="A447" s="22" t="s">
        <v>2525</v>
      </c>
      <c r="B447" s="26" t="s">
        <v>2726</v>
      </c>
      <c r="C447" s="76">
        <v>11223300</v>
      </c>
      <c r="D447" s="77">
        <v>0.24</v>
      </c>
      <c r="E447" s="26"/>
      <c r="F447" s="78" t="s">
        <v>2551</v>
      </c>
      <c r="G447" s="381">
        <v>972000</v>
      </c>
      <c r="H447" s="26">
        <v>2</v>
      </c>
      <c r="I447" s="78" t="s">
        <v>2552</v>
      </c>
      <c r="J447" s="530">
        <v>2892000</v>
      </c>
    </row>
    <row r="448" spans="1:10" ht="33.75">
      <c r="A448" s="22" t="s">
        <v>2598</v>
      </c>
      <c r="B448" s="26" t="s">
        <v>2727</v>
      </c>
      <c r="C448" s="76">
        <v>11223400</v>
      </c>
      <c r="D448" s="77">
        <v>0.19</v>
      </c>
      <c r="E448" s="26"/>
      <c r="F448" s="78" t="s">
        <v>2551</v>
      </c>
      <c r="G448" s="381">
        <v>769500</v>
      </c>
      <c r="H448" s="26">
        <v>2</v>
      </c>
      <c r="I448" s="78" t="s">
        <v>2552</v>
      </c>
      <c r="J448" s="530">
        <v>2289500</v>
      </c>
    </row>
    <row r="449" spans="1:10" ht="33.75">
      <c r="A449" s="22" t="s">
        <v>2525</v>
      </c>
      <c r="B449" s="26" t="s">
        <v>2728</v>
      </c>
      <c r="C449" s="76">
        <v>11223500</v>
      </c>
      <c r="D449" s="77">
        <v>0.3</v>
      </c>
      <c r="E449" s="26"/>
      <c r="F449" s="78" t="s">
        <v>2551</v>
      </c>
      <c r="G449" s="381">
        <v>1215000</v>
      </c>
      <c r="H449" s="26">
        <v>2</v>
      </c>
      <c r="I449" s="78" t="s">
        <v>2552</v>
      </c>
      <c r="J449" s="530">
        <v>3615000</v>
      </c>
    </row>
    <row r="450" spans="1:10" ht="33.75">
      <c r="A450" s="22" t="s">
        <v>2525</v>
      </c>
      <c r="B450" s="26" t="s">
        <v>2729</v>
      </c>
      <c r="C450" s="76">
        <v>11223600</v>
      </c>
      <c r="D450" s="77">
        <v>0.55000000000000004</v>
      </c>
      <c r="E450" s="26"/>
      <c r="F450" s="78" t="s">
        <v>2551</v>
      </c>
      <c r="G450" s="381">
        <v>2227500</v>
      </c>
      <c r="H450" s="26">
        <v>1</v>
      </c>
      <c r="I450" s="78" t="s">
        <v>2552</v>
      </c>
      <c r="J450" s="530">
        <v>6627500</v>
      </c>
    </row>
    <row r="451" spans="1:10" ht="33.75">
      <c r="A451" s="22" t="s">
        <v>2505</v>
      </c>
      <c r="B451" s="26" t="s">
        <v>2730</v>
      </c>
      <c r="C451" s="76">
        <v>11223700</v>
      </c>
      <c r="D451" s="77">
        <v>0.4</v>
      </c>
      <c r="E451" s="26"/>
      <c r="F451" s="78" t="s">
        <v>2551</v>
      </c>
      <c r="G451" s="381">
        <v>1620000</v>
      </c>
      <c r="H451" s="26">
        <v>2</v>
      </c>
      <c r="I451" s="78" t="s">
        <v>2552</v>
      </c>
      <c r="J451" s="530">
        <v>4820000</v>
      </c>
    </row>
    <row r="452" spans="1:10" ht="33.75">
      <c r="A452" s="22" t="s">
        <v>2505</v>
      </c>
      <c r="B452" s="26" t="s">
        <v>2731</v>
      </c>
      <c r="C452" s="76">
        <v>11223800</v>
      </c>
      <c r="D452" s="77">
        <v>0.2</v>
      </c>
      <c r="E452" s="26"/>
      <c r="F452" s="78" t="s">
        <v>2551</v>
      </c>
      <c r="G452" s="381">
        <v>810000</v>
      </c>
      <c r="H452" s="26">
        <v>2</v>
      </c>
      <c r="I452" s="78" t="s">
        <v>2552</v>
      </c>
      <c r="J452" s="530">
        <v>2410000</v>
      </c>
    </row>
    <row r="453" spans="1:10" ht="33.75">
      <c r="A453" s="22" t="s">
        <v>2598</v>
      </c>
      <c r="B453" s="26" t="s">
        <v>2732</v>
      </c>
      <c r="C453" s="76">
        <v>11223900</v>
      </c>
      <c r="D453" s="77">
        <v>0.34100000000000003</v>
      </c>
      <c r="E453" s="26"/>
      <c r="F453" s="78" t="s">
        <v>2551</v>
      </c>
      <c r="G453" s="381">
        <v>1381050</v>
      </c>
      <c r="H453" s="26">
        <v>1</v>
      </c>
      <c r="I453" s="78" t="s">
        <v>2552</v>
      </c>
      <c r="J453" s="530">
        <v>4109050</v>
      </c>
    </row>
    <row r="454" spans="1:10" ht="33.75">
      <c r="A454" s="22" t="s">
        <v>2505</v>
      </c>
      <c r="B454" s="26" t="s">
        <v>2733</v>
      </c>
      <c r="C454" s="76">
        <v>11224000</v>
      </c>
      <c r="D454" s="77">
        <v>0.31</v>
      </c>
      <c r="E454" s="26"/>
      <c r="F454" s="78" t="s">
        <v>2551</v>
      </c>
      <c r="G454" s="381">
        <v>1255500</v>
      </c>
      <c r="H454" s="26">
        <v>2</v>
      </c>
      <c r="I454" s="78" t="s">
        <v>2552</v>
      </c>
      <c r="J454" s="530">
        <v>3735500</v>
      </c>
    </row>
    <row r="455" spans="1:10" ht="33.75">
      <c r="A455" s="22" t="s">
        <v>2509</v>
      </c>
      <c r="B455" s="26" t="s">
        <v>2734</v>
      </c>
      <c r="C455" s="76">
        <v>11224200</v>
      </c>
      <c r="D455" s="77">
        <v>0.22</v>
      </c>
      <c r="E455" s="26"/>
      <c r="F455" s="78" t="s">
        <v>2551</v>
      </c>
      <c r="G455" s="381">
        <v>891000</v>
      </c>
      <c r="H455" s="26">
        <v>2</v>
      </c>
      <c r="I455" s="78" t="s">
        <v>2552</v>
      </c>
      <c r="J455" s="530">
        <v>2651000</v>
      </c>
    </row>
    <row r="456" spans="1:10" ht="33.75">
      <c r="A456" s="22" t="s">
        <v>2509</v>
      </c>
      <c r="B456" s="26" t="s">
        <v>2735</v>
      </c>
      <c r="C456" s="76">
        <v>11224300</v>
      </c>
      <c r="D456" s="77">
        <v>0.6</v>
      </c>
      <c r="E456" s="26"/>
      <c r="F456" s="78" t="s">
        <v>2551</v>
      </c>
      <c r="G456" s="381">
        <v>2430000</v>
      </c>
      <c r="H456" s="26">
        <v>2</v>
      </c>
      <c r="I456" s="78" t="s">
        <v>2552</v>
      </c>
      <c r="J456" s="530">
        <v>7230000</v>
      </c>
    </row>
    <row r="457" spans="1:10" ht="33.75">
      <c r="A457" s="22" t="s">
        <v>2509</v>
      </c>
      <c r="B457" s="26" t="s">
        <v>2736</v>
      </c>
      <c r="C457" s="76">
        <v>11224400</v>
      </c>
      <c r="D457" s="77">
        <v>0.55000000000000004</v>
      </c>
      <c r="E457" s="26"/>
      <c r="F457" s="78" t="s">
        <v>2551</v>
      </c>
      <c r="G457" s="381">
        <v>2227500</v>
      </c>
      <c r="H457" s="26">
        <v>2</v>
      </c>
      <c r="I457" s="78" t="s">
        <v>2552</v>
      </c>
      <c r="J457" s="530">
        <v>6627500</v>
      </c>
    </row>
    <row r="458" spans="1:10" ht="33.75">
      <c r="A458" s="22" t="s">
        <v>2509</v>
      </c>
      <c r="B458" s="26" t="s">
        <v>2737</v>
      </c>
      <c r="C458" s="76">
        <v>11224500</v>
      </c>
      <c r="D458" s="77">
        <v>0.89</v>
      </c>
      <c r="E458" s="26"/>
      <c r="F458" s="78" t="s">
        <v>2551</v>
      </c>
      <c r="G458" s="381">
        <v>3604500</v>
      </c>
      <c r="H458" s="26">
        <v>2</v>
      </c>
      <c r="I458" s="78" t="s">
        <v>2552</v>
      </c>
      <c r="J458" s="530">
        <v>10724500</v>
      </c>
    </row>
    <row r="459" spans="1:10" ht="33.75">
      <c r="A459" s="22" t="s">
        <v>2509</v>
      </c>
      <c r="B459" s="26" t="s">
        <v>2738</v>
      </c>
      <c r="C459" s="76">
        <v>11224600</v>
      </c>
      <c r="D459" s="77">
        <v>1.05</v>
      </c>
      <c r="E459" s="26"/>
      <c r="F459" s="78" t="s">
        <v>2551</v>
      </c>
      <c r="G459" s="381">
        <v>4252500</v>
      </c>
      <c r="H459" s="26">
        <v>2</v>
      </c>
      <c r="I459" s="78" t="s">
        <v>2552</v>
      </c>
      <c r="J459" s="530">
        <v>12652500</v>
      </c>
    </row>
    <row r="460" spans="1:10" ht="33.75">
      <c r="A460" s="22" t="s">
        <v>2509</v>
      </c>
      <c r="B460" s="26" t="s">
        <v>2739</v>
      </c>
      <c r="C460" s="76">
        <v>11224700</v>
      </c>
      <c r="D460" s="77">
        <v>0.15</v>
      </c>
      <c r="E460" s="26"/>
      <c r="F460" s="78" t="s">
        <v>2551</v>
      </c>
      <c r="G460" s="381">
        <v>607500</v>
      </c>
      <c r="H460" s="26">
        <v>2</v>
      </c>
      <c r="I460" s="78" t="s">
        <v>2552</v>
      </c>
      <c r="J460" s="530">
        <v>1807500</v>
      </c>
    </row>
    <row r="461" spans="1:10" ht="33.75">
      <c r="A461" s="22" t="s">
        <v>2509</v>
      </c>
      <c r="B461" s="26" t="s">
        <v>2740</v>
      </c>
      <c r="C461" s="76">
        <v>11224800</v>
      </c>
      <c r="D461" s="77">
        <v>0.18</v>
      </c>
      <c r="E461" s="26"/>
      <c r="F461" s="78" t="s">
        <v>2551</v>
      </c>
      <c r="G461" s="381">
        <v>729000</v>
      </c>
      <c r="H461" s="26">
        <v>2</v>
      </c>
      <c r="I461" s="78" t="s">
        <v>2552</v>
      </c>
      <c r="J461" s="530">
        <v>2169000</v>
      </c>
    </row>
    <row r="462" spans="1:10" ht="33.75">
      <c r="A462" s="22" t="s">
        <v>2509</v>
      </c>
      <c r="B462" s="26" t="s">
        <v>2741</v>
      </c>
      <c r="C462" s="76">
        <v>11224900</v>
      </c>
      <c r="D462" s="77">
        <v>0.6</v>
      </c>
      <c r="E462" s="26"/>
      <c r="F462" s="78" t="s">
        <v>2551</v>
      </c>
      <c r="G462" s="381">
        <v>2430000</v>
      </c>
      <c r="H462" s="26">
        <v>2</v>
      </c>
      <c r="I462" s="78" t="s">
        <v>2552</v>
      </c>
      <c r="J462" s="530">
        <v>7230000</v>
      </c>
    </row>
    <row r="463" spans="1:10" ht="33.75">
      <c r="A463" s="22" t="s">
        <v>2509</v>
      </c>
      <c r="B463" s="26" t="s">
        <v>2742</v>
      </c>
      <c r="C463" s="76">
        <v>11225000</v>
      </c>
      <c r="D463" s="77">
        <v>0.8</v>
      </c>
      <c r="E463" s="26"/>
      <c r="F463" s="78" t="s">
        <v>2551</v>
      </c>
      <c r="G463" s="381">
        <v>3240000</v>
      </c>
      <c r="H463" s="26">
        <v>2</v>
      </c>
      <c r="I463" s="78" t="s">
        <v>2552</v>
      </c>
      <c r="J463" s="530">
        <v>9640000</v>
      </c>
    </row>
    <row r="464" spans="1:10" ht="33.75">
      <c r="A464" s="22" t="s">
        <v>2509</v>
      </c>
      <c r="B464" s="26" t="s">
        <v>2743</v>
      </c>
      <c r="C464" s="76">
        <v>11225100</v>
      </c>
      <c r="D464" s="77">
        <v>0.4</v>
      </c>
      <c r="E464" s="26"/>
      <c r="F464" s="78" t="s">
        <v>2551</v>
      </c>
      <c r="G464" s="381">
        <v>1620000</v>
      </c>
      <c r="H464" s="26">
        <v>2</v>
      </c>
      <c r="I464" s="78" t="s">
        <v>2552</v>
      </c>
      <c r="J464" s="530">
        <v>4820000</v>
      </c>
    </row>
    <row r="465" spans="1:10" ht="33.75">
      <c r="A465" s="22" t="s">
        <v>2505</v>
      </c>
      <c r="B465" s="26" t="s">
        <v>2744</v>
      </c>
      <c r="C465" s="76">
        <v>11225200</v>
      </c>
      <c r="D465" s="77">
        <v>7.0000000000000007E-2</v>
      </c>
      <c r="E465" s="26"/>
      <c r="F465" s="78" t="s">
        <v>2551</v>
      </c>
      <c r="G465" s="381">
        <v>283500</v>
      </c>
      <c r="H465" s="26">
        <v>2</v>
      </c>
      <c r="I465" s="78" t="s">
        <v>2552</v>
      </c>
      <c r="J465" s="530">
        <v>843500</v>
      </c>
    </row>
    <row r="466" spans="1:10" ht="33.75">
      <c r="A466" s="22" t="s">
        <v>2509</v>
      </c>
      <c r="B466" s="26" t="s">
        <v>2745</v>
      </c>
      <c r="C466" s="76">
        <v>11225300</v>
      </c>
      <c r="D466" s="77">
        <v>2.25</v>
      </c>
      <c r="E466" s="26"/>
      <c r="F466" s="78" t="s">
        <v>2551</v>
      </c>
      <c r="G466" s="381">
        <v>9112500</v>
      </c>
      <c r="H466" s="26">
        <v>2</v>
      </c>
      <c r="I466" s="78" t="s">
        <v>2552</v>
      </c>
      <c r="J466" s="530">
        <v>27112500</v>
      </c>
    </row>
    <row r="467" spans="1:10" ht="33.75">
      <c r="A467" s="22" t="s">
        <v>2598</v>
      </c>
      <c r="B467" s="26" t="s">
        <v>2746</v>
      </c>
      <c r="C467" s="76">
        <v>11225400</v>
      </c>
      <c r="D467" s="77">
        <v>0.48</v>
      </c>
      <c r="E467" s="26"/>
      <c r="F467" s="78" t="s">
        <v>2551</v>
      </c>
      <c r="G467" s="381">
        <v>1944000</v>
      </c>
      <c r="H467" s="26">
        <v>2</v>
      </c>
      <c r="I467" s="78" t="s">
        <v>2552</v>
      </c>
      <c r="J467" s="530">
        <v>5784000</v>
      </c>
    </row>
    <row r="468" spans="1:10" ht="33.75">
      <c r="A468" s="22" t="s">
        <v>2598</v>
      </c>
      <c r="B468" s="26" t="s">
        <v>2747</v>
      </c>
      <c r="C468" s="76">
        <v>11225500</v>
      </c>
      <c r="D468" s="77">
        <v>2</v>
      </c>
      <c r="E468" s="26"/>
      <c r="F468" s="78" t="s">
        <v>2551</v>
      </c>
      <c r="G468" s="381">
        <v>8100000</v>
      </c>
      <c r="H468" s="26">
        <v>2</v>
      </c>
      <c r="I468" s="78" t="s">
        <v>2552</v>
      </c>
      <c r="J468" s="530">
        <v>24100000</v>
      </c>
    </row>
    <row r="469" spans="1:10" ht="33.75">
      <c r="A469" s="22" t="s">
        <v>2598</v>
      </c>
      <c r="B469" s="26" t="s">
        <v>2748</v>
      </c>
      <c r="C469" s="76">
        <v>11225600</v>
      </c>
      <c r="D469" s="77">
        <v>0.2</v>
      </c>
      <c r="E469" s="26"/>
      <c r="F469" s="78" t="s">
        <v>2551</v>
      </c>
      <c r="G469" s="381">
        <v>810000</v>
      </c>
      <c r="H469" s="26">
        <v>2</v>
      </c>
      <c r="I469" s="78" t="s">
        <v>2552</v>
      </c>
      <c r="J469" s="530">
        <v>2410000</v>
      </c>
    </row>
    <row r="470" spans="1:10" ht="33.75">
      <c r="A470" s="22" t="s">
        <v>2598</v>
      </c>
      <c r="B470" s="26" t="s">
        <v>2749</v>
      </c>
      <c r="C470" s="76">
        <v>11225700</v>
      </c>
      <c r="D470" s="77">
        <v>0.3</v>
      </c>
      <c r="E470" s="26"/>
      <c r="F470" s="78" t="s">
        <v>2551</v>
      </c>
      <c r="G470" s="381">
        <v>1215000</v>
      </c>
      <c r="H470" s="26">
        <v>2</v>
      </c>
      <c r="I470" s="78" t="s">
        <v>2552</v>
      </c>
      <c r="J470" s="530">
        <v>3615000</v>
      </c>
    </row>
    <row r="471" spans="1:10" ht="33.75">
      <c r="A471" s="22" t="s">
        <v>2598</v>
      </c>
      <c r="B471" s="26" t="s">
        <v>2750</v>
      </c>
      <c r="C471" s="76">
        <v>11225800</v>
      </c>
      <c r="D471" s="77">
        <v>0.23</v>
      </c>
      <c r="E471" s="26"/>
      <c r="F471" s="78" t="s">
        <v>2551</v>
      </c>
      <c r="G471" s="381">
        <v>931500</v>
      </c>
      <c r="H471" s="26">
        <v>2</v>
      </c>
      <c r="I471" s="78" t="s">
        <v>2552</v>
      </c>
      <c r="J471" s="530">
        <v>2771500</v>
      </c>
    </row>
    <row r="472" spans="1:10" ht="33.75">
      <c r="A472" s="22" t="s">
        <v>2598</v>
      </c>
      <c r="B472" s="26" t="s">
        <v>2751</v>
      </c>
      <c r="C472" s="76">
        <v>11225900</v>
      </c>
      <c r="D472" s="77">
        <v>4.7</v>
      </c>
      <c r="E472" s="26"/>
      <c r="F472" s="78" t="s">
        <v>2551</v>
      </c>
      <c r="G472" s="381">
        <v>19035000</v>
      </c>
      <c r="H472" s="26">
        <v>2</v>
      </c>
      <c r="I472" s="78" t="s">
        <v>2552</v>
      </c>
      <c r="J472" s="530">
        <v>56635000</v>
      </c>
    </row>
    <row r="473" spans="1:10" ht="33.75">
      <c r="A473" s="22" t="s">
        <v>2598</v>
      </c>
      <c r="B473" s="26" t="s">
        <v>2752</v>
      </c>
      <c r="C473" s="76">
        <v>11226100</v>
      </c>
      <c r="D473" s="77">
        <v>0.3</v>
      </c>
      <c r="E473" s="26"/>
      <c r="F473" s="78" t="s">
        <v>2551</v>
      </c>
      <c r="G473" s="381">
        <v>1215000</v>
      </c>
      <c r="H473" s="26">
        <v>2</v>
      </c>
      <c r="I473" s="78" t="s">
        <v>2552</v>
      </c>
      <c r="J473" s="530">
        <v>3615000</v>
      </c>
    </row>
    <row r="474" spans="1:10" ht="33.75">
      <c r="A474" s="22" t="s">
        <v>2595</v>
      </c>
      <c r="B474" s="26" t="s">
        <v>2753</v>
      </c>
      <c r="C474" s="76">
        <v>11226200</v>
      </c>
      <c r="D474" s="77">
        <v>0.19</v>
      </c>
      <c r="E474" s="26"/>
      <c r="F474" s="78" t="s">
        <v>2551</v>
      </c>
      <c r="G474" s="381">
        <v>769500</v>
      </c>
      <c r="H474" s="26">
        <v>2</v>
      </c>
      <c r="I474" s="78" t="s">
        <v>2552</v>
      </c>
      <c r="J474" s="530">
        <v>2289500</v>
      </c>
    </row>
    <row r="475" spans="1:10" ht="33.75">
      <c r="A475" s="22" t="s">
        <v>2595</v>
      </c>
      <c r="B475" s="26" t="s">
        <v>2754</v>
      </c>
      <c r="C475" s="76">
        <v>11226300</v>
      </c>
      <c r="D475" s="77">
        <v>0.65</v>
      </c>
      <c r="E475" s="26"/>
      <c r="F475" s="78" t="s">
        <v>2551</v>
      </c>
      <c r="G475" s="381">
        <v>2632500</v>
      </c>
      <c r="H475" s="26">
        <v>2</v>
      </c>
      <c r="I475" s="78" t="s">
        <v>2552</v>
      </c>
      <c r="J475" s="530">
        <v>7832500</v>
      </c>
    </row>
    <row r="476" spans="1:10" ht="33.75">
      <c r="A476" s="22" t="s">
        <v>2595</v>
      </c>
      <c r="B476" s="26" t="s">
        <v>2755</v>
      </c>
      <c r="C476" s="76">
        <v>11226400</v>
      </c>
      <c r="D476" s="77">
        <v>0.6</v>
      </c>
      <c r="E476" s="26"/>
      <c r="F476" s="78" t="s">
        <v>2551</v>
      </c>
      <c r="G476" s="381">
        <v>2430000</v>
      </c>
      <c r="H476" s="26">
        <v>2</v>
      </c>
      <c r="I476" s="78" t="s">
        <v>2552</v>
      </c>
      <c r="J476" s="530">
        <v>7230000</v>
      </c>
    </row>
    <row r="477" spans="1:10" ht="33.75">
      <c r="A477" s="22" t="s">
        <v>2595</v>
      </c>
      <c r="B477" s="26" t="s">
        <v>2756</v>
      </c>
      <c r="C477" s="76">
        <v>11226500</v>
      </c>
      <c r="D477" s="77">
        <v>0.14199999999999999</v>
      </c>
      <c r="E477" s="26"/>
      <c r="F477" s="78" t="s">
        <v>2551</v>
      </c>
      <c r="G477" s="381">
        <v>575100</v>
      </c>
      <c r="H477" s="26">
        <v>1</v>
      </c>
      <c r="I477" s="78" t="s">
        <v>2552</v>
      </c>
      <c r="J477" s="530">
        <v>1711100</v>
      </c>
    </row>
    <row r="478" spans="1:10" ht="33.75">
      <c r="A478" s="22" t="s">
        <v>2595</v>
      </c>
      <c r="B478" s="26" t="s">
        <v>2757</v>
      </c>
      <c r="C478" s="76">
        <v>11226600</v>
      </c>
      <c r="D478" s="77">
        <v>0.77</v>
      </c>
      <c r="E478" s="26"/>
      <c r="F478" s="78" t="s">
        <v>2551</v>
      </c>
      <c r="G478" s="381">
        <v>3118500</v>
      </c>
      <c r="H478" s="26">
        <v>2</v>
      </c>
      <c r="I478" s="78" t="s">
        <v>2552</v>
      </c>
      <c r="J478" s="530">
        <v>9278500</v>
      </c>
    </row>
    <row r="479" spans="1:10" ht="33.75">
      <c r="A479" s="22" t="s">
        <v>2595</v>
      </c>
      <c r="B479" s="26" t="s">
        <v>2758</v>
      </c>
      <c r="C479" s="76">
        <v>11226700</v>
      </c>
      <c r="D479" s="77">
        <v>2.0209999999999999</v>
      </c>
      <c r="E479" s="26"/>
      <c r="F479" s="78" t="s">
        <v>2551</v>
      </c>
      <c r="G479" s="381">
        <v>8185049.9999999991</v>
      </c>
      <c r="H479" s="26">
        <v>2</v>
      </c>
      <c r="I479" s="78" t="s">
        <v>2552</v>
      </c>
      <c r="J479" s="530">
        <v>24353049.999999996</v>
      </c>
    </row>
    <row r="480" spans="1:10" ht="33.75">
      <c r="A480" s="22" t="s">
        <v>2598</v>
      </c>
      <c r="B480" s="26" t="s">
        <v>2759</v>
      </c>
      <c r="C480" s="76">
        <v>11226800</v>
      </c>
      <c r="D480" s="77">
        <v>0.44</v>
      </c>
      <c r="E480" s="26"/>
      <c r="F480" s="78" t="s">
        <v>2551</v>
      </c>
      <c r="G480" s="381">
        <v>1782000</v>
      </c>
      <c r="H480" s="26">
        <v>2</v>
      </c>
      <c r="I480" s="78" t="s">
        <v>2552</v>
      </c>
      <c r="J480" s="530">
        <v>5302000</v>
      </c>
    </row>
    <row r="481" spans="1:10" ht="33.75">
      <c r="A481" s="22" t="s">
        <v>2598</v>
      </c>
      <c r="B481" s="26" t="s">
        <v>2760</v>
      </c>
      <c r="C481" s="76">
        <v>11226900</v>
      </c>
      <c r="D481" s="77">
        <v>0.1</v>
      </c>
      <c r="E481" s="26"/>
      <c r="F481" s="78" t="s">
        <v>2551</v>
      </c>
      <c r="G481" s="381">
        <v>405000</v>
      </c>
      <c r="H481" s="26">
        <v>1</v>
      </c>
      <c r="I481" s="78" t="s">
        <v>2552</v>
      </c>
      <c r="J481" s="530">
        <v>1205000</v>
      </c>
    </row>
    <row r="482" spans="1:10" ht="33.75">
      <c r="A482" s="22" t="s">
        <v>2595</v>
      </c>
      <c r="B482" s="26" t="s">
        <v>2761</v>
      </c>
      <c r="C482" s="76">
        <v>11227000</v>
      </c>
      <c r="D482" s="77">
        <v>0.34</v>
      </c>
      <c r="E482" s="26"/>
      <c r="F482" s="78" t="s">
        <v>2551</v>
      </c>
      <c r="G482" s="381">
        <v>1377000</v>
      </c>
      <c r="H482" s="26">
        <v>1</v>
      </c>
      <c r="I482" s="78" t="s">
        <v>2552</v>
      </c>
      <c r="J482" s="530">
        <v>4097000</v>
      </c>
    </row>
    <row r="483" spans="1:10" ht="33.75">
      <c r="A483" s="22" t="s">
        <v>2598</v>
      </c>
      <c r="B483" s="26" t="s">
        <v>2762</v>
      </c>
      <c r="C483" s="76">
        <v>11227100</v>
      </c>
      <c r="D483" s="77">
        <v>0.27</v>
      </c>
      <c r="E483" s="26"/>
      <c r="F483" s="78" t="s">
        <v>2551</v>
      </c>
      <c r="G483" s="381">
        <v>1093500</v>
      </c>
      <c r="H483" s="26">
        <v>2</v>
      </c>
      <c r="I483" s="78" t="s">
        <v>2552</v>
      </c>
      <c r="J483" s="530">
        <v>3253500</v>
      </c>
    </row>
    <row r="484" spans="1:10" ht="33.75">
      <c r="A484" s="22" t="s">
        <v>2509</v>
      </c>
      <c r="B484" s="26" t="s">
        <v>2763</v>
      </c>
      <c r="C484" s="76">
        <v>11227200</v>
      </c>
      <c r="D484" s="77">
        <v>0.13</v>
      </c>
      <c r="E484" s="26"/>
      <c r="F484" s="78" t="s">
        <v>2551</v>
      </c>
      <c r="G484" s="381">
        <v>526500</v>
      </c>
      <c r="H484" s="26">
        <v>2</v>
      </c>
      <c r="I484" s="78" t="s">
        <v>2552</v>
      </c>
      <c r="J484" s="530">
        <v>1566500</v>
      </c>
    </row>
    <row r="485" spans="1:10" ht="33.75">
      <c r="A485" s="22" t="s">
        <v>2509</v>
      </c>
      <c r="B485" s="26" t="s">
        <v>2764</v>
      </c>
      <c r="C485" s="76">
        <v>11227300</v>
      </c>
      <c r="D485" s="77">
        <v>0.84</v>
      </c>
      <c r="E485" s="26"/>
      <c r="F485" s="78" t="s">
        <v>2551</v>
      </c>
      <c r="G485" s="381">
        <v>3402000</v>
      </c>
      <c r="H485" s="26">
        <v>1</v>
      </c>
      <c r="I485" s="78" t="s">
        <v>2552</v>
      </c>
      <c r="J485" s="530">
        <v>10122000</v>
      </c>
    </row>
    <row r="486" spans="1:10" ht="33.75">
      <c r="A486" s="22" t="s">
        <v>2525</v>
      </c>
      <c r="B486" s="26" t="s">
        <v>2765</v>
      </c>
      <c r="C486" s="76">
        <v>11227400</v>
      </c>
      <c r="D486" s="77">
        <v>0.15</v>
      </c>
      <c r="E486" s="26"/>
      <c r="F486" s="78" t="s">
        <v>2551</v>
      </c>
      <c r="G486" s="381">
        <v>607500</v>
      </c>
      <c r="H486" s="26">
        <v>2</v>
      </c>
      <c r="I486" s="78" t="s">
        <v>2552</v>
      </c>
      <c r="J486" s="530">
        <v>1807500</v>
      </c>
    </row>
    <row r="487" spans="1:10" ht="33.75">
      <c r="A487" s="22" t="s">
        <v>2595</v>
      </c>
      <c r="B487" s="26" t="s">
        <v>2766</v>
      </c>
      <c r="C487" s="76">
        <v>11227500</v>
      </c>
      <c r="D487" s="77">
        <v>0.1</v>
      </c>
      <c r="E487" s="26"/>
      <c r="F487" s="78" t="s">
        <v>2551</v>
      </c>
      <c r="G487" s="381">
        <v>405000</v>
      </c>
      <c r="H487" s="26">
        <v>2</v>
      </c>
      <c r="I487" s="78" t="s">
        <v>2552</v>
      </c>
      <c r="J487" s="530">
        <v>1205000</v>
      </c>
    </row>
    <row r="488" spans="1:10" ht="33.75">
      <c r="A488" s="22" t="s">
        <v>2595</v>
      </c>
      <c r="B488" s="26" t="s">
        <v>2767</v>
      </c>
      <c r="C488" s="76">
        <v>11227600</v>
      </c>
      <c r="D488" s="77">
        <v>2.2000000000000002</v>
      </c>
      <c r="E488" s="26"/>
      <c r="F488" s="78" t="s">
        <v>2551</v>
      </c>
      <c r="G488" s="381">
        <v>8910000</v>
      </c>
      <c r="H488" s="26">
        <v>1</v>
      </c>
      <c r="I488" s="78" t="s">
        <v>2552</v>
      </c>
      <c r="J488" s="530">
        <v>26510000</v>
      </c>
    </row>
    <row r="489" spans="1:10" ht="33.75">
      <c r="A489" s="22" t="s">
        <v>2595</v>
      </c>
      <c r="B489" s="26" t="s">
        <v>2768</v>
      </c>
      <c r="C489" s="76">
        <v>11227700</v>
      </c>
      <c r="D489" s="77">
        <v>0.2</v>
      </c>
      <c r="E489" s="26"/>
      <c r="F489" s="78" t="s">
        <v>2551</v>
      </c>
      <c r="G489" s="381">
        <v>810000</v>
      </c>
      <c r="H489" s="26">
        <v>2</v>
      </c>
      <c r="I489" s="78" t="s">
        <v>2552</v>
      </c>
      <c r="J489" s="530">
        <v>2410000</v>
      </c>
    </row>
    <row r="490" spans="1:10" ht="33.75">
      <c r="A490" s="22" t="s">
        <v>2595</v>
      </c>
      <c r="B490" s="26" t="s">
        <v>2769</v>
      </c>
      <c r="C490" s="76">
        <v>11227800</v>
      </c>
      <c r="D490" s="77">
        <v>0.22</v>
      </c>
      <c r="E490" s="26"/>
      <c r="F490" s="78" t="s">
        <v>2551</v>
      </c>
      <c r="G490" s="381">
        <v>891000</v>
      </c>
      <c r="H490" s="26">
        <v>2</v>
      </c>
      <c r="I490" s="78" t="s">
        <v>2552</v>
      </c>
      <c r="J490" s="530">
        <v>2651000</v>
      </c>
    </row>
    <row r="491" spans="1:10" ht="33.75">
      <c r="A491" s="22" t="s">
        <v>2595</v>
      </c>
      <c r="B491" s="26" t="s">
        <v>2770</v>
      </c>
      <c r="C491" s="76">
        <v>11227900</v>
      </c>
      <c r="D491" s="77">
        <v>0.63</v>
      </c>
      <c r="E491" s="26"/>
      <c r="F491" s="78" t="s">
        <v>2551</v>
      </c>
      <c r="G491" s="381">
        <v>2551500</v>
      </c>
      <c r="H491" s="26">
        <v>2</v>
      </c>
      <c r="I491" s="78" t="s">
        <v>2552</v>
      </c>
      <c r="J491" s="530">
        <v>7591500</v>
      </c>
    </row>
    <row r="492" spans="1:10" ht="33.75">
      <c r="A492" s="22" t="s">
        <v>2595</v>
      </c>
      <c r="B492" s="26" t="s">
        <v>2771</v>
      </c>
      <c r="C492" s="76">
        <v>11228000</v>
      </c>
      <c r="D492" s="77">
        <v>0.38</v>
      </c>
      <c r="E492" s="26"/>
      <c r="F492" s="78" t="s">
        <v>2551</v>
      </c>
      <c r="G492" s="381">
        <v>1539000</v>
      </c>
      <c r="H492" s="26">
        <v>2</v>
      </c>
      <c r="I492" s="78" t="s">
        <v>2552</v>
      </c>
      <c r="J492" s="530">
        <v>4579000</v>
      </c>
    </row>
    <row r="493" spans="1:10" ht="33.75">
      <c r="A493" s="22" t="s">
        <v>2595</v>
      </c>
      <c r="B493" s="26" t="s">
        <v>2772</v>
      </c>
      <c r="C493" s="76">
        <v>11228100</v>
      </c>
      <c r="D493" s="77">
        <v>0.69</v>
      </c>
      <c r="E493" s="26"/>
      <c r="F493" s="78" t="s">
        <v>2551</v>
      </c>
      <c r="G493" s="381">
        <v>2794500</v>
      </c>
      <c r="H493" s="26">
        <v>2</v>
      </c>
      <c r="I493" s="78" t="s">
        <v>2552</v>
      </c>
      <c r="J493" s="530">
        <v>8314500</v>
      </c>
    </row>
    <row r="494" spans="1:10" ht="33.75">
      <c r="A494" s="22" t="s">
        <v>2595</v>
      </c>
      <c r="B494" s="26" t="s">
        <v>2773</v>
      </c>
      <c r="C494" s="76">
        <v>11228200</v>
      </c>
      <c r="D494" s="77">
        <v>0.8</v>
      </c>
      <c r="E494" s="26"/>
      <c r="F494" s="78" t="s">
        <v>2551</v>
      </c>
      <c r="G494" s="381">
        <v>3240000</v>
      </c>
      <c r="H494" s="26">
        <v>2</v>
      </c>
      <c r="I494" s="78" t="s">
        <v>2552</v>
      </c>
      <c r="J494" s="530">
        <v>9640000</v>
      </c>
    </row>
    <row r="495" spans="1:10" ht="33.75">
      <c r="A495" s="22" t="s">
        <v>2598</v>
      </c>
      <c r="B495" s="26" t="s">
        <v>2774</v>
      </c>
      <c r="C495" s="76">
        <v>11228300</v>
      </c>
      <c r="D495" s="77">
        <v>0.48</v>
      </c>
      <c r="E495" s="26"/>
      <c r="F495" s="78" t="s">
        <v>2551</v>
      </c>
      <c r="G495" s="381">
        <v>1944000</v>
      </c>
      <c r="H495" s="26">
        <v>2</v>
      </c>
      <c r="I495" s="78" t="s">
        <v>2552</v>
      </c>
      <c r="J495" s="530">
        <v>5784000</v>
      </c>
    </row>
    <row r="496" spans="1:10" ht="33.75">
      <c r="A496" s="22" t="s">
        <v>2598</v>
      </c>
      <c r="B496" s="26" t="s">
        <v>2775</v>
      </c>
      <c r="C496" s="76">
        <v>11228400</v>
      </c>
      <c r="D496" s="77">
        <v>1.5</v>
      </c>
      <c r="E496" s="26"/>
      <c r="F496" s="78" t="s">
        <v>2551</v>
      </c>
      <c r="G496" s="381">
        <v>6075000</v>
      </c>
      <c r="H496" s="26">
        <v>2</v>
      </c>
      <c r="I496" s="78" t="s">
        <v>2552</v>
      </c>
      <c r="J496" s="530">
        <v>18075000</v>
      </c>
    </row>
    <row r="497" spans="1:10" ht="33.75">
      <c r="A497" s="22" t="s">
        <v>2598</v>
      </c>
      <c r="B497" s="26" t="s">
        <v>2776</v>
      </c>
      <c r="C497" s="76">
        <v>11228500</v>
      </c>
      <c r="D497" s="77">
        <v>0.28000000000000003</v>
      </c>
      <c r="E497" s="26"/>
      <c r="F497" s="78" t="s">
        <v>2551</v>
      </c>
      <c r="G497" s="381">
        <v>1134000</v>
      </c>
      <c r="H497" s="26">
        <v>2</v>
      </c>
      <c r="I497" s="78" t="s">
        <v>2552</v>
      </c>
      <c r="J497" s="530">
        <v>3374000</v>
      </c>
    </row>
    <row r="498" spans="1:10" ht="33.75">
      <c r="A498" s="22" t="s">
        <v>2598</v>
      </c>
      <c r="B498" s="26" t="s">
        <v>2777</v>
      </c>
      <c r="C498" s="76">
        <v>11228600</v>
      </c>
      <c r="D498" s="77">
        <v>0.23100000000000001</v>
      </c>
      <c r="E498" s="26"/>
      <c r="F498" s="78" t="s">
        <v>2551</v>
      </c>
      <c r="G498" s="381">
        <v>935550</v>
      </c>
      <c r="H498" s="26">
        <v>2</v>
      </c>
      <c r="I498" s="78" t="s">
        <v>2552</v>
      </c>
      <c r="J498" s="530">
        <v>2783550</v>
      </c>
    </row>
    <row r="499" spans="1:10" ht="33.75">
      <c r="A499" s="22" t="s">
        <v>2598</v>
      </c>
      <c r="B499" s="26" t="s">
        <v>2778</v>
      </c>
      <c r="C499" s="76">
        <v>11228700</v>
      </c>
      <c r="D499" s="77">
        <v>0.45</v>
      </c>
      <c r="E499" s="26"/>
      <c r="F499" s="78" t="s">
        <v>2551</v>
      </c>
      <c r="G499" s="381">
        <v>1822500</v>
      </c>
      <c r="H499" s="26">
        <v>2</v>
      </c>
      <c r="I499" s="78" t="s">
        <v>2552</v>
      </c>
      <c r="J499" s="530">
        <v>5422500</v>
      </c>
    </row>
    <row r="500" spans="1:10" ht="33.75">
      <c r="A500" s="22" t="s">
        <v>2598</v>
      </c>
      <c r="B500" s="26" t="s">
        <v>2779</v>
      </c>
      <c r="C500" s="76">
        <v>11228800</v>
      </c>
      <c r="D500" s="77">
        <v>0.53</v>
      </c>
      <c r="E500" s="26"/>
      <c r="F500" s="78" t="s">
        <v>2551</v>
      </c>
      <c r="G500" s="381">
        <v>2146500</v>
      </c>
      <c r="H500" s="26">
        <v>1</v>
      </c>
      <c r="I500" s="78" t="s">
        <v>2552</v>
      </c>
      <c r="J500" s="530">
        <v>6386500</v>
      </c>
    </row>
    <row r="501" spans="1:10" ht="33.75">
      <c r="A501" s="22" t="s">
        <v>2598</v>
      </c>
      <c r="B501" s="26" t="s">
        <v>2780</v>
      </c>
      <c r="C501" s="76">
        <v>11228900</v>
      </c>
      <c r="D501" s="77">
        <v>0.89</v>
      </c>
      <c r="E501" s="26"/>
      <c r="F501" s="78" t="s">
        <v>2551</v>
      </c>
      <c r="G501" s="381">
        <v>3604500</v>
      </c>
      <c r="H501" s="26">
        <v>2</v>
      </c>
      <c r="I501" s="78" t="s">
        <v>2552</v>
      </c>
      <c r="J501" s="530">
        <v>10724500</v>
      </c>
    </row>
    <row r="502" spans="1:10" ht="33.75">
      <c r="A502" s="22" t="s">
        <v>2598</v>
      </c>
      <c r="B502" s="26" t="s">
        <v>2781</v>
      </c>
      <c r="C502" s="76">
        <v>11229000</v>
      </c>
      <c r="D502" s="77">
        <v>1.26</v>
      </c>
      <c r="E502" s="26"/>
      <c r="F502" s="78" t="s">
        <v>2551</v>
      </c>
      <c r="G502" s="381">
        <v>5103000</v>
      </c>
      <c r="H502" s="26">
        <v>2</v>
      </c>
      <c r="I502" s="78" t="s">
        <v>2552</v>
      </c>
      <c r="J502" s="530">
        <v>15183000</v>
      </c>
    </row>
    <row r="503" spans="1:10" ht="33.75">
      <c r="A503" s="22" t="s">
        <v>2598</v>
      </c>
      <c r="B503" s="26" t="s">
        <v>2782</v>
      </c>
      <c r="C503" s="76">
        <v>11229100</v>
      </c>
      <c r="D503" s="77">
        <v>1.18</v>
      </c>
      <c r="E503" s="26"/>
      <c r="F503" s="78" t="s">
        <v>2551</v>
      </c>
      <c r="G503" s="381">
        <v>4779000</v>
      </c>
      <c r="H503" s="26">
        <v>2</v>
      </c>
      <c r="I503" s="78" t="s">
        <v>2552</v>
      </c>
      <c r="J503" s="530">
        <v>14219000</v>
      </c>
    </row>
    <row r="504" spans="1:10" ht="33.75">
      <c r="A504" s="22" t="s">
        <v>2525</v>
      </c>
      <c r="B504" s="26" t="s">
        <v>2783</v>
      </c>
      <c r="C504" s="76">
        <v>11229200</v>
      </c>
      <c r="D504" s="77">
        <v>1.18</v>
      </c>
      <c r="E504" s="26"/>
      <c r="F504" s="78" t="s">
        <v>2551</v>
      </c>
      <c r="G504" s="381">
        <v>4779000</v>
      </c>
      <c r="H504" s="26">
        <v>2</v>
      </c>
      <c r="I504" s="78" t="s">
        <v>2552</v>
      </c>
      <c r="J504" s="530">
        <v>14219000</v>
      </c>
    </row>
    <row r="505" spans="1:10" ht="45">
      <c r="A505" s="22">
        <v>0</v>
      </c>
      <c r="B505" s="26" t="s">
        <v>2525</v>
      </c>
      <c r="C505" s="569" t="s">
        <v>23560</v>
      </c>
      <c r="D505" s="569">
        <v>3.1749999999999998</v>
      </c>
      <c r="E505" s="569">
        <v>35</v>
      </c>
      <c r="F505" s="569" t="s">
        <v>23561</v>
      </c>
      <c r="G505" s="73">
        <v>0</v>
      </c>
      <c r="H505" s="569">
        <v>1</v>
      </c>
      <c r="I505" s="569" t="s">
        <v>23562</v>
      </c>
      <c r="J505" s="531">
        <v>75000000</v>
      </c>
    </row>
    <row r="506" spans="1:10" ht="33.75">
      <c r="A506" s="22">
        <v>0</v>
      </c>
      <c r="B506" s="26">
        <v>0</v>
      </c>
      <c r="C506" s="569" t="s">
        <v>23563</v>
      </c>
      <c r="D506" s="569">
        <v>2.71</v>
      </c>
      <c r="E506" s="569">
        <v>0</v>
      </c>
      <c r="F506" s="569" t="s">
        <v>23564</v>
      </c>
      <c r="G506" s="73">
        <v>0</v>
      </c>
      <c r="H506" s="569">
        <v>1</v>
      </c>
      <c r="I506" s="569" t="s">
        <v>23565</v>
      </c>
      <c r="J506" s="531">
        <v>6465000</v>
      </c>
    </row>
    <row r="507" spans="1:10" ht="33.75">
      <c r="A507" s="22">
        <v>0</v>
      </c>
      <c r="B507" s="26">
        <v>0</v>
      </c>
      <c r="C507" s="569" t="s">
        <v>23563</v>
      </c>
      <c r="D507" s="569">
        <v>2.71</v>
      </c>
      <c r="E507" s="569">
        <v>0</v>
      </c>
      <c r="F507" s="569" t="s">
        <v>23564</v>
      </c>
      <c r="G507" s="73">
        <v>0</v>
      </c>
      <c r="H507" s="569">
        <v>1</v>
      </c>
      <c r="I507" s="569" t="s">
        <v>23565</v>
      </c>
      <c r="J507" s="531">
        <v>5387500</v>
      </c>
    </row>
    <row r="508" spans="1:10" ht="33.75">
      <c r="A508" s="22">
        <v>0</v>
      </c>
      <c r="B508" s="26">
        <v>0</v>
      </c>
      <c r="C508" s="569" t="s">
        <v>23566</v>
      </c>
      <c r="D508" s="569">
        <v>8.2650000000000006</v>
      </c>
      <c r="E508" s="569">
        <v>0</v>
      </c>
      <c r="F508" s="569" t="s">
        <v>23564</v>
      </c>
      <c r="G508" s="73">
        <v>0</v>
      </c>
      <c r="H508" s="569">
        <v>1</v>
      </c>
      <c r="I508" s="569" t="s">
        <v>23565</v>
      </c>
      <c r="J508" s="531">
        <v>3232500</v>
      </c>
    </row>
    <row r="509" spans="1:10" ht="33.75">
      <c r="A509" s="22">
        <v>0</v>
      </c>
      <c r="B509" s="26">
        <v>0</v>
      </c>
      <c r="C509" s="569" t="s">
        <v>23567</v>
      </c>
      <c r="D509" s="569">
        <v>10.86</v>
      </c>
      <c r="E509" s="569">
        <v>0</v>
      </c>
      <c r="F509" s="569" t="s">
        <v>23564</v>
      </c>
      <c r="G509" s="73">
        <v>0</v>
      </c>
      <c r="H509" s="569">
        <v>1</v>
      </c>
      <c r="I509" s="569" t="s">
        <v>23565</v>
      </c>
      <c r="J509" s="531">
        <v>4741000</v>
      </c>
    </row>
    <row r="510" spans="1:10" ht="33.75">
      <c r="A510" s="22">
        <v>0</v>
      </c>
      <c r="B510" s="26">
        <v>0</v>
      </c>
      <c r="C510" s="569" t="s">
        <v>23568</v>
      </c>
      <c r="D510" s="569">
        <v>9.9350000000000005</v>
      </c>
      <c r="E510" s="569">
        <v>0</v>
      </c>
      <c r="F510" s="569" t="s">
        <v>23564</v>
      </c>
      <c r="G510" s="73">
        <v>0</v>
      </c>
      <c r="H510" s="569">
        <v>1</v>
      </c>
      <c r="I510" s="569" t="s">
        <v>23565</v>
      </c>
      <c r="J510" s="531">
        <v>5172000</v>
      </c>
    </row>
    <row r="511" spans="1:10" ht="33.75">
      <c r="A511" s="22">
        <v>0</v>
      </c>
      <c r="B511" s="26">
        <v>0</v>
      </c>
      <c r="C511" s="569" t="s">
        <v>23569</v>
      </c>
      <c r="D511" s="569">
        <v>10.54</v>
      </c>
      <c r="E511" s="569">
        <v>0</v>
      </c>
      <c r="F511" s="569" t="s">
        <v>23564</v>
      </c>
      <c r="G511" s="73">
        <v>0</v>
      </c>
      <c r="H511" s="569">
        <v>1</v>
      </c>
      <c r="I511" s="569" t="s">
        <v>23565</v>
      </c>
      <c r="J511" s="531">
        <v>4310000</v>
      </c>
    </row>
    <row r="512" spans="1:10" ht="33.75">
      <c r="A512" s="22">
        <v>0</v>
      </c>
      <c r="B512" s="26">
        <v>0</v>
      </c>
      <c r="C512" s="569" t="s">
        <v>23570</v>
      </c>
      <c r="D512" s="569">
        <v>6.28</v>
      </c>
      <c r="E512" s="569">
        <v>0</v>
      </c>
      <c r="F512" s="569" t="s">
        <v>23564</v>
      </c>
      <c r="G512" s="73">
        <v>0</v>
      </c>
      <c r="H512" s="569">
        <v>1</v>
      </c>
      <c r="I512" s="569" t="s">
        <v>23565</v>
      </c>
      <c r="J512" s="531">
        <v>16162500</v>
      </c>
    </row>
    <row r="513" spans="1:10" ht="15.75">
      <c r="A513" s="1013" t="s">
        <v>189</v>
      </c>
      <c r="B513" s="1014"/>
      <c r="C513" s="1014"/>
      <c r="D513" s="1014"/>
      <c r="E513" s="1014"/>
      <c r="F513" s="1014"/>
      <c r="G513" s="550">
        <f>SUM(G254:G512)</f>
        <v>1528143100</v>
      </c>
      <c r="H513" s="564"/>
      <c r="I513" s="564"/>
      <c r="J513" s="626">
        <f>SUM(J254:J512)</f>
        <v>4367254600</v>
      </c>
    </row>
    <row r="514" spans="1:10" ht="15.75">
      <c r="A514" s="1013" t="s">
        <v>24528</v>
      </c>
      <c r="B514" s="1014"/>
      <c r="C514" s="1014"/>
      <c r="D514" s="1014"/>
      <c r="E514" s="1014"/>
      <c r="F514" s="1014"/>
      <c r="G514" s="1014"/>
      <c r="H514" s="1014"/>
      <c r="I514" s="1014"/>
      <c r="J514" s="1015"/>
    </row>
    <row r="515" spans="1:10" ht="33.75">
      <c r="A515" s="22" t="s">
        <v>13215</v>
      </c>
      <c r="B515" s="26">
        <v>0</v>
      </c>
      <c r="C515" s="569" t="s">
        <v>24525</v>
      </c>
      <c r="D515" s="569">
        <v>2.3149999999999999</v>
      </c>
      <c r="E515" s="569">
        <v>14.8</v>
      </c>
      <c r="F515" s="569" t="s">
        <v>24526</v>
      </c>
      <c r="G515" s="73">
        <v>0</v>
      </c>
      <c r="H515" s="569">
        <v>1</v>
      </c>
      <c r="I515" s="569" t="s">
        <v>24527</v>
      </c>
      <c r="J515" s="531">
        <v>1500000</v>
      </c>
    </row>
    <row r="516" spans="1:10" ht="22.5">
      <c r="A516" s="22" t="s">
        <v>24528</v>
      </c>
      <c r="B516" s="26">
        <v>0</v>
      </c>
      <c r="C516" s="569" t="s">
        <v>24529</v>
      </c>
      <c r="D516" s="569">
        <v>1.675</v>
      </c>
      <c r="E516" s="569">
        <v>7.4</v>
      </c>
      <c r="F516" s="569" t="s">
        <v>5921</v>
      </c>
      <c r="G516" s="73">
        <v>0</v>
      </c>
      <c r="H516" s="569">
        <v>1</v>
      </c>
      <c r="I516" s="569" t="s">
        <v>23899</v>
      </c>
      <c r="J516" s="531">
        <v>81525149.739999995</v>
      </c>
    </row>
    <row r="517" spans="1:10" ht="15.75">
      <c r="A517" s="1013" t="s">
        <v>189</v>
      </c>
      <c r="B517" s="1014"/>
      <c r="C517" s="1014"/>
      <c r="D517" s="1014"/>
      <c r="E517" s="1014"/>
      <c r="F517" s="1014"/>
      <c r="G517" s="550">
        <f>SUM(G515:G516)</f>
        <v>0</v>
      </c>
      <c r="H517" s="564"/>
      <c r="I517" s="564"/>
      <c r="J517" s="626">
        <f>SUM(J515:J516)</f>
        <v>83025149.739999995</v>
      </c>
    </row>
    <row r="518" spans="1:10" ht="15.75">
      <c r="A518" s="1013" t="s">
        <v>9797</v>
      </c>
      <c r="B518" s="1014"/>
      <c r="C518" s="1014"/>
      <c r="D518" s="1014"/>
      <c r="E518" s="1014"/>
      <c r="F518" s="1014"/>
      <c r="G518" s="1014"/>
      <c r="H518" s="1014"/>
      <c r="I518" s="1014"/>
      <c r="J518" s="1015"/>
    </row>
    <row r="519" spans="1:10" ht="22.5">
      <c r="A519" s="22" t="s">
        <v>3672</v>
      </c>
      <c r="B519" s="26" t="s">
        <v>9798</v>
      </c>
      <c r="C519" s="63">
        <v>111600100</v>
      </c>
      <c r="D519" s="63">
        <v>4.4000000000000004</v>
      </c>
      <c r="E519" s="577">
        <v>5.5</v>
      </c>
      <c r="F519" s="569" t="s">
        <v>1790</v>
      </c>
      <c r="G519" s="528">
        <v>4950000</v>
      </c>
      <c r="H519" s="569">
        <v>1</v>
      </c>
      <c r="I519" s="569" t="s">
        <v>1791</v>
      </c>
      <c r="J519" s="533">
        <v>12213520</v>
      </c>
    </row>
    <row r="520" spans="1:10" ht="22.5">
      <c r="A520" s="22" t="s">
        <v>3672</v>
      </c>
      <c r="B520" s="26" t="s">
        <v>9799</v>
      </c>
      <c r="C520" s="63">
        <v>111600200</v>
      </c>
      <c r="D520" s="63">
        <v>3.1</v>
      </c>
      <c r="E520" s="577">
        <v>5.5</v>
      </c>
      <c r="F520" s="569" t="s">
        <v>1790</v>
      </c>
      <c r="G520" s="528">
        <v>9207000</v>
      </c>
      <c r="H520" s="569">
        <v>1</v>
      </c>
      <c r="I520" s="569" t="s">
        <v>1791</v>
      </c>
      <c r="J520" s="533">
        <v>14324480</v>
      </c>
    </row>
    <row r="521" spans="1:10" ht="22.5">
      <c r="A521" s="22" t="s">
        <v>9800</v>
      </c>
      <c r="B521" s="26" t="s">
        <v>9801</v>
      </c>
      <c r="C521" s="63">
        <v>111600300</v>
      </c>
      <c r="D521" s="63">
        <v>3.2</v>
      </c>
      <c r="E521" s="577">
        <v>5</v>
      </c>
      <c r="F521" s="569" t="s">
        <v>1790</v>
      </c>
      <c r="G521" s="528">
        <v>8640000</v>
      </c>
      <c r="H521" s="569">
        <v>1</v>
      </c>
      <c r="I521" s="569" t="s">
        <v>1791</v>
      </c>
      <c r="J521" s="533">
        <v>13442560</v>
      </c>
    </row>
    <row r="522" spans="1:10" ht="22.5">
      <c r="A522" s="22" t="s">
        <v>3375</v>
      </c>
      <c r="B522" s="26" t="s">
        <v>7301</v>
      </c>
      <c r="C522" s="63">
        <v>111600400</v>
      </c>
      <c r="D522" s="63">
        <v>4.4000000000000004</v>
      </c>
      <c r="E522" s="577">
        <v>5</v>
      </c>
      <c r="F522" s="569" t="s">
        <v>1790</v>
      </c>
      <c r="G522" s="528">
        <v>9180000</v>
      </c>
      <c r="H522" s="569">
        <v>1</v>
      </c>
      <c r="I522" s="569" t="s">
        <v>1791</v>
      </c>
      <c r="J522" s="533">
        <v>15783520</v>
      </c>
    </row>
    <row r="523" spans="1:10" ht="22.5">
      <c r="A523" s="22" t="s">
        <v>3375</v>
      </c>
      <c r="B523" s="26" t="s">
        <v>9802</v>
      </c>
      <c r="C523" s="63">
        <v>111600500</v>
      </c>
      <c r="D523" s="63">
        <v>5.4</v>
      </c>
      <c r="E523" s="577">
        <v>5</v>
      </c>
      <c r="F523" s="569" t="s">
        <v>1790</v>
      </c>
      <c r="G523" s="528">
        <v>14580000</v>
      </c>
      <c r="H523" s="569">
        <v>1</v>
      </c>
      <c r="I523" s="569" t="s">
        <v>1791</v>
      </c>
      <c r="J523" s="533">
        <v>22684320</v>
      </c>
    </row>
    <row r="524" spans="1:10" ht="22.5">
      <c r="A524" s="22" t="s">
        <v>4343</v>
      </c>
      <c r="B524" s="26" t="s">
        <v>9803</v>
      </c>
      <c r="C524" s="63">
        <v>111600600</v>
      </c>
      <c r="D524" s="63">
        <v>4.3</v>
      </c>
      <c r="E524" s="577">
        <v>5.5</v>
      </c>
      <c r="F524" s="569" t="s">
        <v>1790</v>
      </c>
      <c r="G524" s="528">
        <v>9801000</v>
      </c>
      <c r="H524" s="569">
        <v>1</v>
      </c>
      <c r="I524" s="569" t="s">
        <v>1791</v>
      </c>
      <c r="J524" s="533">
        <v>16899440</v>
      </c>
    </row>
    <row r="525" spans="1:10" ht="22.5">
      <c r="A525" s="22" t="s">
        <v>4343</v>
      </c>
      <c r="B525" s="26" t="s">
        <v>9804</v>
      </c>
      <c r="C525" s="63">
        <v>111600700</v>
      </c>
      <c r="D525" s="63">
        <v>2.9</v>
      </c>
      <c r="E525" s="577">
        <v>5.5</v>
      </c>
      <c r="F525" s="569" t="s">
        <v>1790</v>
      </c>
      <c r="G525" s="528">
        <v>8613000</v>
      </c>
      <c r="H525" s="569">
        <v>1</v>
      </c>
      <c r="I525" s="569" t="s">
        <v>1791</v>
      </c>
      <c r="J525" s="533">
        <v>13400320</v>
      </c>
    </row>
    <row r="526" spans="1:10" ht="25.5">
      <c r="A526" s="22" t="s">
        <v>9805</v>
      </c>
      <c r="B526" s="26" t="s">
        <v>9806</v>
      </c>
      <c r="C526" s="63">
        <v>111600800</v>
      </c>
      <c r="D526" s="63">
        <v>7.4</v>
      </c>
      <c r="E526" s="577">
        <v>5</v>
      </c>
      <c r="F526" s="569" t="s">
        <v>1790</v>
      </c>
      <c r="G526" s="528">
        <v>19980000</v>
      </c>
      <c r="H526" s="569">
        <v>1</v>
      </c>
      <c r="I526" s="569" t="s">
        <v>1791</v>
      </c>
      <c r="J526" s="533">
        <v>31085920</v>
      </c>
    </row>
    <row r="527" spans="1:10" ht="22.5">
      <c r="A527" s="22" t="s">
        <v>9800</v>
      </c>
      <c r="B527" s="26" t="s">
        <v>1166</v>
      </c>
      <c r="C527" s="63">
        <v>111600900</v>
      </c>
      <c r="D527" s="63">
        <v>8.6999999999999993</v>
      </c>
      <c r="E527" s="577">
        <v>5</v>
      </c>
      <c r="F527" s="569" t="s">
        <v>1790</v>
      </c>
      <c r="G527" s="528">
        <v>23490000</v>
      </c>
      <c r="H527" s="569">
        <v>1</v>
      </c>
      <c r="I527" s="569" t="s">
        <v>1791</v>
      </c>
      <c r="J527" s="533">
        <v>36546960</v>
      </c>
    </row>
    <row r="528" spans="1:10" ht="22.5">
      <c r="A528" s="22" t="s">
        <v>9800</v>
      </c>
      <c r="B528" s="26" t="s">
        <v>9807</v>
      </c>
      <c r="C528" s="63">
        <v>111601000</v>
      </c>
      <c r="D528" s="63">
        <v>4</v>
      </c>
      <c r="E528" s="577">
        <v>5</v>
      </c>
      <c r="F528" s="569" t="s">
        <v>1790</v>
      </c>
      <c r="G528" s="528">
        <v>10800000</v>
      </c>
      <c r="H528" s="569">
        <v>1</v>
      </c>
      <c r="I528" s="569" t="s">
        <v>1791</v>
      </c>
      <c r="J528" s="533">
        <v>16803200</v>
      </c>
    </row>
    <row r="529" spans="1:10" ht="22.5">
      <c r="A529" s="22" t="s">
        <v>9800</v>
      </c>
      <c r="B529" s="26" t="s">
        <v>9808</v>
      </c>
      <c r="C529" s="63">
        <v>111601100</v>
      </c>
      <c r="D529" s="63">
        <v>3</v>
      </c>
      <c r="E529" s="577">
        <v>5</v>
      </c>
      <c r="F529" s="569" t="s">
        <v>1790</v>
      </c>
      <c r="G529" s="528">
        <v>8100000</v>
      </c>
      <c r="H529" s="569">
        <v>1</v>
      </c>
      <c r="I529" s="569" t="s">
        <v>1791</v>
      </c>
      <c r="J529" s="533">
        <v>12602400</v>
      </c>
    </row>
    <row r="530" spans="1:10" ht="22.5">
      <c r="A530" s="22" t="s">
        <v>9800</v>
      </c>
      <c r="B530" s="26" t="s">
        <v>1738</v>
      </c>
      <c r="C530" s="63">
        <v>111601300</v>
      </c>
      <c r="D530" s="63">
        <v>4.2</v>
      </c>
      <c r="E530" s="577">
        <v>5.5</v>
      </c>
      <c r="F530" s="569" t="s">
        <v>1790</v>
      </c>
      <c r="G530" s="528">
        <v>10692000</v>
      </c>
      <c r="H530" s="569">
        <v>1</v>
      </c>
      <c r="I530" s="569" t="s">
        <v>1791</v>
      </c>
      <c r="J530" s="533">
        <v>17625360</v>
      </c>
    </row>
    <row r="531" spans="1:10" ht="22.5">
      <c r="A531" s="22" t="s">
        <v>9800</v>
      </c>
      <c r="B531" s="26" t="s">
        <v>9809</v>
      </c>
      <c r="C531" s="63">
        <v>111601400</v>
      </c>
      <c r="D531" s="63">
        <v>4.8</v>
      </c>
      <c r="E531" s="577">
        <v>5</v>
      </c>
      <c r="F531" s="569" t="s">
        <v>1790</v>
      </c>
      <c r="G531" s="528">
        <v>12420000</v>
      </c>
      <c r="H531" s="569">
        <v>1</v>
      </c>
      <c r="I531" s="569" t="s">
        <v>1791</v>
      </c>
      <c r="J531" s="533">
        <v>19623840</v>
      </c>
    </row>
    <row r="532" spans="1:10" ht="22.5">
      <c r="A532" s="22" t="s">
        <v>9800</v>
      </c>
      <c r="B532" s="26" t="s">
        <v>4176</v>
      </c>
      <c r="C532" s="63">
        <v>111601500</v>
      </c>
      <c r="D532" s="63">
        <v>4.7</v>
      </c>
      <c r="E532" s="577">
        <v>5</v>
      </c>
      <c r="F532" s="569" t="s">
        <v>1790</v>
      </c>
      <c r="G532" s="528">
        <v>12690000</v>
      </c>
      <c r="H532" s="569">
        <v>1</v>
      </c>
      <c r="I532" s="569" t="s">
        <v>1791</v>
      </c>
      <c r="J532" s="533">
        <v>19743760</v>
      </c>
    </row>
    <row r="533" spans="1:10" ht="25.5">
      <c r="A533" s="22" t="s">
        <v>9800</v>
      </c>
      <c r="B533" s="26" t="s">
        <v>9810</v>
      </c>
      <c r="C533" s="63">
        <v>111601600</v>
      </c>
      <c r="D533" s="63">
        <v>2.2999999999999998</v>
      </c>
      <c r="E533" s="577">
        <v>5</v>
      </c>
      <c r="F533" s="569" t="s">
        <v>1790</v>
      </c>
      <c r="G533" s="528">
        <v>6210000</v>
      </c>
      <c r="H533" s="569">
        <v>1</v>
      </c>
      <c r="I533" s="569" t="s">
        <v>1791</v>
      </c>
      <c r="J533" s="533">
        <v>9661840</v>
      </c>
    </row>
    <row r="534" spans="1:10" ht="38.25">
      <c r="A534" s="22" t="s">
        <v>9800</v>
      </c>
      <c r="B534" s="26" t="s">
        <v>9811</v>
      </c>
      <c r="C534" s="63">
        <v>111601700</v>
      </c>
      <c r="D534" s="63">
        <v>12</v>
      </c>
      <c r="E534" s="577">
        <v>5.5</v>
      </c>
      <c r="F534" s="569" t="s">
        <v>1790</v>
      </c>
      <c r="G534" s="528">
        <v>17820000</v>
      </c>
      <c r="H534" s="569">
        <v>1</v>
      </c>
      <c r="I534" s="569" t="s">
        <v>1791</v>
      </c>
      <c r="J534" s="533">
        <v>37629600</v>
      </c>
    </row>
    <row r="535" spans="1:10" ht="22.5">
      <c r="A535" s="22" t="s">
        <v>9805</v>
      </c>
      <c r="B535" s="26" t="s">
        <v>9812</v>
      </c>
      <c r="C535" s="63">
        <v>111601900</v>
      </c>
      <c r="D535" s="63">
        <v>2.7</v>
      </c>
      <c r="E535" s="577">
        <v>5</v>
      </c>
      <c r="F535" s="569" t="s">
        <v>1790</v>
      </c>
      <c r="G535" s="528">
        <v>7290000</v>
      </c>
      <c r="H535" s="569">
        <v>1</v>
      </c>
      <c r="I535" s="569" t="s">
        <v>1791</v>
      </c>
      <c r="J535" s="533">
        <v>11342160</v>
      </c>
    </row>
    <row r="536" spans="1:10" ht="22.5">
      <c r="A536" s="22" t="s">
        <v>9800</v>
      </c>
      <c r="B536" s="26" t="s">
        <v>9813</v>
      </c>
      <c r="C536" s="63">
        <v>111602000</v>
      </c>
      <c r="D536" s="63">
        <v>1.8</v>
      </c>
      <c r="E536" s="577">
        <v>5</v>
      </c>
      <c r="F536" s="569" t="s">
        <v>1790</v>
      </c>
      <c r="G536" s="528">
        <v>4860000</v>
      </c>
      <c r="H536" s="569">
        <v>1</v>
      </c>
      <c r="I536" s="569" t="s">
        <v>1791</v>
      </c>
      <c r="J536" s="533">
        <v>7561440</v>
      </c>
    </row>
    <row r="537" spans="1:10" ht="22.5">
      <c r="A537" s="22" t="s">
        <v>9800</v>
      </c>
      <c r="B537" s="26" t="s">
        <v>9814</v>
      </c>
      <c r="C537" s="63">
        <v>111602100</v>
      </c>
      <c r="D537" s="63">
        <v>6</v>
      </c>
      <c r="E537" s="577">
        <v>5</v>
      </c>
      <c r="F537" s="569" t="s">
        <v>1790</v>
      </c>
      <c r="G537" s="528">
        <v>16200000</v>
      </c>
      <c r="H537" s="569">
        <v>1</v>
      </c>
      <c r="I537" s="569" t="s">
        <v>1791</v>
      </c>
      <c r="J537" s="533">
        <v>25204800</v>
      </c>
    </row>
    <row r="538" spans="1:10" ht="25.5">
      <c r="A538" s="22" t="s">
        <v>9800</v>
      </c>
      <c r="B538" s="26" t="s">
        <v>9815</v>
      </c>
      <c r="C538" s="63">
        <v>111602200</v>
      </c>
      <c r="D538" s="63">
        <v>3.5</v>
      </c>
      <c r="E538" s="577">
        <v>5.5</v>
      </c>
      <c r="F538" s="569" t="s">
        <v>1790</v>
      </c>
      <c r="G538" s="528">
        <v>10395000</v>
      </c>
      <c r="H538" s="569">
        <v>1</v>
      </c>
      <c r="I538" s="569" t="s">
        <v>1791</v>
      </c>
      <c r="J538" s="533">
        <v>16172800</v>
      </c>
    </row>
    <row r="539" spans="1:10" ht="22.5">
      <c r="A539" s="22" t="s">
        <v>9800</v>
      </c>
      <c r="B539" s="26" t="s">
        <v>9816</v>
      </c>
      <c r="C539" s="63">
        <v>111602300</v>
      </c>
      <c r="D539" s="63">
        <v>9.6</v>
      </c>
      <c r="E539" s="577">
        <v>5</v>
      </c>
      <c r="F539" s="569" t="s">
        <v>1790</v>
      </c>
      <c r="G539" s="528">
        <v>25920000</v>
      </c>
      <c r="H539" s="569">
        <v>2</v>
      </c>
      <c r="I539" s="569" t="s">
        <v>1791</v>
      </c>
      <c r="J539" s="533">
        <v>40327680</v>
      </c>
    </row>
    <row r="540" spans="1:10" ht="22.5">
      <c r="A540" s="22" t="s">
        <v>3375</v>
      </c>
      <c r="B540" s="26" t="s">
        <v>5026</v>
      </c>
      <c r="C540" s="63">
        <v>111602400</v>
      </c>
      <c r="D540" s="63">
        <v>3.1</v>
      </c>
      <c r="E540" s="577">
        <v>5</v>
      </c>
      <c r="F540" s="569" t="s">
        <v>1790</v>
      </c>
      <c r="G540" s="528">
        <v>8370000</v>
      </c>
      <c r="H540" s="569">
        <v>2</v>
      </c>
      <c r="I540" s="569" t="s">
        <v>1791</v>
      </c>
      <c r="J540" s="533">
        <v>13022480</v>
      </c>
    </row>
    <row r="541" spans="1:10" ht="22.5">
      <c r="A541" s="22" t="s">
        <v>3375</v>
      </c>
      <c r="B541" s="26" t="s">
        <v>9817</v>
      </c>
      <c r="C541" s="63">
        <v>111602500</v>
      </c>
      <c r="D541" s="63">
        <v>2.6</v>
      </c>
      <c r="E541" s="577">
        <v>5</v>
      </c>
      <c r="F541" s="569" t="s">
        <v>1790</v>
      </c>
      <c r="G541" s="528">
        <v>7020000</v>
      </c>
      <c r="H541" s="569">
        <v>2</v>
      </c>
      <c r="I541" s="569" t="s">
        <v>1791</v>
      </c>
      <c r="J541" s="533">
        <v>10922080</v>
      </c>
    </row>
    <row r="542" spans="1:10" ht="22.5">
      <c r="A542" s="22" t="s">
        <v>3375</v>
      </c>
      <c r="B542" s="26" t="s">
        <v>9818</v>
      </c>
      <c r="C542" s="63">
        <v>111602600</v>
      </c>
      <c r="D542" s="63">
        <v>3.3</v>
      </c>
      <c r="E542" s="577">
        <v>5</v>
      </c>
      <c r="F542" s="569" t="s">
        <v>1790</v>
      </c>
      <c r="G542" s="528">
        <v>8910000</v>
      </c>
      <c r="H542" s="569">
        <v>2</v>
      </c>
      <c r="I542" s="569" t="s">
        <v>1791</v>
      </c>
      <c r="J542" s="533">
        <v>13862640</v>
      </c>
    </row>
    <row r="543" spans="1:10" ht="25.5">
      <c r="A543" s="22" t="s">
        <v>3375</v>
      </c>
      <c r="B543" s="26" t="s">
        <v>9819</v>
      </c>
      <c r="C543" s="63">
        <v>111602700</v>
      </c>
      <c r="D543" s="63">
        <v>3.2</v>
      </c>
      <c r="E543" s="577">
        <v>5</v>
      </c>
      <c r="F543" s="569" t="s">
        <v>1790</v>
      </c>
      <c r="G543" s="528">
        <v>8640000</v>
      </c>
      <c r="H543" s="569">
        <v>2</v>
      </c>
      <c r="I543" s="569" t="s">
        <v>1791</v>
      </c>
      <c r="J543" s="533">
        <v>13442560</v>
      </c>
    </row>
    <row r="544" spans="1:10" ht="25.5">
      <c r="A544" s="22" t="s">
        <v>9800</v>
      </c>
      <c r="B544" s="26" t="s">
        <v>9820</v>
      </c>
      <c r="C544" s="63">
        <v>111602800</v>
      </c>
      <c r="D544" s="63">
        <v>3.1</v>
      </c>
      <c r="E544" s="577">
        <v>5.5</v>
      </c>
      <c r="F544" s="569" t="s">
        <v>1790</v>
      </c>
      <c r="G544" s="528">
        <v>9207000</v>
      </c>
      <c r="H544" s="569">
        <v>2</v>
      </c>
      <c r="I544" s="569" t="s">
        <v>1791</v>
      </c>
      <c r="J544" s="533">
        <v>14324480</v>
      </c>
    </row>
    <row r="545" spans="1:10" ht="22.5">
      <c r="A545" s="22" t="s">
        <v>9800</v>
      </c>
      <c r="B545" s="26" t="s">
        <v>9821</v>
      </c>
      <c r="C545" s="63">
        <v>111602900</v>
      </c>
      <c r="D545" s="63">
        <v>1.2</v>
      </c>
      <c r="E545" s="577">
        <v>5.5</v>
      </c>
      <c r="F545" s="569" t="s">
        <v>1790</v>
      </c>
      <c r="G545" s="528">
        <v>3267000</v>
      </c>
      <c r="H545" s="569">
        <v>2</v>
      </c>
      <c r="I545" s="569" t="s">
        <v>1791</v>
      </c>
      <c r="J545" s="533">
        <v>5247960</v>
      </c>
    </row>
    <row r="546" spans="1:10" ht="22.5">
      <c r="A546" s="22" t="s">
        <v>9800</v>
      </c>
      <c r="B546" s="26" t="s">
        <v>9822</v>
      </c>
      <c r="C546" s="63">
        <v>111603000</v>
      </c>
      <c r="D546" s="63">
        <v>2.8</v>
      </c>
      <c r="E546" s="577">
        <v>5</v>
      </c>
      <c r="F546" s="569" t="s">
        <v>1790</v>
      </c>
      <c r="G546" s="528">
        <v>7560000</v>
      </c>
      <c r="H546" s="569">
        <v>2</v>
      </c>
      <c r="I546" s="569" t="s">
        <v>1791</v>
      </c>
      <c r="J546" s="533">
        <v>11762240</v>
      </c>
    </row>
    <row r="547" spans="1:10" ht="25.5">
      <c r="A547" s="22" t="s">
        <v>9800</v>
      </c>
      <c r="B547" s="26" t="s">
        <v>9823</v>
      </c>
      <c r="C547" s="63">
        <v>111603100</v>
      </c>
      <c r="D547" s="63">
        <v>3.2</v>
      </c>
      <c r="E547" s="577">
        <v>5</v>
      </c>
      <c r="F547" s="569" t="s">
        <v>1790</v>
      </c>
      <c r="G547" s="528">
        <v>8640000</v>
      </c>
      <c r="H547" s="569">
        <v>2</v>
      </c>
      <c r="I547" s="569" t="s">
        <v>1791</v>
      </c>
      <c r="J547" s="533">
        <v>13442560</v>
      </c>
    </row>
    <row r="548" spans="1:10" ht="25.5">
      <c r="A548" s="22" t="s">
        <v>9800</v>
      </c>
      <c r="B548" s="26" t="s">
        <v>9824</v>
      </c>
      <c r="C548" s="63">
        <v>111603200</v>
      </c>
      <c r="D548" s="63">
        <v>2.2999999999999998</v>
      </c>
      <c r="E548" s="577">
        <v>5</v>
      </c>
      <c r="F548" s="569" t="s">
        <v>1790</v>
      </c>
      <c r="G548" s="528">
        <v>6210000</v>
      </c>
      <c r="H548" s="569">
        <v>2</v>
      </c>
      <c r="I548" s="569" t="s">
        <v>1791</v>
      </c>
      <c r="J548" s="533">
        <v>9661840</v>
      </c>
    </row>
    <row r="549" spans="1:10" ht="22.5">
      <c r="A549" s="22" t="s">
        <v>4343</v>
      </c>
      <c r="B549" s="26" t="s">
        <v>9825</v>
      </c>
      <c r="C549" s="63">
        <v>111603300</v>
      </c>
      <c r="D549" s="63">
        <v>5</v>
      </c>
      <c r="E549" s="577">
        <v>5</v>
      </c>
      <c r="F549" s="569" t="s">
        <v>1790</v>
      </c>
      <c r="G549" s="528">
        <v>11070000</v>
      </c>
      <c r="H549" s="569">
        <v>2</v>
      </c>
      <c r="I549" s="569" t="s">
        <v>1791</v>
      </c>
      <c r="J549" s="533">
        <v>18574000</v>
      </c>
    </row>
    <row r="550" spans="1:10" ht="22.5">
      <c r="A550" s="22" t="s">
        <v>3375</v>
      </c>
      <c r="B550" s="26" t="s">
        <v>9826</v>
      </c>
      <c r="C550" s="63">
        <v>111603400</v>
      </c>
      <c r="D550" s="63">
        <v>2.7</v>
      </c>
      <c r="E550" s="577">
        <v>5.5</v>
      </c>
      <c r="F550" s="569" t="s">
        <v>1790</v>
      </c>
      <c r="G550" s="528">
        <v>8019000</v>
      </c>
      <c r="H550" s="569">
        <v>2</v>
      </c>
      <c r="I550" s="569" t="s">
        <v>1791</v>
      </c>
      <c r="J550" s="533">
        <v>12476160</v>
      </c>
    </row>
    <row r="551" spans="1:10" ht="22.5">
      <c r="A551" s="22" t="s">
        <v>4343</v>
      </c>
      <c r="B551" s="26" t="s">
        <v>9827</v>
      </c>
      <c r="C551" s="63">
        <v>111603500</v>
      </c>
      <c r="D551" s="63">
        <v>2.8</v>
      </c>
      <c r="E551" s="577">
        <v>5</v>
      </c>
      <c r="F551" s="569" t="s">
        <v>1790</v>
      </c>
      <c r="G551" s="528">
        <v>7560000</v>
      </c>
      <c r="H551" s="569">
        <v>2</v>
      </c>
      <c r="I551" s="569" t="s">
        <v>1791</v>
      </c>
      <c r="J551" s="533">
        <v>11762240</v>
      </c>
    </row>
    <row r="552" spans="1:10" ht="22.5">
      <c r="A552" s="22" t="s">
        <v>4343</v>
      </c>
      <c r="B552" s="26" t="s">
        <v>9828</v>
      </c>
      <c r="C552" s="63">
        <v>111603600</v>
      </c>
      <c r="D552" s="63">
        <v>1.8</v>
      </c>
      <c r="E552" s="577">
        <v>5</v>
      </c>
      <c r="F552" s="569" t="s">
        <v>1790</v>
      </c>
      <c r="G552" s="528">
        <v>4860000</v>
      </c>
      <c r="H552" s="569">
        <v>1</v>
      </c>
      <c r="I552" s="569" t="s">
        <v>1791</v>
      </c>
      <c r="J552" s="533">
        <v>7561440</v>
      </c>
    </row>
    <row r="553" spans="1:10" ht="22.5">
      <c r="A553" s="22" t="s">
        <v>3672</v>
      </c>
      <c r="B553" s="26" t="s">
        <v>9829</v>
      </c>
      <c r="C553" s="63">
        <v>111603700</v>
      </c>
      <c r="D553" s="63">
        <v>1.7</v>
      </c>
      <c r="E553" s="577">
        <v>5</v>
      </c>
      <c r="F553" s="569" t="s">
        <v>1790</v>
      </c>
      <c r="G553" s="528">
        <v>4590000</v>
      </c>
      <c r="H553" s="569">
        <v>1</v>
      </c>
      <c r="I553" s="569" t="s">
        <v>1791</v>
      </c>
      <c r="J553" s="533">
        <v>7141360</v>
      </c>
    </row>
    <row r="554" spans="1:10" ht="22.5">
      <c r="A554" s="22" t="s">
        <v>3672</v>
      </c>
      <c r="B554" s="26" t="s">
        <v>9830</v>
      </c>
      <c r="C554" s="63">
        <v>111603800</v>
      </c>
      <c r="D554" s="63">
        <v>5</v>
      </c>
      <c r="E554" s="577">
        <v>5</v>
      </c>
      <c r="F554" s="569" t="s">
        <v>1790</v>
      </c>
      <c r="G554" s="528">
        <v>13500000</v>
      </c>
      <c r="H554" s="569">
        <v>1</v>
      </c>
      <c r="I554" s="569" t="s">
        <v>1791</v>
      </c>
      <c r="J554" s="533">
        <v>21004000</v>
      </c>
    </row>
    <row r="555" spans="1:10" ht="25.5">
      <c r="A555" s="22" t="s">
        <v>3672</v>
      </c>
      <c r="B555" s="26" t="s">
        <v>9831</v>
      </c>
      <c r="C555" s="63">
        <v>111604000</v>
      </c>
      <c r="D555" s="63">
        <v>0.5</v>
      </c>
      <c r="E555" s="577">
        <v>5</v>
      </c>
      <c r="F555" s="569" t="s">
        <v>1790</v>
      </c>
      <c r="G555" s="528">
        <v>1350000</v>
      </c>
      <c r="H555" s="569">
        <v>1</v>
      </c>
      <c r="I555" s="569" t="s">
        <v>1791</v>
      </c>
      <c r="J555" s="533">
        <v>2100400</v>
      </c>
    </row>
    <row r="556" spans="1:10" ht="22.5">
      <c r="A556" s="22" t="s">
        <v>9805</v>
      </c>
      <c r="B556" s="26" t="s">
        <v>9832</v>
      </c>
      <c r="C556" s="63">
        <v>111604100</v>
      </c>
      <c r="D556" s="63">
        <v>1.8</v>
      </c>
      <c r="E556" s="577">
        <v>5</v>
      </c>
      <c r="F556" s="569" t="s">
        <v>1790</v>
      </c>
      <c r="G556" s="528">
        <v>4050000</v>
      </c>
      <c r="H556" s="569">
        <v>1</v>
      </c>
      <c r="I556" s="569" t="s">
        <v>1791</v>
      </c>
      <c r="J556" s="533">
        <v>6751440</v>
      </c>
    </row>
    <row r="557" spans="1:10" ht="22.5">
      <c r="A557" s="22" t="s">
        <v>9805</v>
      </c>
      <c r="B557" s="26" t="s">
        <v>9833</v>
      </c>
      <c r="C557" s="63">
        <v>111604200</v>
      </c>
      <c r="D557" s="63">
        <v>5.8</v>
      </c>
      <c r="E557" s="577">
        <v>5.5</v>
      </c>
      <c r="F557" s="569" t="s">
        <v>1790</v>
      </c>
      <c r="G557" s="528">
        <v>16632000</v>
      </c>
      <c r="H557" s="569">
        <v>1</v>
      </c>
      <c r="I557" s="569" t="s">
        <v>1791</v>
      </c>
      <c r="J557" s="533">
        <v>26206640</v>
      </c>
    </row>
    <row r="558" spans="1:10" ht="22.5">
      <c r="A558" s="22" t="s">
        <v>9805</v>
      </c>
      <c r="B558" s="26" t="s">
        <v>9834</v>
      </c>
      <c r="C558" s="63">
        <v>111604300</v>
      </c>
      <c r="D558" s="63">
        <v>0.4</v>
      </c>
      <c r="E558" s="577">
        <v>5</v>
      </c>
      <c r="F558" s="569" t="s">
        <v>1790</v>
      </c>
      <c r="G558" s="528">
        <v>1080000</v>
      </c>
      <c r="H558" s="569">
        <v>1</v>
      </c>
      <c r="I558" s="569" t="s">
        <v>1791</v>
      </c>
      <c r="J558" s="533">
        <v>1680320</v>
      </c>
    </row>
    <row r="559" spans="1:10" ht="22.5">
      <c r="A559" s="22" t="s">
        <v>9805</v>
      </c>
      <c r="B559" s="26" t="s">
        <v>9835</v>
      </c>
      <c r="C559" s="63">
        <v>111604400</v>
      </c>
      <c r="D559" s="63">
        <v>1.02</v>
      </c>
      <c r="E559" s="577">
        <v>5</v>
      </c>
      <c r="F559" s="569" t="s">
        <v>1790</v>
      </c>
      <c r="G559" s="528">
        <v>2754000</v>
      </c>
      <c r="H559" s="569">
        <v>1</v>
      </c>
      <c r="I559" s="569" t="s">
        <v>1791</v>
      </c>
      <c r="J559" s="533">
        <v>4284816</v>
      </c>
    </row>
    <row r="560" spans="1:10" ht="25.5">
      <c r="A560" s="22" t="s">
        <v>9805</v>
      </c>
      <c r="B560" s="26" t="s">
        <v>9836</v>
      </c>
      <c r="C560" s="63">
        <v>111604500</v>
      </c>
      <c r="D560" s="63">
        <v>2.6</v>
      </c>
      <c r="E560" s="577">
        <v>5.5</v>
      </c>
      <c r="F560" s="569" t="s">
        <v>1790</v>
      </c>
      <c r="G560" s="528">
        <v>7722000</v>
      </c>
      <c r="H560" s="569">
        <v>1</v>
      </c>
      <c r="I560" s="569" t="s">
        <v>1791</v>
      </c>
      <c r="J560" s="533">
        <v>12014080</v>
      </c>
    </row>
    <row r="561" spans="1:10" ht="22.5">
      <c r="A561" s="22" t="s">
        <v>9800</v>
      </c>
      <c r="B561" s="26" t="s">
        <v>9837</v>
      </c>
      <c r="C561" s="63">
        <v>111604600</v>
      </c>
      <c r="D561" s="63">
        <v>6.9</v>
      </c>
      <c r="E561" s="577">
        <v>5</v>
      </c>
      <c r="F561" s="569" t="s">
        <v>1790</v>
      </c>
      <c r="G561" s="528">
        <v>18630000</v>
      </c>
      <c r="H561" s="569">
        <v>1</v>
      </c>
      <c r="I561" s="569" t="s">
        <v>1791</v>
      </c>
      <c r="J561" s="533">
        <v>28985520</v>
      </c>
    </row>
    <row r="562" spans="1:10" ht="22.5">
      <c r="A562" s="22" t="s">
        <v>9800</v>
      </c>
      <c r="B562" s="26" t="s">
        <v>9838</v>
      </c>
      <c r="C562" s="63">
        <v>111604700</v>
      </c>
      <c r="D562" s="63">
        <v>3.4</v>
      </c>
      <c r="E562" s="577">
        <v>5</v>
      </c>
      <c r="F562" s="569" t="s">
        <v>1790</v>
      </c>
      <c r="G562" s="528">
        <v>9180000</v>
      </c>
      <c r="H562" s="569">
        <v>1</v>
      </c>
      <c r="I562" s="569" t="s">
        <v>1791</v>
      </c>
      <c r="J562" s="533">
        <v>14282720</v>
      </c>
    </row>
    <row r="563" spans="1:10" ht="25.5">
      <c r="A563" s="22" t="s">
        <v>9800</v>
      </c>
      <c r="B563" s="26" t="s">
        <v>9839</v>
      </c>
      <c r="C563" s="63">
        <v>111604800</v>
      </c>
      <c r="D563" s="63">
        <v>2.9</v>
      </c>
      <c r="E563" s="577">
        <v>5</v>
      </c>
      <c r="F563" s="569" t="s">
        <v>1790</v>
      </c>
      <c r="G563" s="528">
        <v>7830000</v>
      </c>
      <c r="H563" s="569">
        <v>1</v>
      </c>
      <c r="I563" s="569" t="s">
        <v>1791</v>
      </c>
      <c r="J563" s="533">
        <v>12182320</v>
      </c>
    </row>
    <row r="564" spans="1:10" ht="22.5">
      <c r="A564" s="22" t="s">
        <v>9805</v>
      </c>
      <c r="B564" s="26" t="s">
        <v>9840</v>
      </c>
      <c r="C564" s="63">
        <v>111604900</v>
      </c>
      <c r="D564" s="63">
        <v>3.5</v>
      </c>
      <c r="E564" s="577">
        <v>5</v>
      </c>
      <c r="F564" s="569" t="s">
        <v>1790</v>
      </c>
      <c r="G564" s="528">
        <v>9450000</v>
      </c>
      <c r="H564" s="569">
        <v>1</v>
      </c>
      <c r="I564" s="569" t="s">
        <v>1791</v>
      </c>
      <c r="J564" s="533">
        <v>14702800</v>
      </c>
    </row>
    <row r="565" spans="1:10" ht="22.5">
      <c r="A565" s="22" t="s">
        <v>3375</v>
      </c>
      <c r="B565" s="26" t="s">
        <v>9841</v>
      </c>
      <c r="C565" s="63">
        <v>111605000</v>
      </c>
      <c r="D565" s="63">
        <v>2</v>
      </c>
      <c r="E565" s="577">
        <v>5</v>
      </c>
      <c r="F565" s="569" t="s">
        <v>1790</v>
      </c>
      <c r="G565" s="528">
        <v>5400000</v>
      </c>
      <c r="H565" s="569">
        <v>1</v>
      </c>
      <c r="I565" s="569" t="s">
        <v>1791</v>
      </c>
      <c r="J565" s="533">
        <v>8401600</v>
      </c>
    </row>
    <row r="566" spans="1:10" ht="22.5">
      <c r="A566" s="22" t="s">
        <v>9805</v>
      </c>
      <c r="B566" s="26" t="s">
        <v>9842</v>
      </c>
      <c r="C566" s="63">
        <v>111605200</v>
      </c>
      <c r="D566" s="63">
        <v>1.7</v>
      </c>
      <c r="E566" s="577">
        <v>5</v>
      </c>
      <c r="F566" s="569" t="s">
        <v>1790</v>
      </c>
      <c r="G566" s="528">
        <v>4590000</v>
      </c>
      <c r="H566" s="569">
        <v>1</v>
      </c>
      <c r="I566" s="569" t="s">
        <v>1791</v>
      </c>
      <c r="J566" s="533">
        <v>7141360</v>
      </c>
    </row>
    <row r="567" spans="1:10" ht="22.5">
      <c r="A567" s="22" t="s">
        <v>9805</v>
      </c>
      <c r="B567" s="26" t="s">
        <v>9843</v>
      </c>
      <c r="C567" s="63">
        <v>111605500</v>
      </c>
      <c r="D567" s="63">
        <v>0.3</v>
      </c>
      <c r="E567" s="577">
        <v>5</v>
      </c>
      <c r="F567" s="569" t="s">
        <v>1790</v>
      </c>
      <c r="G567" s="528">
        <v>810000</v>
      </c>
      <c r="H567" s="569">
        <v>1</v>
      </c>
      <c r="I567" s="569" t="s">
        <v>1791</v>
      </c>
      <c r="J567" s="533">
        <v>1260240</v>
      </c>
    </row>
    <row r="568" spans="1:10" ht="22.5">
      <c r="A568" s="22" t="s">
        <v>4343</v>
      </c>
      <c r="B568" s="26" t="s">
        <v>9844</v>
      </c>
      <c r="C568" s="63">
        <v>111605700</v>
      </c>
      <c r="D568" s="63">
        <v>5.9</v>
      </c>
      <c r="E568" s="577">
        <v>5</v>
      </c>
      <c r="F568" s="569" t="s">
        <v>1790</v>
      </c>
      <c r="G568" s="528">
        <v>11880000</v>
      </c>
      <c r="H568" s="569">
        <v>1</v>
      </c>
      <c r="I568" s="569" t="s">
        <v>1791</v>
      </c>
      <c r="J568" s="533">
        <v>20734720</v>
      </c>
    </row>
    <row r="569" spans="1:10" ht="22.5">
      <c r="A569" s="22" t="s">
        <v>9800</v>
      </c>
      <c r="B569" s="26" t="s">
        <v>9801</v>
      </c>
      <c r="C569" s="63">
        <v>111605800</v>
      </c>
      <c r="D569" s="63">
        <v>1.7</v>
      </c>
      <c r="E569" s="577">
        <v>5</v>
      </c>
      <c r="F569" s="569" t="s">
        <v>1790</v>
      </c>
      <c r="G569" s="528">
        <v>4590000</v>
      </c>
      <c r="H569" s="569">
        <v>1</v>
      </c>
      <c r="I569" s="569" t="s">
        <v>1791</v>
      </c>
      <c r="J569" s="533">
        <v>7141360</v>
      </c>
    </row>
    <row r="570" spans="1:10" ht="22.5">
      <c r="A570" s="22" t="s">
        <v>4343</v>
      </c>
      <c r="B570" s="26" t="s">
        <v>9845</v>
      </c>
      <c r="C570" s="63">
        <v>111606000</v>
      </c>
      <c r="D570" s="63">
        <v>4.3</v>
      </c>
      <c r="E570" s="577">
        <v>5</v>
      </c>
      <c r="F570" s="569" t="s">
        <v>1790</v>
      </c>
      <c r="G570" s="528">
        <v>11610000</v>
      </c>
      <c r="H570" s="569">
        <v>1</v>
      </c>
      <c r="I570" s="569" t="s">
        <v>1791</v>
      </c>
      <c r="J570" s="533">
        <v>18063440</v>
      </c>
    </row>
    <row r="571" spans="1:10" ht="25.5">
      <c r="A571" s="22" t="s">
        <v>9800</v>
      </c>
      <c r="B571" s="26" t="s">
        <v>9846</v>
      </c>
      <c r="C571" s="63">
        <v>111606200</v>
      </c>
      <c r="D571" s="63">
        <v>0.7</v>
      </c>
      <c r="E571" s="577">
        <v>5</v>
      </c>
      <c r="F571" s="569" t="s">
        <v>1790</v>
      </c>
      <c r="G571" s="528">
        <v>1080000</v>
      </c>
      <c r="H571" s="569">
        <v>1</v>
      </c>
      <c r="I571" s="569" t="s">
        <v>1791</v>
      </c>
      <c r="J571" s="533">
        <v>2130560</v>
      </c>
    </row>
    <row r="572" spans="1:10" ht="22.5">
      <c r="A572" s="22" t="s">
        <v>9805</v>
      </c>
      <c r="B572" s="26" t="s">
        <v>9847</v>
      </c>
      <c r="C572" s="63">
        <v>111606400</v>
      </c>
      <c r="D572" s="63">
        <v>2.7</v>
      </c>
      <c r="E572" s="577">
        <v>5</v>
      </c>
      <c r="F572" s="569" t="s">
        <v>1790</v>
      </c>
      <c r="G572" s="528">
        <v>7290000</v>
      </c>
      <c r="H572" s="569">
        <v>1</v>
      </c>
      <c r="I572" s="569" t="s">
        <v>1791</v>
      </c>
      <c r="J572" s="533">
        <v>11342160</v>
      </c>
    </row>
    <row r="573" spans="1:10" ht="25.5">
      <c r="A573" s="22" t="s">
        <v>9800</v>
      </c>
      <c r="B573" s="26" t="s">
        <v>9848</v>
      </c>
      <c r="C573" s="63">
        <v>111606500</v>
      </c>
      <c r="D573" s="63">
        <v>0.3</v>
      </c>
      <c r="E573" s="577">
        <v>5</v>
      </c>
      <c r="F573" s="569" t="s">
        <v>1790</v>
      </c>
      <c r="G573" s="528">
        <v>810000</v>
      </c>
      <c r="H573" s="569">
        <v>1</v>
      </c>
      <c r="I573" s="569" t="s">
        <v>1791</v>
      </c>
      <c r="J573" s="533">
        <v>1260240</v>
      </c>
    </row>
    <row r="574" spans="1:10" ht="22.5">
      <c r="A574" s="22" t="s">
        <v>9800</v>
      </c>
      <c r="B574" s="26" t="s">
        <v>9849</v>
      </c>
      <c r="C574" s="63">
        <v>111606600</v>
      </c>
      <c r="D574" s="63">
        <v>2.7</v>
      </c>
      <c r="E574" s="577">
        <v>5</v>
      </c>
      <c r="F574" s="569" t="s">
        <v>1790</v>
      </c>
      <c r="G574" s="528">
        <v>7290000</v>
      </c>
      <c r="H574" s="569">
        <v>1</v>
      </c>
      <c r="I574" s="569" t="s">
        <v>1791</v>
      </c>
      <c r="J574" s="533">
        <v>11342160</v>
      </c>
    </row>
    <row r="575" spans="1:10" ht="25.5">
      <c r="A575" s="22" t="s">
        <v>4343</v>
      </c>
      <c r="B575" s="26" t="s">
        <v>9850</v>
      </c>
      <c r="C575" s="63">
        <v>111606700</v>
      </c>
      <c r="D575" s="63">
        <v>4</v>
      </c>
      <c r="E575" s="577">
        <v>5</v>
      </c>
      <c r="F575" s="569" t="s">
        <v>1790</v>
      </c>
      <c r="G575" s="528">
        <v>10800000</v>
      </c>
      <c r="H575" s="569">
        <v>1</v>
      </c>
      <c r="I575" s="569" t="s">
        <v>1791</v>
      </c>
      <c r="J575" s="533">
        <v>16803200</v>
      </c>
    </row>
    <row r="576" spans="1:10" ht="22.5">
      <c r="A576" s="22" t="s">
        <v>9800</v>
      </c>
      <c r="B576" s="26" t="s">
        <v>9851</v>
      </c>
      <c r="C576" s="63">
        <v>111606800</v>
      </c>
      <c r="D576" s="63">
        <v>1.1000000000000001</v>
      </c>
      <c r="E576" s="577">
        <v>5</v>
      </c>
      <c r="F576" s="569" t="s">
        <v>1790</v>
      </c>
      <c r="G576" s="528">
        <v>2970000</v>
      </c>
      <c r="H576" s="569">
        <v>1</v>
      </c>
      <c r="I576" s="569" t="s">
        <v>1791</v>
      </c>
      <c r="J576" s="533">
        <v>4620880</v>
      </c>
    </row>
    <row r="577" spans="1:10" ht="22.5">
      <c r="A577" s="22" t="s">
        <v>9800</v>
      </c>
      <c r="B577" s="26" t="s">
        <v>9851</v>
      </c>
      <c r="C577" s="63">
        <v>111606900</v>
      </c>
      <c r="D577" s="63">
        <v>0.6</v>
      </c>
      <c r="E577" s="577">
        <v>5</v>
      </c>
      <c r="F577" s="569" t="s">
        <v>1790</v>
      </c>
      <c r="G577" s="528">
        <v>1620000</v>
      </c>
      <c r="H577" s="569">
        <v>1</v>
      </c>
      <c r="I577" s="569" t="s">
        <v>1791</v>
      </c>
      <c r="J577" s="533">
        <v>2520480</v>
      </c>
    </row>
    <row r="578" spans="1:10" ht="25.5">
      <c r="A578" s="22" t="s">
        <v>9800</v>
      </c>
      <c r="B578" s="26" t="s">
        <v>9852</v>
      </c>
      <c r="C578" s="63">
        <v>111607000</v>
      </c>
      <c r="D578" s="63">
        <v>1.1000000000000001</v>
      </c>
      <c r="E578" s="577">
        <v>5</v>
      </c>
      <c r="F578" s="569" t="s">
        <v>1790</v>
      </c>
      <c r="G578" s="528">
        <v>2970000</v>
      </c>
      <c r="H578" s="569">
        <v>1</v>
      </c>
      <c r="I578" s="569" t="s">
        <v>1791</v>
      </c>
      <c r="J578" s="533">
        <v>4620880</v>
      </c>
    </row>
    <row r="579" spans="1:10" ht="25.5">
      <c r="A579" s="22" t="s">
        <v>9800</v>
      </c>
      <c r="B579" s="26" t="s">
        <v>9853</v>
      </c>
      <c r="C579" s="63">
        <v>111607100</v>
      </c>
      <c r="D579" s="63">
        <v>1.4</v>
      </c>
      <c r="E579" s="577">
        <v>5</v>
      </c>
      <c r="F579" s="569" t="s">
        <v>1790</v>
      </c>
      <c r="G579" s="528">
        <v>3780000</v>
      </c>
      <c r="H579" s="569">
        <v>1</v>
      </c>
      <c r="I579" s="569" t="s">
        <v>1791</v>
      </c>
      <c r="J579" s="533">
        <v>5881120</v>
      </c>
    </row>
    <row r="580" spans="1:10" ht="25.5">
      <c r="A580" s="22" t="s">
        <v>4343</v>
      </c>
      <c r="B580" s="26" t="s">
        <v>9854</v>
      </c>
      <c r="C580" s="63">
        <v>111607200</v>
      </c>
      <c r="D580" s="63">
        <v>2.2999999999999998</v>
      </c>
      <c r="E580" s="577">
        <v>5</v>
      </c>
      <c r="F580" s="569" t="s">
        <v>1790</v>
      </c>
      <c r="G580" s="528">
        <v>6210000</v>
      </c>
      <c r="H580" s="569">
        <v>2</v>
      </c>
      <c r="I580" s="569" t="s">
        <v>1791</v>
      </c>
      <c r="J580" s="533">
        <v>9661840</v>
      </c>
    </row>
    <row r="581" spans="1:10" ht="22.5">
      <c r="A581" s="22" t="s">
        <v>9805</v>
      </c>
      <c r="B581" s="26" t="s">
        <v>9855</v>
      </c>
      <c r="C581" s="63">
        <v>111607300</v>
      </c>
      <c r="D581" s="63">
        <v>2</v>
      </c>
      <c r="E581" s="577">
        <v>5</v>
      </c>
      <c r="F581" s="569" t="s">
        <v>1790</v>
      </c>
      <c r="G581" s="528">
        <v>5400000</v>
      </c>
      <c r="H581" s="569">
        <v>2</v>
      </c>
      <c r="I581" s="569" t="s">
        <v>1791</v>
      </c>
      <c r="J581" s="533">
        <v>8401600</v>
      </c>
    </row>
    <row r="582" spans="1:10" ht="25.5">
      <c r="A582" s="22" t="s">
        <v>4343</v>
      </c>
      <c r="B582" s="26" t="s">
        <v>9856</v>
      </c>
      <c r="C582" s="63">
        <v>111607400</v>
      </c>
      <c r="D582" s="63">
        <v>1.6</v>
      </c>
      <c r="E582" s="577">
        <v>5</v>
      </c>
      <c r="F582" s="569" t="s">
        <v>1790</v>
      </c>
      <c r="G582" s="528">
        <v>4320000</v>
      </c>
      <c r="H582" s="569">
        <v>2</v>
      </c>
      <c r="I582" s="569" t="s">
        <v>1791</v>
      </c>
      <c r="J582" s="533">
        <v>6721280</v>
      </c>
    </row>
    <row r="583" spans="1:10" ht="25.5">
      <c r="A583" s="22" t="s">
        <v>9805</v>
      </c>
      <c r="B583" s="26" t="s">
        <v>9857</v>
      </c>
      <c r="C583" s="63">
        <v>111607500</v>
      </c>
      <c r="D583" s="63">
        <v>1.4</v>
      </c>
      <c r="E583" s="577">
        <v>5</v>
      </c>
      <c r="F583" s="569" t="s">
        <v>1790</v>
      </c>
      <c r="G583" s="528">
        <v>3780000</v>
      </c>
      <c r="H583" s="569">
        <v>2</v>
      </c>
      <c r="I583" s="569" t="s">
        <v>1791</v>
      </c>
      <c r="J583" s="533">
        <v>5881120</v>
      </c>
    </row>
    <row r="584" spans="1:10" ht="25.5">
      <c r="A584" s="22" t="s">
        <v>4343</v>
      </c>
      <c r="B584" s="26" t="s">
        <v>9858</v>
      </c>
      <c r="C584" s="63">
        <v>111607600</v>
      </c>
      <c r="D584" s="63">
        <v>1.9</v>
      </c>
      <c r="E584" s="577">
        <v>5</v>
      </c>
      <c r="F584" s="569" t="s">
        <v>1790</v>
      </c>
      <c r="G584" s="528">
        <v>4455000</v>
      </c>
      <c r="H584" s="569">
        <v>2</v>
      </c>
      <c r="I584" s="569" t="s">
        <v>1791</v>
      </c>
      <c r="J584" s="533">
        <v>7306520</v>
      </c>
    </row>
    <row r="585" spans="1:10" ht="25.5">
      <c r="A585" s="22" t="s">
        <v>3375</v>
      </c>
      <c r="B585" s="26" t="s">
        <v>9859</v>
      </c>
      <c r="C585" s="63">
        <v>111607700</v>
      </c>
      <c r="D585" s="63">
        <v>1.2</v>
      </c>
      <c r="E585" s="577">
        <v>5</v>
      </c>
      <c r="F585" s="569" t="s">
        <v>1790</v>
      </c>
      <c r="G585" s="528">
        <v>3240000</v>
      </c>
      <c r="H585" s="569">
        <v>2</v>
      </c>
      <c r="I585" s="569" t="s">
        <v>1791</v>
      </c>
      <c r="J585" s="533">
        <v>5040960</v>
      </c>
    </row>
    <row r="586" spans="1:10" ht="25.5">
      <c r="A586" s="22" t="s">
        <v>9805</v>
      </c>
      <c r="B586" s="26" t="s">
        <v>9860</v>
      </c>
      <c r="C586" s="63">
        <v>111607800</v>
      </c>
      <c r="D586" s="63">
        <v>1.3</v>
      </c>
      <c r="E586" s="577">
        <v>5</v>
      </c>
      <c r="F586" s="569" t="s">
        <v>1790</v>
      </c>
      <c r="G586" s="528">
        <v>3510000</v>
      </c>
      <c r="H586" s="569">
        <v>2</v>
      </c>
      <c r="I586" s="569" t="s">
        <v>1791</v>
      </c>
      <c r="J586" s="533">
        <v>5461040</v>
      </c>
    </row>
    <row r="587" spans="1:10" ht="25.5">
      <c r="A587" s="22" t="s">
        <v>3672</v>
      </c>
      <c r="B587" s="26" t="s">
        <v>9861</v>
      </c>
      <c r="C587" s="63">
        <v>111607900</v>
      </c>
      <c r="D587" s="63">
        <v>1.1000000000000001</v>
      </c>
      <c r="E587" s="577">
        <v>5</v>
      </c>
      <c r="F587" s="569" t="s">
        <v>1790</v>
      </c>
      <c r="G587" s="528">
        <v>2970000</v>
      </c>
      <c r="H587" s="569">
        <v>2</v>
      </c>
      <c r="I587" s="569" t="s">
        <v>1791</v>
      </c>
      <c r="J587" s="533">
        <v>4620880</v>
      </c>
    </row>
    <row r="588" spans="1:10" ht="22.5">
      <c r="A588" s="22" t="s">
        <v>3375</v>
      </c>
      <c r="B588" s="26" t="s">
        <v>9862</v>
      </c>
      <c r="C588" s="63">
        <v>111608000</v>
      </c>
      <c r="D588" s="63">
        <v>1</v>
      </c>
      <c r="E588" s="577">
        <v>5</v>
      </c>
      <c r="F588" s="569" t="s">
        <v>1790</v>
      </c>
      <c r="G588" s="528">
        <v>2700000</v>
      </c>
      <c r="H588" s="569">
        <v>2</v>
      </c>
      <c r="I588" s="569" t="s">
        <v>1791</v>
      </c>
      <c r="J588" s="533">
        <v>4200800</v>
      </c>
    </row>
    <row r="589" spans="1:10" ht="22.5">
      <c r="A589" s="22" t="s">
        <v>4343</v>
      </c>
      <c r="B589" s="26" t="s">
        <v>9863</v>
      </c>
      <c r="C589" s="63">
        <v>111608100</v>
      </c>
      <c r="D589" s="63">
        <v>1</v>
      </c>
      <c r="E589" s="577">
        <v>5</v>
      </c>
      <c r="F589" s="569" t="s">
        <v>1790</v>
      </c>
      <c r="G589" s="528">
        <v>2700000</v>
      </c>
      <c r="H589" s="569">
        <v>2</v>
      </c>
      <c r="I589" s="569" t="s">
        <v>1791</v>
      </c>
      <c r="J589" s="533">
        <v>4200800</v>
      </c>
    </row>
    <row r="590" spans="1:10" ht="22.5">
      <c r="A590" s="22" t="s">
        <v>9805</v>
      </c>
      <c r="B590" s="26" t="s">
        <v>9864</v>
      </c>
      <c r="C590" s="63">
        <v>111608300</v>
      </c>
      <c r="D590" s="63">
        <v>0.9</v>
      </c>
      <c r="E590" s="577">
        <v>5</v>
      </c>
      <c r="F590" s="569" t="s">
        <v>1790</v>
      </c>
      <c r="G590" s="528">
        <v>2430000</v>
      </c>
      <c r="H590" s="569">
        <v>2</v>
      </c>
      <c r="I590" s="569" t="s">
        <v>1791</v>
      </c>
      <c r="J590" s="533">
        <v>3780720</v>
      </c>
    </row>
    <row r="591" spans="1:10" ht="22.5">
      <c r="A591" s="22" t="s">
        <v>9865</v>
      </c>
      <c r="B591" s="26" t="s">
        <v>9866</v>
      </c>
      <c r="C591" s="63">
        <v>111608400</v>
      </c>
      <c r="D591" s="63">
        <v>0.9</v>
      </c>
      <c r="E591" s="577">
        <v>5</v>
      </c>
      <c r="F591" s="569" t="s">
        <v>1790</v>
      </c>
      <c r="G591" s="528">
        <v>2430000</v>
      </c>
      <c r="H591" s="569">
        <v>2</v>
      </c>
      <c r="I591" s="569" t="s">
        <v>1791</v>
      </c>
      <c r="J591" s="533">
        <v>3780720</v>
      </c>
    </row>
    <row r="592" spans="1:10" ht="22.5">
      <c r="A592" s="22" t="s">
        <v>9865</v>
      </c>
      <c r="B592" s="26" t="s">
        <v>9867</v>
      </c>
      <c r="C592" s="63">
        <v>111608500</v>
      </c>
      <c r="D592" s="63">
        <v>0.7</v>
      </c>
      <c r="E592" s="577">
        <v>5</v>
      </c>
      <c r="F592" s="569" t="s">
        <v>1790</v>
      </c>
      <c r="G592" s="528">
        <v>1890000</v>
      </c>
      <c r="H592" s="569">
        <v>2</v>
      </c>
      <c r="I592" s="569" t="s">
        <v>1791</v>
      </c>
      <c r="J592" s="533">
        <v>2940560</v>
      </c>
    </row>
    <row r="593" spans="1:10" ht="22.5">
      <c r="A593" s="22" t="s">
        <v>3672</v>
      </c>
      <c r="B593" s="26" t="s">
        <v>9868</v>
      </c>
      <c r="C593" s="63">
        <v>111608600</v>
      </c>
      <c r="D593" s="63">
        <v>0.8</v>
      </c>
      <c r="E593" s="577">
        <v>5.5</v>
      </c>
      <c r="F593" s="569" t="s">
        <v>1790</v>
      </c>
      <c r="G593" s="528">
        <v>2376000</v>
      </c>
      <c r="H593" s="569">
        <v>2</v>
      </c>
      <c r="I593" s="569" t="s">
        <v>1791</v>
      </c>
      <c r="J593" s="533">
        <v>3696640</v>
      </c>
    </row>
    <row r="594" spans="1:10" ht="25.5">
      <c r="A594" s="22" t="s">
        <v>9865</v>
      </c>
      <c r="B594" s="26" t="s">
        <v>9869</v>
      </c>
      <c r="C594" s="63">
        <v>111608700</v>
      </c>
      <c r="D594" s="63">
        <v>0.8</v>
      </c>
      <c r="E594" s="577">
        <v>5</v>
      </c>
      <c r="F594" s="569" t="s">
        <v>1790</v>
      </c>
      <c r="G594" s="528">
        <v>2160000</v>
      </c>
      <c r="H594" s="569">
        <v>2</v>
      </c>
      <c r="I594" s="569" t="s">
        <v>1791</v>
      </c>
      <c r="J594" s="533">
        <v>3360640</v>
      </c>
    </row>
    <row r="595" spans="1:10" ht="22.5">
      <c r="A595" s="22" t="s">
        <v>9865</v>
      </c>
      <c r="B595" s="26" t="s">
        <v>9870</v>
      </c>
      <c r="C595" s="63">
        <v>111608800</v>
      </c>
      <c r="D595" s="63">
        <v>0.7</v>
      </c>
      <c r="E595" s="577">
        <v>5</v>
      </c>
      <c r="F595" s="569" t="s">
        <v>1790</v>
      </c>
      <c r="G595" s="528">
        <v>1890000</v>
      </c>
      <c r="H595" s="569">
        <v>2</v>
      </c>
      <c r="I595" s="569" t="s">
        <v>1791</v>
      </c>
      <c r="J595" s="533">
        <v>2940560</v>
      </c>
    </row>
    <row r="596" spans="1:10" ht="22.5">
      <c r="A596" s="22" t="s">
        <v>9865</v>
      </c>
      <c r="B596" s="26" t="s">
        <v>9871</v>
      </c>
      <c r="C596" s="63">
        <v>111608900</v>
      </c>
      <c r="D596" s="63">
        <v>0.7</v>
      </c>
      <c r="E596" s="577">
        <v>5</v>
      </c>
      <c r="F596" s="569" t="s">
        <v>1790</v>
      </c>
      <c r="G596" s="528">
        <v>1890000</v>
      </c>
      <c r="H596" s="569">
        <v>2</v>
      </c>
      <c r="I596" s="569" t="s">
        <v>1791</v>
      </c>
      <c r="J596" s="533">
        <v>2940560</v>
      </c>
    </row>
    <row r="597" spans="1:10" ht="25.5">
      <c r="A597" s="22" t="s">
        <v>3672</v>
      </c>
      <c r="B597" s="26" t="s">
        <v>9872</v>
      </c>
      <c r="C597" s="63">
        <v>111609000</v>
      </c>
      <c r="D597" s="63">
        <v>0.6</v>
      </c>
      <c r="E597" s="577">
        <v>5</v>
      </c>
      <c r="F597" s="569" t="s">
        <v>1790</v>
      </c>
      <c r="G597" s="528">
        <v>1620000</v>
      </c>
      <c r="H597" s="569">
        <v>2</v>
      </c>
      <c r="I597" s="569" t="s">
        <v>1791</v>
      </c>
      <c r="J597" s="533">
        <v>2520480</v>
      </c>
    </row>
    <row r="598" spans="1:10" ht="22.5">
      <c r="A598" s="22" t="s">
        <v>9865</v>
      </c>
      <c r="B598" s="26" t="s">
        <v>9873</v>
      </c>
      <c r="C598" s="63">
        <v>111609100</v>
      </c>
      <c r="D598" s="63">
        <v>0.6</v>
      </c>
      <c r="E598" s="577">
        <v>5</v>
      </c>
      <c r="F598" s="569" t="s">
        <v>1790</v>
      </c>
      <c r="G598" s="528">
        <v>1620000</v>
      </c>
      <c r="H598" s="569">
        <v>2</v>
      </c>
      <c r="I598" s="569" t="s">
        <v>1791</v>
      </c>
      <c r="J598" s="533">
        <v>2520480</v>
      </c>
    </row>
    <row r="599" spans="1:10" ht="22.5">
      <c r="A599" s="22" t="s">
        <v>9865</v>
      </c>
      <c r="B599" s="26" t="s">
        <v>9874</v>
      </c>
      <c r="C599" s="63">
        <v>111609200</v>
      </c>
      <c r="D599" s="63">
        <v>0.6</v>
      </c>
      <c r="E599" s="577">
        <v>5</v>
      </c>
      <c r="F599" s="569" t="s">
        <v>1790</v>
      </c>
      <c r="G599" s="528">
        <v>1620000</v>
      </c>
      <c r="H599" s="569">
        <v>2</v>
      </c>
      <c r="I599" s="569" t="s">
        <v>1791</v>
      </c>
      <c r="J599" s="533">
        <v>2520480</v>
      </c>
    </row>
    <row r="600" spans="1:10" ht="25.5">
      <c r="A600" s="22" t="s">
        <v>3672</v>
      </c>
      <c r="B600" s="26" t="s">
        <v>9875</v>
      </c>
      <c r="C600" s="63">
        <v>111609300</v>
      </c>
      <c r="D600" s="63">
        <v>0.7</v>
      </c>
      <c r="E600" s="577">
        <v>5</v>
      </c>
      <c r="F600" s="569" t="s">
        <v>1790</v>
      </c>
      <c r="G600" s="528">
        <v>1890000</v>
      </c>
      <c r="H600" s="569">
        <v>2</v>
      </c>
      <c r="I600" s="569" t="s">
        <v>1791</v>
      </c>
      <c r="J600" s="533">
        <v>2940560</v>
      </c>
    </row>
    <row r="601" spans="1:10" ht="22.5">
      <c r="A601" s="22" t="s">
        <v>9865</v>
      </c>
      <c r="B601" s="26" t="s">
        <v>9876</v>
      </c>
      <c r="C601" s="63">
        <v>111609400</v>
      </c>
      <c r="D601" s="63">
        <v>0.5</v>
      </c>
      <c r="E601" s="577">
        <v>5</v>
      </c>
      <c r="F601" s="569" t="s">
        <v>1790</v>
      </c>
      <c r="G601" s="528">
        <v>1350000</v>
      </c>
      <c r="H601" s="569">
        <v>2</v>
      </c>
      <c r="I601" s="569" t="s">
        <v>1791</v>
      </c>
      <c r="J601" s="533">
        <v>2100400</v>
      </c>
    </row>
    <row r="602" spans="1:10" ht="22.5">
      <c r="A602" s="22" t="s">
        <v>3375</v>
      </c>
      <c r="B602" s="26" t="s">
        <v>9877</v>
      </c>
      <c r="C602" s="63">
        <v>111609500</v>
      </c>
      <c r="D602" s="63">
        <v>0.5</v>
      </c>
      <c r="E602" s="577">
        <v>5</v>
      </c>
      <c r="F602" s="569" t="s">
        <v>1790</v>
      </c>
      <c r="G602" s="528">
        <v>1350000</v>
      </c>
      <c r="H602" s="569">
        <v>2</v>
      </c>
      <c r="I602" s="569" t="s">
        <v>1791</v>
      </c>
      <c r="J602" s="533">
        <v>2100400</v>
      </c>
    </row>
    <row r="603" spans="1:10" ht="22.5">
      <c r="A603" s="22" t="s">
        <v>4343</v>
      </c>
      <c r="B603" s="26" t="s">
        <v>9878</v>
      </c>
      <c r="C603" s="63">
        <v>111609600</v>
      </c>
      <c r="D603" s="63">
        <v>0.27</v>
      </c>
      <c r="E603" s="577">
        <v>5</v>
      </c>
      <c r="F603" s="569" t="s">
        <v>1790</v>
      </c>
      <c r="G603" s="528">
        <v>729000</v>
      </c>
      <c r="H603" s="569">
        <v>2</v>
      </c>
      <c r="I603" s="569" t="s">
        <v>1791</v>
      </c>
      <c r="J603" s="533">
        <v>1134216</v>
      </c>
    </row>
    <row r="604" spans="1:10" ht="25.5">
      <c r="A604" s="22" t="s">
        <v>1127</v>
      </c>
      <c r="B604" s="26" t="s">
        <v>9879</v>
      </c>
      <c r="C604" s="63">
        <v>111609700</v>
      </c>
      <c r="D604" s="63">
        <v>0.4</v>
      </c>
      <c r="E604" s="577">
        <v>5</v>
      </c>
      <c r="F604" s="569" t="s">
        <v>1790</v>
      </c>
      <c r="G604" s="528">
        <v>1080000</v>
      </c>
      <c r="H604" s="569">
        <v>2</v>
      </c>
      <c r="I604" s="569" t="s">
        <v>1791</v>
      </c>
      <c r="J604" s="533">
        <v>1680320</v>
      </c>
    </row>
    <row r="605" spans="1:10" ht="22.5">
      <c r="A605" s="22" t="s">
        <v>3672</v>
      </c>
      <c r="B605" s="26" t="s">
        <v>9880</v>
      </c>
      <c r="C605" s="63">
        <v>111609800</v>
      </c>
      <c r="D605" s="63">
        <v>0.3</v>
      </c>
      <c r="E605" s="577">
        <v>5</v>
      </c>
      <c r="F605" s="569" t="s">
        <v>1790</v>
      </c>
      <c r="G605" s="528">
        <v>810000</v>
      </c>
      <c r="H605" s="569">
        <v>2</v>
      </c>
      <c r="I605" s="569" t="s">
        <v>1791</v>
      </c>
      <c r="J605" s="533">
        <v>1260240</v>
      </c>
    </row>
    <row r="606" spans="1:10" ht="22.5">
      <c r="A606" s="22" t="s">
        <v>1127</v>
      </c>
      <c r="B606" s="26" t="s">
        <v>9881</v>
      </c>
      <c r="C606" s="63">
        <v>111609900</v>
      </c>
      <c r="D606" s="63">
        <v>0.3</v>
      </c>
      <c r="E606" s="577">
        <v>5</v>
      </c>
      <c r="F606" s="569" t="s">
        <v>1790</v>
      </c>
      <c r="G606" s="528">
        <v>810000</v>
      </c>
      <c r="H606" s="569">
        <v>2</v>
      </c>
      <c r="I606" s="569" t="s">
        <v>1791</v>
      </c>
      <c r="J606" s="533">
        <v>1260240</v>
      </c>
    </row>
    <row r="607" spans="1:10" ht="22.5">
      <c r="A607" s="22" t="s">
        <v>9865</v>
      </c>
      <c r="B607" s="26" t="s">
        <v>9882</v>
      </c>
      <c r="C607" s="63">
        <v>1116010000</v>
      </c>
      <c r="D607" s="63">
        <v>0.3</v>
      </c>
      <c r="E607" s="577">
        <v>5</v>
      </c>
      <c r="F607" s="569" t="s">
        <v>1790</v>
      </c>
      <c r="G607" s="528">
        <v>810000</v>
      </c>
      <c r="H607" s="569">
        <v>2</v>
      </c>
      <c r="I607" s="569" t="s">
        <v>1791</v>
      </c>
      <c r="J607" s="533">
        <v>1260240</v>
      </c>
    </row>
    <row r="608" spans="1:10" ht="22.5">
      <c r="A608" s="22" t="s">
        <v>421</v>
      </c>
      <c r="B608" s="26" t="s">
        <v>9883</v>
      </c>
      <c r="C608" s="63">
        <v>1116010100</v>
      </c>
      <c r="D608" s="63">
        <v>0.3</v>
      </c>
      <c r="E608" s="577">
        <v>5</v>
      </c>
      <c r="F608" s="569" t="s">
        <v>1790</v>
      </c>
      <c r="G608" s="528">
        <v>810000</v>
      </c>
      <c r="H608" s="569">
        <v>1</v>
      </c>
      <c r="I608" s="569" t="s">
        <v>1791</v>
      </c>
      <c r="J608" s="533">
        <v>1260240</v>
      </c>
    </row>
    <row r="609" spans="1:10" ht="22.5">
      <c r="A609" s="22" t="s">
        <v>9884</v>
      </c>
      <c r="B609" s="26" t="s">
        <v>9885</v>
      </c>
      <c r="C609" s="63">
        <v>1116010200</v>
      </c>
      <c r="D609" s="63">
        <v>0.3</v>
      </c>
      <c r="E609" s="577">
        <v>5</v>
      </c>
      <c r="F609" s="569" t="s">
        <v>1790</v>
      </c>
      <c r="G609" s="528">
        <v>810000</v>
      </c>
      <c r="H609" s="569">
        <v>1</v>
      </c>
      <c r="I609" s="569" t="s">
        <v>1791</v>
      </c>
      <c r="J609" s="533">
        <v>1260240</v>
      </c>
    </row>
    <row r="610" spans="1:10" ht="22.5">
      <c r="A610" s="22" t="s">
        <v>1127</v>
      </c>
      <c r="B610" s="26" t="s">
        <v>9886</v>
      </c>
      <c r="C610" s="63">
        <v>1116010300</v>
      </c>
      <c r="D610" s="63">
        <v>0.3</v>
      </c>
      <c r="E610" s="577">
        <v>5</v>
      </c>
      <c r="F610" s="569" t="s">
        <v>1790</v>
      </c>
      <c r="G610" s="528">
        <v>810000</v>
      </c>
      <c r="H610" s="569">
        <v>1</v>
      </c>
      <c r="I610" s="569" t="s">
        <v>1791</v>
      </c>
      <c r="J610" s="533">
        <v>1260240</v>
      </c>
    </row>
    <row r="611" spans="1:10" ht="22.5">
      <c r="A611" s="22" t="s">
        <v>1127</v>
      </c>
      <c r="B611" s="26" t="s">
        <v>9887</v>
      </c>
      <c r="C611" s="63">
        <v>1116010400</v>
      </c>
      <c r="D611" s="63">
        <v>0.2</v>
      </c>
      <c r="E611" s="577">
        <v>5</v>
      </c>
      <c r="F611" s="569" t="s">
        <v>1790</v>
      </c>
      <c r="G611" s="528">
        <v>540000</v>
      </c>
      <c r="H611" s="569">
        <v>1</v>
      </c>
      <c r="I611" s="569" t="s">
        <v>1791</v>
      </c>
      <c r="J611" s="533">
        <v>840160</v>
      </c>
    </row>
    <row r="612" spans="1:10" ht="22.5">
      <c r="A612" s="22" t="s">
        <v>3672</v>
      </c>
      <c r="B612" s="26" t="s">
        <v>9888</v>
      </c>
      <c r="C612" s="63">
        <v>1116010600</v>
      </c>
      <c r="D612" s="63">
        <v>0.2</v>
      </c>
      <c r="E612" s="577">
        <v>5</v>
      </c>
      <c r="F612" s="569" t="s">
        <v>1790</v>
      </c>
      <c r="G612" s="528">
        <v>540000</v>
      </c>
      <c r="H612" s="569">
        <v>1</v>
      </c>
      <c r="I612" s="569" t="s">
        <v>1791</v>
      </c>
      <c r="J612" s="533">
        <v>840160</v>
      </c>
    </row>
    <row r="613" spans="1:10" ht="25.5">
      <c r="A613" s="22" t="s">
        <v>9800</v>
      </c>
      <c r="B613" s="26" t="s">
        <v>9889</v>
      </c>
      <c r="C613" s="63">
        <v>1116010700</v>
      </c>
      <c r="D613" s="63">
        <v>0.3</v>
      </c>
      <c r="E613" s="577">
        <v>5</v>
      </c>
      <c r="F613" s="569" t="s">
        <v>1790</v>
      </c>
      <c r="G613" s="528">
        <v>810000</v>
      </c>
      <c r="H613" s="569">
        <v>1</v>
      </c>
      <c r="I613" s="569" t="s">
        <v>1791</v>
      </c>
      <c r="J613" s="533">
        <v>1260240</v>
      </c>
    </row>
    <row r="614" spans="1:10" ht="25.5">
      <c r="A614" s="22" t="s">
        <v>3672</v>
      </c>
      <c r="B614" s="26" t="s">
        <v>9890</v>
      </c>
      <c r="C614" s="63">
        <v>1116010800</v>
      </c>
      <c r="D614" s="63">
        <v>0.2</v>
      </c>
      <c r="E614" s="577">
        <v>5</v>
      </c>
      <c r="F614" s="569" t="s">
        <v>1790</v>
      </c>
      <c r="G614" s="528">
        <v>540000</v>
      </c>
      <c r="H614" s="569">
        <v>1</v>
      </c>
      <c r="I614" s="569" t="s">
        <v>1791</v>
      </c>
      <c r="J614" s="533">
        <v>840160</v>
      </c>
    </row>
    <row r="615" spans="1:10" ht="22.5">
      <c r="A615" s="22" t="s">
        <v>9865</v>
      </c>
      <c r="B615" s="26" t="s">
        <v>9891</v>
      </c>
      <c r="C615" s="63">
        <v>1116010900</v>
      </c>
      <c r="D615" s="63">
        <v>0.2</v>
      </c>
      <c r="E615" s="577">
        <v>5</v>
      </c>
      <c r="F615" s="569" t="s">
        <v>1790</v>
      </c>
      <c r="G615" s="528">
        <v>540000</v>
      </c>
      <c r="H615" s="569">
        <v>1</v>
      </c>
      <c r="I615" s="569" t="s">
        <v>1791</v>
      </c>
      <c r="J615" s="533">
        <v>840160</v>
      </c>
    </row>
    <row r="616" spans="1:10" ht="22.5">
      <c r="A616" s="22" t="s">
        <v>9865</v>
      </c>
      <c r="B616" s="26" t="s">
        <v>9892</v>
      </c>
      <c r="C616" s="63">
        <v>1116011000</v>
      </c>
      <c r="D616" s="63">
        <v>0.2</v>
      </c>
      <c r="E616" s="577">
        <v>5</v>
      </c>
      <c r="F616" s="569" t="s">
        <v>1790</v>
      </c>
      <c r="G616" s="528">
        <v>540000</v>
      </c>
      <c r="H616" s="569">
        <v>1</v>
      </c>
      <c r="I616" s="569" t="s">
        <v>1791</v>
      </c>
      <c r="J616" s="533">
        <v>840160</v>
      </c>
    </row>
    <row r="617" spans="1:10" ht="22.5">
      <c r="A617" s="22" t="s">
        <v>9865</v>
      </c>
      <c r="B617" s="26" t="s">
        <v>9893</v>
      </c>
      <c r="C617" s="63">
        <v>1116011100</v>
      </c>
      <c r="D617" s="63">
        <v>0.1</v>
      </c>
      <c r="E617" s="577">
        <v>5</v>
      </c>
      <c r="F617" s="569" t="s">
        <v>1790</v>
      </c>
      <c r="G617" s="528">
        <v>270000</v>
      </c>
      <c r="H617" s="569">
        <v>1</v>
      </c>
      <c r="I617" s="569" t="s">
        <v>1791</v>
      </c>
      <c r="J617" s="533">
        <v>420080</v>
      </c>
    </row>
    <row r="618" spans="1:10" ht="22.5">
      <c r="A618" s="22" t="s">
        <v>9865</v>
      </c>
      <c r="B618" s="26" t="s">
        <v>9894</v>
      </c>
      <c r="C618" s="63">
        <v>1116011200</v>
      </c>
      <c r="D618" s="63">
        <v>0.6</v>
      </c>
      <c r="E618" s="577">
        <v>5</v>
      </c>
      <c r="F618" s="569" t="s">
        <v>1790</v>
      </c>
      <c r="G618" s="528">
        <v>1620000</v>
      </c>
      <c r="H618" s="569">
        <v>1</v>
      </c>
      <c r="I618" s="569" t="s">
        <v>1791</v>
      </c>
      <c r="J618" s="533">
        <v>2520480</v>
      </c>
    </row>
    <row r="619" spans="1:10" ht="22.5">
      <c r="A619" s="22" t="s">
        <v>1127</v>
      </c>
      <c r="B619" s="26" t="s">
        <v>9895</v>
      </c>
      <c r="C619" s="63">
        <v>1116011300</v>
      </c>
      <c r="D619" s="63">
        <v>2</v>
      </c>
      <c r="E619" s="577">
        <v>5</v>
      </c>
      <c r="F619" s="569" t="s">
        <v>1790</v>
      </c>
      <c r="G619" s="528">
        <v>5400000</v>
      </c>
      <c r="H619" s="569">
        <v>1</v>
      </c>
      <c r="I619" s="569" t="s">
        <v>1791</v>
      </c>
      <c r="J619" s="533">
        <v>8401600</v>
      </c>
    </row>
    <row r="620" spans="1:10" ht="22.5">
      <c r="A620" s="22" t="s">
        <v>4343</v>
      </c>
      <c r="B620" s="26" t="s">
        <v>9896</v>
      </c>
      <c r="C620" s="63">
        <v>1116011400</v>
      </c>
      <c r="D620" s="63">
        <v>0.4</v>
      </c>
      <c r="E620" s="577">
        <v>5</v>
      </c>
      <c r="F620" s="569" t="s">
        <v>1790</v>
      </c>
      <c r="G620" s="528">
        <v>1080000</v>
      </c>
      <c r="H620" s="569">
        <v>1</v>
      </c>
      <c r="I620" s="569" t="s">
        <v>1791</v>
      </c>
      <c r="J620" s="533">
        <v>1680320</v>
      </c>
    </row>
    <row r="621" spans="1:10" ht="22.5">
      <c r="A621" s="22" t="s">
        <v>1127</v>
      </c>
      <c r="B621" s="26" t="s">
        <v>9897</v>
      </c>
      <c r="C621" s="63">
        <v>1116011500</v>
      </c>
      <c r="D621" s="63">
        <v>0.6</v>
      </c>
      <c r="E621" s="577">
        <v>5</v>
      </c>
      <c r="F621" s="569" t="s">
        <v>1790</v>
      </c>
      <c r="G621" s="528">
        <v>1620000</v>
      </c>
      <c r="H621" s="569">
        <v>1</v>
      </c>
      <c r="I621" s="569" t="s">
        <v>1791</v>
      </c>
      <c r="J621" s="533">
        <v>2520480</v>
      </c>
    </row>
    <row r="622" spans="1:10" ht="22.5">
      <c r="A622" s="22" t="s">
        <v>1127</v>
      </c>
      <c r="B622" s="26" t="s">
        <v>9898</v>
      </c>
      <c r="C622" s="63">
        <v>1116011600</v>
      </c>
      <c r="D622" s="63">
        <v>0.2</v>
      </c>
      <c r="E622" s="577">
        <v>5</v>
      </c>
      <c r="F622" s="569" t="s">
        <v>1790</v>
      </c>
      <c r="G622" s="528">
        <v>540000</v>
      </c>
      <c r="H622" s="569">
        <v>1</v>
      </c>
      <c r="I622" s="569" t="s">
        <v>1791</v>
      </c>
      <c r="J622" s="533">
        <v>840160</v>
      </c>
    </row>
    <row r="623" spans="1:10" ht="22.5">
      <c r="A623" s="22" t="s">
        <v>4343</v>
      </c>
      <c r="B623" s="26" t="s">
        <v>9899</v>
      </c>
      <c r="C623" s="63">
        <v>1116011700</v>
      </c>
      <c r="D623" s="63">
        <v>4.3</v>
      </c>
      <c r="E623" s="577">
        <v>5</v>
      </c>
      <c r="F623" s="569" t="s">
        <v>1790</v>
      </c>
      <c r="G623" s="528">
        <v>11610000</v>
      </c>
      <c r="H623" s="569">
        <v>1</v>
      </c>
      <c r="I623" s="569" t="s">
        <v>1791</v>
      </c>
      <c r="J623" s="533">
        <v>18063440</v>
      </c>
    </row>
    <row r="624" spans="1:10" ht="22.5">
      <c r="A624" s="22" t="s">
        <v>9865</v>
      </c>
      <c r="B624" s="26" t="s">
        <v>9900</v>
      </c>
      <c r="C624" s="63">
        <v>1116011800</v>
      </c>
      <c r="D624" s="63">
        <v>3.4</v>
      </c>
      <c r="E624" s="577">
        <v>5</v>
      </c>
      <c r="F624" s="569" t="s">
        <v>1790</v>
      </c>
      <c r="G624" s="528">
        <v>9180000</v>
      </c>
      <c r="H624" s="569">
        <v>1</v>
      </c>
      <c r="I624" s="569" t="s">
        <v>1791</v>
      </c>
      <c r="J624" s="533">
        <v>14282720</v>
      </c>
    </row>
    <row r="625" spans="1:10" ht="22.5">
      <c r="A625" s="22" t="s">
        <v>9865</v>
      </c>
      <c r="B625" s="26" t="s">
        <v>9901</v>
      </c>
      <c r="C625" s="63">
        <v>1116011900</v>
      </c>
      <c r="D625" s="63">
        <v>0.3</v>
      </c>
      <c r="E625" s="577">
        <v>5</v>
      </c>
      <c r="F625" s="569" t="s">
        <v>1790</v>
      </c>
      <c r="G625" s="528">
        <v>810000</v>
      </c>
      <c r="H625" s="569">
        <v>1</v>
      </c>
      <c r="I625" s="569" t="s">
        <v>1791</v>
      </c>
      <c r="J625" s="533">
        <v>1260240</v>
      </c>
    </row>
    <row r="626" spans="1:10" ht="22.5">
      <c r="A626" s="22" t="s">
        <v>9865</v>
      </c>
      <c r="B626" s="26" t="s">
        <v>9902</v>
      </c>
      <c r="C626" s="63">
        <v>1116012000</v>
      </c>
      <c r="D626" s="63">
        <v>0.3</v>
      </c>
      <c r="E626" s="577">
        <v>5</v>
      </c>
      <c r="F626" s="569" t="s">
        <v>1790</v>
      </c>
      <c r="G626" s="528">
        <v>810000</v>
      </c>
      <c r="H626" s="569">
        <v>1</v>
      </c>
      <c r="I626" s="569" t="s">
        <v>1791</v>
      </c>
      <c r="J626" s="533">
        <v>1260240</v>
      </c>
    </row>
    <row r="627" spans="1:10" ht="22.5">
      <c r="A627" s="22" t="s">
        <v>9800</v>
      </c>
      <c r="B627" s="26" t="s">
        <v>9903</v>
      </c>
      <c r="C627" s="63">
        <v>1116012100</v>
      </c>
      <c r="D627" s="63">
        <v>0.1</v>
      </c>
      <c r="E627" s="577">
        <v>5</v>
      </c>
      <c r="F627" s="569" t="s">
        <v>1790</v>
      </c>
      <c r="G627" s="528">
        <v>270000</v>
      </c>
      <c r="H627" s="569">
        <v>1</v>
      </c>
      <c r="I627" s="569" t="s">
        <v>1791</v>
      </c>
      <c r="J627" s="533">
        <v>420080</v>
      </c>
    </row>
    <row r="628" spans="1:10" ht="25.5">
      <c r="A628" s="22" t="s">
        <v>9800</v>
      </c>
      <c r="B628" s="26" t="s">
        <v>9904</v>
      </c>
      <c r="C628" s="63">
        <v>1116012200</v>
      </c>
      <c r="D628" s="63">
        <v>0.4</v>
      </c>
      <c r="E628" s="577">
        <v>5</v>
      </c>
      <c r="F628" s="569" t="s">
        <v>1790</v>
      </c>
      <c r="G628" s="528">
        <v>1080000</v>
      </c>
      <c r="H628" s="569">
        <v>1</v>
      </c>
      <c r="I628" s="569" t="s">
        <v>1791</v>
      </c>
      <c r="J628" s="533">
        <v>1680320</v>
      </c>
    </row>
    <row r="629" spans="1:10" ht="25.5">
      <c r="A629" s="22" t="s">
        <v>3672</v>
      </c>
      <c r="B629" s="26" t="s">
        <v>9905</v>
      </c>
      <c r="C629" s="63">
        <v>1116012300</v>
      </c>
      <c r="D629" s="63">
        <v>1.5</v>
      </c>
      <c r="E629" s="577">
        <v>5</v>
      </c>
      <c r="F629" s="569" t="s">
        <v>1790</v>
      </c>
      <c r="G629" s="528">
        <v>2160000</v>
      </c>
      <c r="H629" s="569">
        <v>2</v>
      </c>
      <c r="I629" s="569" t="s">
        <v>1791</v>
      </c>
      <c r="J629" s="533">
        <v>4411200</v>
      </c>
    </row>
    <row r="630" spans="1:10" ht="25.5">
      <c r="A630" s="22" t="s">
        <v>9800</v>
      </c>
      <c r="B630" s="26" t="s">
        <v>9906</v>
      </c>
      <c r="C630" s="63">
        <v>1116012400</v>
      </c>
      <c r="D630" s="63">
        <v>0.5</v>
      </c>
      <c r="E630" s="577">
        <v>5</v>
      </c>
      <c r="F630" s="569" t="s">
        <v>1790</v>
      </c>
      <c r="G630" s="528">
        <v>1350000</v>
      </c>
      <c r="H630" s="569">
        <v>2</v>
      </c>
      <c r="I630" s="569" t="s">
        <v>1791</v>
      </c>
      <c r="J630" s="533">
        <v>2100400</v>
      </c>
    </row>
    <row r="631" spans="1:10" ht="25.5">
      <c r="A631" s="22" t="s">
        <v>9800</v>
      </c>
      <c r="B631" s="26" t="s">
        <v>9907</v>
      </c>
      <c r="C631" s="63">
        <v>1116012500</v>
      </c>
      <c r="D631" s="63">
        <v>0.1</v>
      </c>
      <c r="E631" s="577">
        <v>5</v>
      </c>
      <c r="F631" s="569" t="s">
        <v>1790</v>
      </c>
      <c r="G631" s="528">
        <v>270000</v>
      </c>
      <c r="H631" s="569">
        <v>2</v>
      </c>
      <c r="I631" s="569" t="s">
        <v>1791</v>
      </c>
      <c r="J631" s="533">
        <v>420080</v>
      </c>
    </row>
    <row r="632" spans="1:10" ht="25.5">
      <c r="A632" s="22" t="s">
        <v>9800</v>
      </c>
      <c r="B632" s="26" t="s">
        <v>9908</v>
      </c>
      <c r="C632" s="63">
        <v>1116012600</v>
      </c>
      <c r="D632" s="63">
        <v>0.2</v>
      </c>
      <c r="E632" s="577">
        <v>4.5</v>
      </c>
      <c r="F632" s="569" t="s">
        <v>1790</v>
      </c>
      <c r="G632" s="528">
        <v>486000</v>
      </c>
      <c r="H632" s="569">
        <v>2</v>
      </c>
      <c r="I632" s="569" t="s">
        <v>1791</v>
      </c>
      <c r="J632" s="533">
        <v>756160</v>
      </c>
    </row>
    <row r="633" spans="1:10" ht="22.5">
      <c r="A633" s="22" t="s">
        <v>9865</v>
      </c>
      <c r="B633" s="26" t="s">
        <v>9909</v>
      </c>
      <c r="C633" s="63">
        <v>1116012700</v>
      </c>
      <c r="D633" s="63">
        <v>0.5</v>
      </c>
      <c r="E633" s="577">
        <v>5</v>
      </c>
      <c r="F633" s="569" t="s">
        <v>1790</v>
      </c>
      <c r="G633" s="528">
        <v>1350000</v>
      </c>
      <c r="H633" s="569">
        <v>2</v>
      </c>
      <c r="I633" s="569" t="s">
        <v>1791</v>
      </c>
      <c r="J633" s="533">
        <v>2100400</v>
      </c>
    </row>
    <row r="634" spans="1:10" ht="22.5">
      <c r="A634" s="22" t="s">
        <v>9865</v>
      </c>
      <c r="B634" s="26" t="s">
        <v>9910</v>
      </c>
      <c r="C634" s="63">
        <v>1116012800</v>
      </c>
      <c r="D634" s="63">
        <v>0.2</v>
      </c>
      <c r="E634" s="577">
        <v>5</v>
      </c>
      <c r="F634" s="569" t="s">
        <v>1790</v>
      </c>
      <c r="G634" s="528">
        <v>540000</v>
      </c>
      <c r="H634" s="569">
        <v>2</v>
      </c>
      <c r="I634" s="569" t="s">
        <v>1791</v>
      </c>
      <c r="J634" s="533">
        <v>840160</v>
      </c>
    </row>
    <row r="635" spans="1:10" ht="22.5">
      <c r="A635" s="22" t="s">
        <v>9865</v>
      </c>
      <c r="B635" s="26" t="s">
        <v>9911</v>
      </c>
      <c r="C635" s="63">
        <v>1116012900</v>
      </c>
      <c r="D635" s="63">
        <v>0.2</v>
      </c>
      <c r="E635" s="577">
        <v>5</v>
      </c>
      <c r="F635" s="569" t="s">
        <v>1790</v>
      </c>
      <c r="G635" s="528">
        <v>540000</v>
      </c>
      <c r="H635" s="569">
        <v>2</v>
      </c>
      <c r="I635" s="569" t="s">
        <v>1791</v>
      </c>
      <c r="J635" s="533">
        <v>840160</v>
      </c>
    </row>
    <row r="636" spans="1:10" ht="22.5">
      <c r="A636" s="22" t="s">
        <v>9865</v>
      </c>
      <c r="B636" s="26" t="s">
        <v>9912</v>
      </c>
      <c r="C636" s="63">
        <v>1116013000</v>
      </c>
      <c r="D636" s="63">
        <v>0.1</v>
      </c>
      <c r="E636" s="577">
        <v>5</v>
      </c>
      <c r="F636" s="569" t="s">
        <v>1790</v>
      </c>
      <c r="G636" s="528">
        <v>270000</v>
      </c>
      <c r="H636" s="569">
        <v>2</v>
      </c>
      <c r="I636" s="569" t="s">
        <v>1791</v>
      </c>
      <c r="J636" s="533">
        <v>420080</v>
      </c>
    </row>
    <row r="637" spans="1:10" ht="25.5">
      <c r="A637" s="22" t="s">
        <v>4343</v>
      </c>
      <c r="B637" s="26" t="s">
        <v>9913</v>
      </c>
      <c r="C637" s="63">
        <v>1116013100</v>
      </c>
      <c r="D637" s="63">
        <v>0.1</v>
      </c>
      <c r="E637" s="577">
        <v>5</v>
      </c>
      <c r="F637" s="569" t="s">
        <v>1790</v>
      </c>
      <c r="G637" s="528">
        <v>270000</v>
      </c>
      <c r="H637" s="569">
        <v>2</v>
      </c>
      <c r="I637" s="569" t="s">
        <v>1791</v>
      </c>
      <c r="J637" s="533">
        <v>420080</v>
      </c>
    </row>
    <row r="638" spans="1:10" ht="22.5">
      <c r="A638" s="22" t="s">
        <v>9800</v>
      </c>
      <c r="B638" s="26" t="s">
        <v>9914</v>
      </c>
      <c r="C638" s="63">
        <v>1116013300</v>
      </c>
      <c r="D638" s="63">
        <v>2.6</v>
      </c>
      <c r="E638" s="577">
        <v>5</v>
      </c>
      <c r="F638" s="569" t="s">
        <v>1790</v>
      </c>
      <c r="G638" s="528">
        <v>7020000</v>
      </c>
      <c r="H638" s="569">
        <v>2</v>
      </c>
      <c r="I638" s="569" t="s">
        <v>1791</v>
      </c>
      <c r="J638" s="533">
        <v>10922080</v>
      </c>
    </row>
    <row r="639" spans="1:10" ht="22.5">
      <c r="A639" s="22" t="s">
        <v>3672</v>
      </c>
      <c r="B639" s="26" t="s">
        <v>9915</v>
      </c>
      <c r="C639" s="63">
        <v>1116013400</v>
      </c>
      <c r="D639" s="63">
        <v>0.4</v>
      </c>
      <c r="E639" s="577">
        <v>5.5</v>
      </c>
      <c r="F639" s="569" t="s">
        <v>1790</v>
      </c>
      <c r="G639" s="528">
        <v>1188000</v>
      </c>
      <c r="H639" s="569">
        <v>2</v>
      </c>
      <c r="I639" s="569" t="s">
        <v>1791</v>
      </c>
      <c r="J639" s="533">
        <v>1848320</v>
      </c>
    </row>
    <row r="640" spans="1:10" ht="22.5">
      <c r="A640" s="22" t="s">
        <v>9800</v>
      </c>
      <c r="B640" s="26" t="s">
        <v>9916</v>
      </c>
      <c r="C640" s="63">
        <v>1116013500</v>
      </c>
      <c r="D640" s="63">
        <v>1</v>
      </c>
      <c r="E640" s="577">
        <v>5.5</v>
      </c>
      <c r="F640" s="569" t="s">
        <v>1790</v>
      </c>
      <c r="G640" s="528">
        <v>2376000</v>
      </c>
      <c r="H640" s="569">
        <v>2</v>
      </c>
      <c r="I640" s="569" t="s">
        <v>1791</v>
      </c>
      <c r="J640" s="533">
        <v>4026800</v>
      </c>
    </row>
    <row r="641" spans="1:10" ht="25.5">
      <c r="A641" s="22" t="s">
        <v>9800</v>
      </c>
      <c r="B641" s="26" t="s">
        <v>9917</v>
      </c>
      <c r="C641" s="63">
        <v>1116013600</v>
      </c>
      <c r="D641" s="63">
        <v>0.2</v>
      </c>
      <c r="E641" s="577">
        <v>5.5</v>
      </c>
      <c r="F641" s="569" t="s">
        <v>1790</v>
      </c>
      <c r="G641" s="528">
        <v>594000</v>
      </c>
      <c r="H641" s="569">
        <v>2</v>
      </c>
      <c r="I641" s="569" t="s">
        <v>1791</v>
      </c>
      <c r="J641" s="533">
        <v>924160</v>
      </c>
    </row>
    <row r="642" spans="1:10" ht="25.5">
      <c r="A642" s="22" t="s">
        <v>9800</v>
      </c>
      <c r="B642" s="26" t="s">
        <v>9918</v>
      </c>
      <c r="C642" s="63">
        <v>1116013700</v>
      </c>
      <c r="D642" s="63">
        <v>1.3</v>
      </c>
      <c r="E642" s="577">
        <v>5</v>
      </c>
      <c r="F642" s="569" t="s">
        <v>1790</v>
      </c>
      <c r="G642" s="528">
        <v>3510000</v>
      </c>
      <c r="H642" s="569">
        <v>2</v>
      </c>
      <c r="I642" s="569" t="s">
        <v>1791</v>
      </c>
      <c r="J642" s="533">
        <v>5461040</v>
      </c>
    </row>
    <row r="643" spans="1:10" ht="22.5">
      <c r="A643" s="22" t="s">
        <v>9800</v>
      </c>
      <c r="B643" s="26" t="s">
        <v>9919</v>
      </c>
      <c r="C643" s="63">
        <v>1116013800</v>
      </c>
      <c r="D643" s="63">
        <v>0.5</v>
      </c>
      <c r="E643" s="577">
        <v>5.5</v>
      </c>
      <c r="F643" s="569" t="s">
        <v>1790</v>
      </c>
      <c r="G643" s="528">
        <v>1485000</v>
      </c>
      <c r="H643" s="569">
        <v>2</v>
      </c>
      <c r="I643" s="569" t="s">
        <v>1791</v>
      </c>
      <c r="J643" s="533">
        <v>2310400</v>
      </c>
    </row>
    <row r="644" spans="1:10" ht="25.5">
      <c r="A644" s="22" t="s">
        <v>9800</v>
      </c>
      <c r="B644" s="26" t="s">
        <v>9920</v>
      </c>
      <c r="C644" s="63">
        <v>1116013900</v>
      </c>
      <c r="D644" s="63">
        <v>5.6</v>
      </c>
      <c r="E644" s="577">
        <v>5</v>
      </c>
      <c r="F644" s="569" t="s">
        <v>1790</v>
      </c>
      <c r="G644" s="528">
        <v>15120000</v>
      </c>
      <c r="H644" s="569">
        <v>2</v>
      </c>
      <c r="I644" s="569" t="s">
        <v>1791</v>
      </c>
      <c r="J644" s="533">
        <v>23524480</v>
      </c>
    </row>
    <row r="645" spans="1:10" ht="33.75">
      <c r="A645" s="22" t="s">
        <v>9805</v>
      </c>
      <c r="B645" s="26" t="s">
        <v>9921</v>
      </c>
      <c r="C645" s="63">
        <v>111601200</v>
      </c>
      <c r="D645" s="63">
        <v>2.2000000000000002</v>
      </c>
      <c r="E645" s="577">
        <v>6</v>
      </c>
      <c r="F645" s="569" t="s">
        <v>1883</v>
      </c>
      <c r="G645" s="528">
        <v>15637500</v>
      </c>
      <c r="H645" s="569">
        <v>2</v>
      </c>
      <c r="I645" s="569" t="s">
        <v>9794</v>
      </c>
      <c r="J645" s="533">
        <v>18765000</v>
      </c>
    </row>
    <row r="646" spans="1:10" ht="33.75">
      <c r="A646" s="22" t="s">
        <v>4343</v>
      </c>
      <c r="B646" s="26" t="s">
        <v>9844</v>
      </c>
      <c r="C646" s="63">
        <v>111605700</v>
      </c>
      <c r="D646" s="569">
        <v>5.9</v>
      </c>
      <c r="E646" s="569">
        <v>5.3</v>
      </c>
      <c r="F646" s="569" t="s">
        <v>1906</v>
      </c>
      <c r="G646" s="528">
        <v>2400000</v>
      </c>
      <c r="H646" s="569">
        <v>2</v>
      </c>
      <c r="I646" s="569" t="s">
        <v>9795</v>
      </c>
      <c r="J646" s="533">
        <v>4650000</v>
      </c>
    </row>
    <row r="647" spans="1:10" ht="38.25">
      <c r="A647" s="22" t="s">
        <v>9800</v>
      </c>
      <c r="B647" s="26" t="s">
        <v>9811</v>
      </c>
      <c r="C647" s="569">
        <v>111601700</v>
      </c>
      <c r="D647" s="569">
        <v>12</v>
      </c>
      <c r="E647" s="64">
        <v>5.5</v>
      </c>
      <c r="F647" s="569" t="s">
        <v>1889</v>
      </c>
      <c r="G647" s="528">
        <v>80000000</v>
      </c>
      <c r="H647" s="569">
        <v>1</v>
      </c>
      <c r="I647" s="569" t="s">
        <v>1890</v>
      </c>
      <c r="J647" s="533">
        <v>80000000</v>
      </c>
    </row>
    <row r="648" spans="1:10" ht="45">
      <c r="A648" s="22" t="s">
        <v>4343</v>
      </c>
      <c r="B648" s="26" t="s">
        <v>9827</v>
      </c>
      <c r="C648" s="569">
        <v>111603500</v>
      </c>
      <c r="D648" s="569">
        <v>2.8</v>
      </c>
      <c r="E648" s="569">
        <v>6.2</v>
      </c>
      <c r="F648" s="569" t="s">
        <v>1892</v>
      </c>
      <c r="G648" s="528">
        <v>8675000</v>
      </c>
      <c r="H648" s="569">
        <v>1</v>
      </c>
      <c r="I648" s="569" t="s">
        <v>9796</v>
      </c>
      <c r="J648" s="533">
        <v>9175000</v>
      </c>
    </row>
    <row r="649" spans="1:10" ht="33.75">
      <c r="A649" s="22">
        <v>0</v>
      </c>
      <c r="B649" s="26" t="s">
        <v>24672</v>
      </c>
      <c r="C649" s="569" t="s">
        <v>24673</v>
      </c>
      <c r="D649" s="569">
        <v>15.815</v>
      </c>
      <c r="E649" s="569">
        <v>5.5</v>
      </c>
      <c r="F649" s="569" t="s">
        <v>23962</v>
      </c>
      <c r="G649" s="73">
        <v>0</v>
      </c>
      <c r="H649" s="569">
        <v>2</v>
      </c>
      <c r="I649" s="569" t="s">
        <v>24405</v>
      </c>
      <c r="J649" s="531">
        <v>6500000</v>
      </c>
    </row>
    <row r="650" spans="1:10" ht="15.75">
      <c r="A650" s="1013" t="s">
        <v>91</v>
      </c>
      <c r="B650" s="1014"/>
      <c r="C650" s="1014"/>
      <c r="D650" s="1014"/>
      <c r="E650" s="1014"/>
      <c r="F650" s="1014"/>
      <c r="G650" s="550">
        <f>SUM(G519:G649)</f>
        <v>778940500</v>
      </c>
      <c r="H650" s="564"/>
      <c r="I650" s="564"/>
      <c r="J650" s="626">
        <f>SUM(J519:J649)</f>
        <v>1190586632</v>
      </c>
    </row>
    <row r="651" spans="1:10" ht="15.75">
      <c r="A651" s="1013" t="s">
        <v>3444</v>
      </c>
      <c r="B651" s="1014"/>
      <c r="C651" s="1014"/>
      <c r="D651" s="1014"/>
      <c r="E651" s="1014"/>
      <c r="F651" s="1014"/>
      <c r="G651" s="1014"/>
      <c r="H651" s="1014"/>
      <c r="I651" s="1014"/>
      <c r="J651" s="1015"/>
    </row>
    <row r="652" spans="1:10" ht="22.5">
      <c r="A652" s="27" t="s">
        <v>3341</v>
      </c>
      <c r="B652" s="300" t="s">
        <v>3342</v>
      </c>
      <c r="C652" s="569" t="s">
        <v>3343</v>
      </c>
      <c r="D652" s="569">
        <v>1</v>
      </c>
      <c r="E652" s="569">
        <v>3.5</v>
      </c>
      <c r="F652" s="569" t="s">
        <v>3344</v>
      </c>
      <c r="G652" s="73">
        <v>3000000</v>
      </c>
      <c r="H652" s="569">
        <v>1</v>
      </c>
      <c r="I652" s="569" t="s">
        <v>3345</v>
      </c>
      <c r="J652" s="531">
        <v>37500000</v>
      </c>
    </row>
    <row r="653" spans="1:10" ht="22.5">
      <c r="A653" s="27" t="s">
        <v>3341</v>
      </c>
      <c r="B653" s="300" t="s">
        <v>3346</v>
      </c>
      <c r="C653" s="569" t="s">
        <v>3347</v>
      </c>
      <c r="D653" s="569">
        <v>2.9</v>
      </c>
      <c r="E653" s="569">
        <v>3.9</v>
      </c>
      <c r="F653" s="569" t="s">
        <v>3348</v>
      </c>
      <c r="G653" s="73">
        <v>4500000</v>
      </c>
      <c r="H653" s="569">
        <v>2</v>
      </c>
      <c r="I653" s="569" t="s">
        <v>3349</v>
      </c>
      <c r="J653" s="531">
        <v>43000000</v>
      </c>
    </row>
    <row r="654" spans="1:10" ht="22.5">
      <c r="A654" s="27" t="s">
        <v>3341</v>
      </c>
      <c r="B654" s="300" t="s">
        <v>3350</v>
      </c>
      <c r="C654" s="569" t="s">
        <v>3351</v>
      </c>
      <c r="D654" s="569">
        <v>2.4</v>
      </c>
      <c r="E654" s="569">
        <v>4</v>
      </c>
      <c r="F654" s="579" t="s">
        <v>3352</v>
      </c>
      <c r="G654" s="73">
        <v>2500000</v>
      </c>
      <c r="H654" s="569">
        <v>2</v>
      </c>
      <c r="I654" s="569" t="s">
        <v>3353</v>
      </c>
      <c r="J654" s="531">
        <v>5000000</v>
      </c>
    </row>
    <row r="655" spans="1:10" ht="22.5">
      <c r="A655" s="630" t="s">
        <v>3354</v>
      </c>
      <c r="B655" s="580" t="s">
        <v>3355</v>
      </c>
      <c r="C655" s="569" t="s">
        <v>3356</v>
      </c>
      <c r="D655" s="579">
        <v>2.2000000000000002</v>
      </c>
      <c r="E655" s="579">
        <v>3.7</v>
      </c>
      <c r="F655" s="579" t="s">
        <v>3352</v>
      </c>
      <c r="G655" s="581">
        <v>2500000</v>
      </c>
      <c r="H655" s="579">
        <v>3</v>
      </c>
      <c r="I655" s="579" t="s">
        <v>3353</v>
      </c>
      <c r="J655" s="631">
        <v>7500000</v>
      </c>
    </row>
    <row r="656" spans="1:10" ht="22.5">
      <c r="A656" s="630" t="s">
        <v>3341</v>
      </c>
      <c r="B656" s="580" t="s">
        <v>3357</v>
      </c>
      <c r="C656" s="569" t="s">
        <v>3358</v>
      </c>
      <c r="D656" s="579">
        <v>1</v>
      </c>
      <c r="E656" s="579">
        <v>5</v>
      </c>
      <c r="F656" s="579" t="s">
        <v>3359</v>
      </c>
      <c r="G656" s="581">
        <v>5000000</v>
      </c>
      <c r="H656" s="579">
        <v>2</v>
      </c>
      <c r="I656" s="579" t="s">
        <v>3360</v>
      </c>
      <c r="J656" s="631">
        <v>30000000</v>
      </c>
    </row>
    <row r="657" spans="1:10" ht="22.5">
      <c r="A657" s="27" t="s">
        <v>3341</v>
      </c>
      <c r="B657" s="300" t="s">
        <v>3361</v>
      </c>
      <c r="C657" s="373" t="s">
        <v>3362</v>
      </c>
      <c r="D657" s="569">
        <v>1.6</v>
      </c>
      <c r="E657" s="569">
        <v>3.3</v>
      </c>
      <c r="F657" s="569" t="s">
        <v>3363</v>
      </c>
      <c r="G657" s="73">
        <v>3000000</v>
      </c>
      <c r="H657" s="569">
        <v>3</v>
      </c>
      <c r="I657" s="569" t="s">
        <v>3353</v>
      </c>
      <c r="J657" s="531">
        <v>9000000</v>
      </c>
    </row>
    <row r="658" spans="1:10" ht="22.5">
      <c r="A658" s="27" t="s">
        <v>3341</v>
      </c>
      <c r="B658" s="300" t="s">
        <v>3364</v>
      </c>
      <c r="C658" s="373" t="s">
        <v>3365</v>
      </c>
      <c r="D658" s="569">
        <v>2.1</v>
      </c>
      <c r="E658" s="569">
        <v>4.5</v>
      </c>
      <c r="F658" s="569" t="s">
        <v>3352</v>
      </c>
      <c r="G658" s="73">
        <v>4000000</v>
      </c>
      <c r="H658" s="569">
        <v>3</v>
      </c>
      <c r="I658" s="569" t="s">
        <v>3353</v>
      </c>
      <c r="J658" s="531">
        <v>8000000</v>
      </c>
    </row>
    <row r="659" spans="1:10" ht="22.5">
      <c r="A659" s="27" t="s">
        <v>3341</v>
      </c>
      <c r="B659" s="300" t="s">
        <v>3366</v>
      </c>
      <c r="C659" s="569" t="s">
        <v>3367</v>
      </c>
      <c r="D659" s="569">
        <v>0.3</v>
      </c>
      <c r="E659" s="569">
        <v>3.7</v>
      </c>
      <c r="F659" s="569" t="s">
        <v>3363</v>
      </c>
      <c r="G659" s="73">
        <v>1000000</v>
      </c>
      <c r="H659" s="569">
        <v>3</v>
      </c>
      <c r="I659" s="569" t="s">
        <v>3353</v>
      </c>
      <c r="J659" s="531">
        <v>5000000</v>
      </c>
    </row>
    <row r="660" spans="1:10" ht="33.75">
      <c r="A660" s="27" t="s">
        <v>3341</v>
      </c>
      <c r="B660" s="300" t="s">
        <v>1455</v>
      </c>
      <c r="C660" s="569" t="s">
        <v>3368</v>
      </c>
      <c r="D660" s="569">
        <v>12</v>
      </c>
      <c r="E660" s="569">
        <v>5</v>
      </c>
      <c r="F660" s="569" t="s">
        <v>3369</v>
      </c>
      <c r="G660" s="73">
        <v>6800000</v>
      </c>
      <c r="H660" s="569">
        <v>1</v>
      </c>
      <c r="I660" s="569" t="s">
        <v>3370</v>
      </c>
      <c r="J660" s="531">
        <v>32000000</v>
      </c>
    </row>
    <row r="661" spans="1:10" ht="33.75">
      <c r="A661" s="27" t="s">
        <v>3341</v>
      </c>
      <c r="B661" s="300" t="s">
        <v>3371</v>
      </c>
      <c r="C661" s="569" t="s">
        <v>3372</v>
      </c>
      <c r="D661" s="569">
        <v>10.7</v>
      </c>
      <c r="E661" s="569">
        <v>4.5</v>
      </c>
      <c r="F661" s="569" t="s">
        <v>3373</v>
      </c>
      <c r="G661" s="73">
        <v>5500000</v>
      </c>
      <c r="H661" s="569">
        <v>1</v>
      </c>
      <c r="I661" s="569" t="s">
        <v>3374</v>
      </c>
      <c r="J661" s="531">
        <v>26650000</v>
      </c>
    </row>
    <row r="662" spans="1:10" ht="22.5">
      <c r="A662" s="27" t="s">
        <v>3341</v>
      </c>
      <c r="B662" s="300" t="s">
        <v>3375</v>
      </c>
      <c r="C662" s="569" t="s">
        <v>3376</v>
      </c>
      <c r="D662" s="569">
        <v>2</v>
      </c>
      <c r="E662" s="569">
        <v>5.5</v>
      </c>
      <c r="F662" s="579" t="s">
        <v>3377</v>
      </c>
      <c r="G662" s="73">
        <v>10000000</v>
      </c>
      <c r="H662" s="569">
        <v>1</v>
      </c>
      <c r="I662" s="579" t="s">
        <v>3360</v>
      </c>
      <c r="J662" s="531">
        <v>90000000</v>
      </c>
    </row>
    <row r="663" spans="1:10" ht="33.75">
      <c r="A663" s="27" t="s">
        <v>3341</v>
      </c>
      <c r="B663" s="300" t="s">
        <v>3378</v>
      </c>
      <c r="C663" s="569" t="s">
        <v>3379</v>
      </c>
      <c r="D663" s="569">
        <v>0.8</v>
      </c>
      <c r="E663" s="569">
        <v>4.5</v>
      </c>
      <c r="F663" s="569" t="s">
        <v>3380</v>
      </c>
      <c r="G663" s="73">
        <v>20000000</v>
      </c>
      <c r="H663" s="569">
        <v>1</v>
      </c>
      <c r="I663" s="569" t="s">
        <v>3381</v>
      </c>
      <c r="J663" s="531">
        <v>85000000</v>
      </c>
    </row>
    <row r="664" spans="1:10" ht="33.75">
      <c r="A664" s="27" t="s">
        <v>3341</v>
      </c>
      <c r="B664" s="300" t="s">
        <v>3382</v>
      </c>
      <c r="C664" s="569" t="s">
        <v>3383</v>
      </c>
      <c r="D664" s="569">
        <v>1.9</v>
      </c>
      <c r="E664" s="569">
        <v>3.7</v>
      </c>
      <c r="F664" s="569" t="s">
        <v>3380</v>
      </c>
      <c r="G664" s="73">
        <v>12000000</v>
      </c>
      <c r="H664" s="569">
        <v>1</v>
      </c>
      <c r="I664" s="569" t="s">
        <v>3381</v>
      </c>
      <c r="J664" s="531">
        <v>76000000</v>
      </c>
    </row>
    <row r="665" spans="1:10" ht="22.5">
      <c r="A665" s="27" t="s">
        <v>3341</v>
      </c>
      <c r="B665" s="300" t="s">
        <v>3384</v>
      </c>
      <c r="C665" s="569" t="s">
        <v>3385</v>
      </c>
      <c r="D665" s="569">
        <v>11.2</v>
      </c>
      <c r="E665" s="569">
        <v>3.5</v>
      </c>
      <c r="F665" s="569" t="s">
        <v>3386</v>
      </c>
      <c r="G665" s="73">
        <v>2000000</v>
      </c>
      <c r="H665" s="569">
        <v>2</v>
      </c>
      <c r="I665" s="569" t="s">
        <v>3387</v>
      </c>
      <c r="J665" s="531">
        <v>4500000</v>
      </c>
    </row>
    <row r="666" spans="1:10" ht="22.5">
      <c r="A666" s="27" t="s">
        <v>3341</v>
      </c>
      <c r="B666" s="300" t="s">
        <v>3388</v>
      </c>
      <c r="C666" s="569" t="s">
        <v>3389</v>
      </c>
      <c r="D666" s="569">
        <v>3.1</v>
      </c>
      <c r="E666" s="569">
        <v>4</v>
      </c>
      <c r="F666" s="569" t="s">
        <v>3390</v>
      </c>
      <c r="G666" s="73">
        <v>2000000</v>
      </c>
      <c r="H666" s="569">
        <v>3</v>
      </c>
      <c r="I666" s="569" t="s">
        <v>3391</v>
      </c>
      <c r="J666" s="531">
        <v>5000000</v>
      </c>
    </row>
    <row r="667" spans="1:10" ht="33.75">
      <c r="A667" s="27" t="s">
        <v>3341</v>
      </c>
      <c r="B667" s="300" t="s">
        <v>3392</v>
      </c>
      <c r="C667" s="569" t="s">
        <v>3393</v>
      </c>
      <c r="D667" s="569">
        <v>10</v>
      </c>
      <c r="E667" s="569">
        <v>5</v>
      </c>
      <c r="F667" s="569" t="s">
        <v>3394</v>
      </c>
      <c r="G667" s="73">
        <v>5000000</v>
      </c>
      <c r="H667" s="569">
        <v>2</v>
      </c>
      <c r="I667" s="569" t="s">
        <v>3395</v>
      </c>
      <c r="J667" s="531">
        <v>25000000</v>
      </c>
    </row>
    <row r="668" spans="1:10" ht="22.5">
      <c r="A668" s="27" t="s">
        <v>3396</v>
      </c>
      <c r="B668" s="300" t="s">
        <v>3397</v>
      </c>
      <c r="C668" s="569" t="s">
        <v>3398</v>
      </c>
      <c r="D668" s="569">
        <v>3.8</v>
      </c>
      <c r="E668" s="569">
        <v>4.5</v>
      </c>
      <c r="F668" s="569" t="s">
        <v>3363</v>
      </c>
      <c r="G668" s="73">
        <v>3000000</v>
      </c>
      <c r="H668" s="569">
        <v>2</v>
      </c>
      <c r="I668" s="569" t="s">
        <v>3399</v>
      </c>
      <c r="J668" s="531">
        <v>6000000</v>
      </c>
    </row>
    <row r="669" spans="1:10" ht="45">
      <c r="A669" s="27" t="s">
        <v>3396</v>
      </c>
      <c r="B669" s="300" t="s">
        <v>3400</v>
      </c>
      <c r="C669" s="569" t="s">
        <v>3401</v>
      </c>
      <c r="D669" s="569">
        <v>2.7</v>
      </c>
      <c r="E669" s="569">
        <v>4.4000000000000004</v>
      </c>
      <c r="F669" s="569" t="s">
        <v>3402</v>
      </c>
      <c r="G669" s="73">
        <v>7500000</v>
      </c>
      <c r="H669" s="569">
        <v>1</v>
      </c>
      <c r="I669" s="569" t="s">
        <v>3403</v>
      </c>
      <c r="J669" s="531">
        <v>68000000</v>
      </c>
    </row>
    <row r="670" spans="1:10" ht="45">
      <c r="A670" s="27" t="s">
        <v>3396</v>
      </c>
      <c r="B670" s="300" t="s">
        <v>3404</v>
      </c>
      <c r="C670" s="569" t="s">
        <v>3405</v>
      </c>
      <c r="D670" s="569">
        <v>5.5</v>
      </c>
      <c r="E670" s="569">
        <v>4.4000000000000004</v>
      </c>
      <c r="F670" s="569" t="s">
        <v>3406</v>
      </c>
      <c r="G670" s="73">
        <v>15000000</v>
      </c>
      <c r="H670" s="569">
        <v>1</v>
      </c>
      <c r="I670" s="569" t="s">
        <v>3407</v>
      </c>
      <c r="J670" s="531">
        <v>120000000</v>
      </c>
    </row>
    <row r="671" spans="1:10" ht="56.25">
      <c r="A671" s="27" t="s">
        <v>3396</v>
      </c>
      <c r="B671" s="300" t="s">
        <v>3408</v>
      </c>
      <c r="C671" s="569" t="s">
        <v>3409</v>
      </c>
      <c r="D671" s="569">
        <v>19</v>
      </c>
      <c r="E671" s="569">
        <v>4.5</v>
      </c>
      <c r="F671" s="569" t="s">
        <v>3410</v>
      </c>
      <c r="G671" s="73">
        <v>7000000</v>
      </c>
      <c r="H671" s="569">
        <v>1</v>
      </c>
      <c r="I671" s="569" t="s">
        <v>3411</v>
      </c>
      <c r="J671" s="531">
        <v>120000000</v>
      </c>
    </row>
    <row r="672" spans="1:10" ht="56.25">
      <c r="A672" s="27" t="s">
        <v>3396</v>
      </c>
      <c r="B672" s="300" t="s">
        <v>3412</v>
      </c>
      <c r="C672" s="569" t="s">
        <v>3413</v>
      </c>
      <c r="D672" s="569">
        <v>10.7</v>
      </c>
      <c r="E672" s="569">
        <v>5.5</v>
      </c>
      <c r="F672" s="569" t="s">
        <v>3414</v>
      </c>
      <c r="G672" s="73">
        <v>15000000</v>
      </c>
      <c r="H672" s="569">
        <v>1</v>
      </c>
      <c r="I672" s="569" t="s">
        <v>3415</v>
      </c>
      <c r="J672" s="531">
        <v>134000000</v>
      </c>
    </row>
    <row r="673" spans="1:10" ht="22.5">
      <c r="A673" s="27" t="s">
        <v>3396</v>
      </c>
      <c r="B673" s="300" t="s">
        <v>3416</v>
      </c>
      <c r="C673" s="569" t="s">
        <v>3417</v>
      </c>
      <c r="D673" s="569">
        <v>2.5</v>
      </c>
      <c r="E673" s="569">
        <v>4.7</v>
      </c>
      <c r="F673" s="569" t="s">
        <v>3418</v>
      </c>
      <c r="G673" s="73">
        <v>2500000</v>
      </c>
      <c r="H673" s="569">
        <v>3</v>
      </c>
      <c r="I673" s="569" t="s">
        <v>3353</v>
      </c>
      <c r="J673" s="531">
        <v>5000000</v>
      </c>
    </row>
    <row r="674" spans="1:10" ht="22.5">
      <c r="A674" s="27" t="s">
        <v>3396</v>
      </c>
      <c r="B674" s="300" t="s">
        <v>3419</v>
      </c>
      <c r="C674" s="569" t="s">
        <v>3420</v>
      </c>
      <c r="D674" s="569">
        <v>0.8</v>
      </c>
      <c r="E674" s="569">
        <v>4.8</v>
      </c>
      <c r="F674" s="569" t="s">
        <v>3418</v>
      </c>
      <c r="G674" s="73">
        <v>2000000</v>
      </c>
      <c r="H674" s="569">
        <v>3</v>
      </c>
      <c r="I674" s="569" t="s">
        <v>3353</v>
      </c>
      <c r="J674" s="531">
        <v>4500000</v>
      </c>
    </row>
    <row r="675" spans="1:10" ht="33.75">
      <c r="A675" s="27" t="s">
        <v>3396</v>
      </c>
      <c r="B675" s="300" t="s">
        <v>3421</v>
      </c>
      <c r="C675" s="569" t="s">
        <v>3422</v>
      </c>
      <c r="D675" s="569">
        <v>5.5</v>
      </c>
      <c r="E675" s="569">
        <v>4</v>
      </c>
      <c r="F675" s="569" t="s">
        <v>3423</v>
      </c>
      <c r="G675" s="73">
        <v>2500000</v>
      </c>
      <c r="H675" s="569">
        <v>3</v>
      </c>
      <c r="I675" s="569" t="s">
        <v>3424</v>
      </c>
      <c r="J675" s="531">
        <v>5000000</v>
      </c>
    </row>
    <row r="676" spans="1:10" ht="33.75">
      <c r="A676" s="27" t="s">
        <v>3396</v>
      </c>
      <c r="B676" s="300" t="s">
        <v>3425</v>
      </c>
      <c r="C676" s="569" t="s">
        <v>3426</v>
      </c>
      <c r="D676" s="569">
        <v>2.6</v>
      </c>
      <c r="E676" s="569">
        <v>4</v>
      </c>
      <c r="F676" s="569" t="s">
        <v>3423</v>
      </c>
      <c r="G676" s="73">
        <v>2500000</v>
      </c>
      <c r="H676" s="569">
        <v>2</v>
      </c>
      <c r="I676" s="569" t="s">
        <v>3424</v>
      </c>
      <c r="J676" s="531">
        <v>5000000</v>
      </c>
    </row>
    <row r="677" spans="1:10" ht="33.75">
      <c r="A677" s="27" t="s">
        <v>3396</v>
      </c>
      <c r="B677" s="300" t="s">
        <v>3427</v>
      </c>
      <c r="C677" s="569" t="s">
        <v>3428</v>
      </c>
      <c r="D677" s="569">
        <v>2</v>
      </c>
      <c r="E677" s="569">
        <v>3.5</v>
      </c>
      <c r="F677" s="569" t="s">
        <v>3423</v>
      </c>
      <c r="G677" s="73">
        <v>2500000</v>
      </c>
      <c r="H677" s="569">
        <v>3</v>
      </c>
      <c r="I677" s="569" t="s">
        <v>3424</v>
      </c>
      <c r="J677" s="531">
        <v>5000000</v>
      </c>
    </row>
    <row r="678" spans="1:10" ht="22.5">
      <c r="A678" s="27" t="s">
        <v>3396</v>
      </c>
      <c r="B678" s="300" t="s">
        <v>3429</v>
      </c>
      <c r="C678" s="569" t="s">
        <v>3430</v>
      </c>
      <c r="D678" s="569">
        <v>1.4</v>
      </c>
      <c r="E678" s="569">
        <v>5</v>
      </c>
      <c r="F678" s="569" t="s">
        <v>3418</v>
      </c>
      <c r="G678" s="73">
        <v>3000000</v>
      </c>
      <c r="H678" s="569">
        <v>2</v>
      </c>
      <c r="I678" s="569" t="s">
        <v>3353</v>
      </c>
      <c r="J678" s="531">
        <v>7000000</v>
      </c>
    </row>
    <row r="679" spans="1:10" ht="22.5">
      <c r="A679" s="27" t="s">
        <v>3396</v>
      </c>
      <c r="B679" s="300" t="s">
        <v>3431</v>
      </c>
      <c r="C679" s="569" t="s">
        <v>3432</v>
      </c>
      <c r="D679" s="569">
        <v>1.1000000000000001</v>
      </c>
      <c r="E679" s="569">
        <v>5</v>
      </c>
      <c r="F679" s="569" t="s">
        <v>3418</v>
      </c>
      <c r="G679" s="73">
        <v>3000000</v>
      </c>
      <c r="H679" s="569">
        <v>2</v>
      </c>
      <c r="I679" s="569" t="s">
        <v>3353</v>
      </c>
      <c r="J679" s="531">
        <v>6000000</v>
      </c>
    </row>
    <row r="680" spans="1:10" ht="22.5">
      <c r="A680" s="27" t="s">
        <v>3396</v>
      </c>
      <c r="B680" s="300" t="s">
        <v>3433</v>
      </c>
      <c r="C680" s="569" t="s">
        <v>3434</v>
      </c>
      <c r="D680" s="569">
        <v>5.5</v>
      </c>
      <c r="E680" s="569">
        <v>3.5</v>
      </c>
      <c r="F680" s="569" t="s">
        <v>3418</v>
      </c>
      <c r="G680" s="73">
        <v>3000000</v>
      </c>
      <c r="H680" s="569">
        <v>2</v>
      </c>
      <c r="I680" s="569" t="s">
        <v>3353</v>
      </c>
      <c r="J680" s="531">
        <v>7000000</v>
      </c>
    </row>
    <row r="681" spans="1:10" ht="22.5">
      <c r="A681" s="27" t="s">
        <v>3396</v>
      </c>
      <c r="B681" s="300" t="s">
        <v>3435</v>
      </c>
      <c r="C681" s="569" t="s">
        <v>3436</v>
      </c>
      <c r="D681" s="569">
        <v>0.2</v>
      </c>
      <c r="E681" s="569">
        <v>4</v>
      </c>
      <c r="F681" s="569" t="s">
        <v>3437</v>
      </c>
      <c r="G681" s="73">
        <v>5000000</v>
      </c>
      <c r="H681" s="569">
        <v>1</v>
      </c>
      <c r="I681" s="579" t="s">
        <v>3360</v>
      </c>
      <c r="J681" s="531">
        <v>30000000</v>
      </c>
    </row>
    <row r="682" spans="1:10" ht="33.75">
      <c r="A682" s="27" t="s">
        <v>3396</v>
      </c>
      <c r="B682" s="300" t="s">
        <v>3438</v>
      </c>
      <c r="C682" s="569" t="s">
        <v>3439</v>
      </c>
      <c r="D682" s="569">
        <v>6.4</v>
      </c>
      <c r="E682" s="569">
        <v>4</v>
      </c>
      <c r="F682" s="569" t="s">
        <v>3423</v>
      </c>
      <c r="G682" s="73">
        <v>5000000</v>
      </c>
      <c r="H682" s="569">
        <v>1</v>
      </c>
      <c r="I682" s="569" t="s">
        <v>3424</v>
      </c>
      <c r="J682" s="531">
        <v>15000000</v>
      </c>
    </row>
    <row r="683" spans="1:10" ht="56.25">
      <c r="A683" s="27" t="s">
        <v>3396</v>
      </c>
      <c r="B683" s="300" t="s">
        <v>3440</v>
      </c>
      <c r="C683" s="569" t="s">
        <v>3441</v>
      </c>
      <c r="D683" s="569">
        <v>14.5</v>
      </c>
      <c r="E683" s="569">
        <v>4.8</v>
      </c>
      <c r="F683" s="569" t="s">
        <v>3442</v>
      </c>
      <c r="G683" s="73">
        <v>8000000</v>
      </c>
      <c r="H683" s="569">
        <v>1</v>
      </c>
      <c r="I683" s="569" t="s">
        <v>3443</v>
      </c>
      <c r="J683" s="531">
        <v>32000000</v>
      </c>
    </row>
    <row r="684" spans="1:10" ht="33.75">
      <c r="A684" s="22" t="s">
        <v>23823</v>
      </c>
      <c r="B684" s="26" t="s">
        <v>23823</v>
      </c>
      <c r="C684" s="569" t="s">
        <v>23824</v>
      </c>
      <c r="D684" s="569">
        <v>12.49</v>
      </c>
      <c r="E684" s="569">
        <v>5</v>
      </c>
      <c r="F684" s="569" t="s">
        <v>23825</v>
      </c>
      <c r="G684" s="73">
        <v>0</v>
      </c>
      <c r="H684" s="569" t="s">
        <v>1628</v>
      </c>
      <c r="I684" s="569" t="s">
        <v>23826</v>
      </c>
      <c r="J684" s="531">
        <v>110000000</v>
      </c>
    </row>
    <row r="685" spans="1:10" ht="33.75">
      <c r="A685" s="22">
        <v>0</v>
      </c>
      <c r="B685" s="26">
        <v>0</v>
      </c>
      <c r="C685" s="569" t="s">
        <v>23827</v>
      </c>
      <c r="D685" s="569">
        <v>7.2</v>
      </c>
      <c r="E685" s="569">
        <v>0</v>
      </c>
      <c r="F685" s="569" t="s">
        <v>23564</v>
      </c>
      <c r="G685" s="73">
        <v>0</v>
      </c>
      <c r="H685" s="569">
        <v>1</v>
      </c>
      <c r="I685" s="569" t="s">
        <v>23565</v>
      </c>
      <c r="J685" s="531">
        <v>1616250</v>
      </c>
    </row>
    <row r="686" spans="1:10" ht="15.75">
      <c r="A686" s="1013" t="s">
        <v>189</v>
      </c>
      <c r="B686" s="1014"/>
      <c r="C686" s="1014"/>
      <c r="D686" s="1014"/>
      <c r="E686" s="1014"/>
      <c r="F686" s="1014"/>
      <c r="G686" s="550">
        <f>SUM(G652:G685)</f>
        <v>175300000</v>
      </c>
      <c r="H686" s="564"/>
      <c r="I686" s="564"/>
      <c r="J686" s="626">
        <f>SUM(J652:J685)</f>
        <v>1170266250</v>
      </c>
    </row>
    <row r="687" spans="1:10" ht="15.75">
      <c r="A687" s="1013" t="s">
        <v>6203</v>
      </c>
      <c r="B687" s="1014"/>
      <c r="C687" s="1014"/>
      <c r="D687" s="1014"/>
      <c r="E687" s="1014"/>
      <c r="F687" s="1014"/>
      <c r="G687" s="1014"/>
      <c r="H687" s="1014"/>
      <c r="I687" s="1014"/>
      <c r="J687" s="1015"/>
    </row>
    <row r="688" spans="1:10" ht="33.75">
      <c r="A688" s="22" t="s">
        <v>5884</v>
      </c>
      <c r="B688" s="26" t="s">
        <v>5885</v>
      </c>
      <c r="C688" s="569" t="s">
        <v>5886</v>
      </c>
      <c r="D688" s="64">
        <v>7</v>
      </c>
      <c r="E688" s="569">
        <v>5</v>
      </c>
      <c r="F688" s="569" t="s">
        <v>5887</v>
      </c>
      <c r="G688" s="582">
        <v>18000000</v>
      </c>
      <c r="H688" s="569">
        <v>1</v>
      </c>
      <c r="I688" s="569" t="s">
        <v>5888</v>
      </c>
      <c r="J688" s="632">
        <v>125000000</v>
      </c>
    </row>
    <row r="689" spans="1:10" ht="33.75">
      <c r="A689" s="22" t="s">
        <v>5884</v>
      </c>
      <c r="B689" s="26" t="s">
        <v>5889</v>
      </c>
      <c r="C689" s="569" t="s">
        <v>5890</v>
      </c>
      <c r="D689" s="64">
        <v>1.7</v>
      </c>
      <c r="E689" s="569">
        <v>5</v>
      </c>
      <c r="F689" s="569" t="s">
        <v>5891</v>
      </c>
      <c r="G689" s="582">
        <v>2500000</v>
      </c>
      <c r="H689" s="569">
        <v>1</v>
      </c>
      <c r="I689" s="569" t="s">
        <v>5892</v>
      </c>
      <c r="J689" s="632">
        <v>24000000</v>
      </c>
    </row>
    <row r="690" spans="1:10" ht="33.75">
      <c r="A690" s="22" t="s">
        <v>5884</v>
      </c>
      <c r="B690" s="26" t="s">
        <v>5885</v>
      </c>
      <c r="C690" s="569" t="s">
        <v>5893</v>
      </c>
      <c r="D690" s="64">
        <v>7</v>
      </c>
      <c r="E690" s="569">
        <v>5</v>
      </c>
      <c r="F690" s="569" t="s">
        <v>5894</v>
      </c>
      <c r="G690" s="582">
        <v>1700000</v>
      </c>
      <c r="H690" s="569">
        <v>1</v>
      </c>
      <c r="I690" s="569" t="s">
        <v>5888</v>
      </c>
      <c r="J690" s="632">
        <v>2200000</v>
      </c>
    </row>
    <row r="691" spans="1:10" ht="33.75">
      <c r="A691" s="22" t="s">
        <v>5884</v>
      </c>
      <c r="B691" s="26" t="s">
        <v>5895</v>
      </c>
      <c r="C691" s="569" t="s">
        <v>5896</v>
      </c>
      <c r="D691" s="64">
        <v>0.3</v>
      </c>
      <c r="E691" s="569">
        <v>5</v>
      </c>
      <c r="F691" s="569" t="s">
        <v>5897</v>
      </c>
      <c r="G691" s="582">
        <v>2500000</v>
      </c>
      <c r="H691" s="569">
        <v>1</v>
      </c>
      <c r="I691" s="569" t="s">
        <v>5898</v>
      </c>
      <c r="J691" s="632">
        <v>21000000</v>
      </c>
    </row>
    <row r="692" spans="1:10" ht="33.75">
      <c r="A692" s="22" t="s">
        <v>5899</v>
      </c>
      <c r="B692" s="26" t="s">
        <v>5900</v>
      </c>
      <c r="C692" s="569" t="s">
        <v>5901</v>
      </c>
      <c r="D692" s="64">
        <v>1</v>
      </c>
      <c r="E692" s="569">
        <v>5</v>
      </c>
      <c r="F692" s="569" t="s">
        <v>5902</v>
      </c>
      <c r="G692" s="582">
        <v>2800000</v>
      </c>
      <c r="H692" s="569">
        <v>1</v>
      </c>
      <c r="I692" s="569" t="s">
        <v>5892</v>
      </c>
      <c r="J692" s="632">
        <v>3500000</v>
      </c>
    </row>
    <row r="693" spans="1:10">
      <c r="A693" s="22" t="s">
        <v>5899</v>
      </c>
      <c r="B693" s="26" t="s">
        <v>5903</v>
      </c>
      <c r="C693" s="569" t="s">
        <v>5904</v>
      </c>
      <c r="D693" s="64">
        <v>6.1</v>
      </c>
      <c r="E693" s="569">
        <v>5</v>
      </c>
      <c r="F693" s="569" t="s">
        <v>5905</v>
      </c>
      <c r="G693" s="582">
        <v>4800000</v>
      </c>
      <c r="H693" s="569">
        <v>1</v>
      </c>
      <c r="I693" s="569" t="s">
        <v>5892</v>
      </c>
      <c r="J693" s="632">
        <v>12500000</v>
      </c>
    </row>
    <row r="694" spans="1:10" ht="33.75">
      <c r="A694" s="22" t="s">
        <v>5899</v>
      </c>
      <c r="B694" s="26" t="s">
        <v>1674</v>
      </c>
      <c r="C694" s="569" t="s">
        <v>5906</v>
      </c>
      <c r="D694" s="64">
        <v>3</v>
      </c>
      <c r="E694" s="569">
        <v>5</v>
      </c>
      <c r="F694" s="569" t="s">
        <v>5907</v>
      </c>
      <c r="G694" s="582">
        <v>11000000</v>
      </c>
      <c r="H694" s="569">
        <v>1</v>
      </c>
      <c r="I694" s="569" t="s">
        <v>5892</v>
      </c>
      <c r="J694" s="632">
        <v>17500000</v>
      </c>
    </row>
    <row r="695" spans="1:10" ht="33.75">
      <c r="A695" s="22" t="s">
        <v>5899</v>
      </c>
      <c r="B695" s="26" t="s">
        <v>5908</v>
      </c>
      <c r="C695" s="569" t="s">
        <v>5909</v>
      </c>
      <c r="D695" s="569">
        <v>1</v>
      </c>
      <c r="E695" s="569">
        <v>5</v>
      </c>
      <c r="F695" s="569" t="s">
        <v>5910</v>
      </c>
      <c r="G695" s="582">
        <v>1200000</v>
      </c>
      <c r="H695" s="569">
        <v>1</v>
      </c>
      <c r="I695" s="569" t="s">
        <v>5898</v>
      </c>
      <c r="J695" s="632">
        <v>23000000</v>
      </c>
    </row>
    <row r="696" spans="1:10" ht="45">
      <c r="A696" s="22" t="s">
        <v>5899</v>
      </c>
      <c r="B696" s="26" t="s">
        <v>5911</v>
      </c>
      <c r="C696" s="569" t="s">
        <v>5912</v>
      </c>
      <c r="D696" s="569">
        <v>0.32500000000000001</v>
      </c>
      <c r="E696" s="569">
        <v>5</v>
      </c>
      <c r="F696" s="569" t="s">
        <v>5913</v>
      </c>
      <c r="G696" s="582">
        <v>900000</v>
      </c>
      <c r="H696" s="569">
        <v>1</v>
      </c>
      <c r="I696" s="569" t="s">
        <v>5898</v>
      </c>
      <c r="J696" s="632">
        <v>6700000</v>
      </c>
    </row>
    <row r="697" spans="1:10" ht="33.75">
      <c r="A697" s="22" t="s">
        <v>5899</v>
      </c>
      <c r="B697" s="26" t="s">
        <v>5900</v>
      </c>
      <c r="C697" s="569" t="s">
        <v>5914</v>
      </c>
      <c r="D697" s="569">
        <v>1.7</v>
      </c>
      <c r="E697" s="569">
        <v>5</v>
      </c>
      <c r="F697" s="569" t="s">
        <v>5915</v>
      </c>
      <c r="G697" s="582">
        <v>4500000</v>
      </c>
      <c r="H697" s="569">
        <v>1</v>
      </c>
      <c r="I697" s="569" t="s">
        <v>5898</v>
      </c>
      <c r="J697" s="632">
        <v>7800000</v>
      </c>
    </row>
    <row r="698" spans="1:10" ht="33.75">
      <c r="A698" s="22" t="s">
        <v>5899</v>
      </c>
      <c r="B698" s="26" t="s">
        <v>5916</v>
      </c>
      <c r="C698" s="569" t="s">
        <v>5917</v>
      </c>
      <c r="D698" s="569">
        <v>3.9</v>
      </c>
      <c r="E698" s="569">
        <v>5</v>
      </c>
      <c r="F698" s="569" t="s">
        <v>5918</v>
      </c>
      <c r="G698" s="582">
        <v>1500000</v>
      </c>
      <c r="H698" s="569">
        <v>1</v>
      </c>
      <c r="I698" s="569" t="s">
        <v>5898</v>
      </c>
      <c r="J698" s="632">
        <v>26000000</v>
      </c>
    </row>
    <row r="699" spans="1:10" ht="33.75">
      <c r="A699" s="22" t="s">
        <v>5899</v>
      </c>
      <c r="B699" s="26" t="s">
        <v>5919</v>
      </c>
      <c r="C699" s="569" t="s">
        <v>5920</v>
      </c>
      <c r="D699" s="569">
        <v>1.1000000000000001</v>
      </c>
      <c r="E699" s="569">
        <v>4</v>
      </c>
      <c r="F699" s="569" t="s">
        <v>5921</v>
      </c>
      <c r="G699" s="582">
        <v>6700000</v>
      </c>
      <c r="H699" s="569">
        <v>1</v>
      </c>
      <c r="I699" s="569" t="s">
        <v>5898</v>
      </c>
      <c r="J699" s="632">
        <v>25000000</v>
      </c>
    </row>
    <row r="700" spans="1:10" ht="33.75">
      <c r="A700" s="22" t="s">
        <v>5899</v>
      </c>
      <c r="B700" s="26" t="s">
        <v>5922</v>
      </c>
      <c r="C700" s="569" t="s">
        <v>5923</v>
      </c>
      <c r="D700" s="569">
        <v>14.8</v>
      </c>
      <c r="E700" s="569">
        <v>4</v>
      </c>
      <c r="F700" s="569" t="s">
        <v>387</v>
      </c>
      <c r="G700" s="582">
        <v>3400000</v>
      </c>
      <c r="H700" s="569">
        <v>1</v>
      </c>
      <c r="I700" s="569" t="s">
        <v>5898</v>
      </c>
      <c r="J700" s="632">
        <v>13400000</v>
      </c>
    </row>
    <row r="701" spans="1:10" ht="45">
      <c r="A701" s="22" t="s">
        <v>5899</v>
      </c>
      <c r="B701" s="26" t="s">
        <v>1674</v>
      </c>
      <c r="C701" s="569" t="s">
        <v>5924</v>
      </c>
      <c r="D701" s="569">
        <v>3</v>
      </c>
      <c r="E701" s="569">
        <v>4</v>
      </c>
      <c r="F701" s="569" t="s">
        <v>5925</v>
      </c>
      <c r="G701" s="582">
        <v>23000000</v>
      </c>
      <c r="H701" s="569">
        <v>1</v>
      </c>
      <c r="I701" s="569" t="s">
        <v>5926</v>
      </c>
      <c r="J701" s="632">
        <v>86000000</v>
      </c>
    </row>
    <row r="702" spans="1:10" ht="33.75">
      <c r="A702" s="22" t="s">
        <v>5899</v>
      </c>
      <c r="B702" s="26" t="s">
        <v>1754</v>
      </c>
      <c r="C702" s="569" t="s">
        <v>5927</v>
      </c>
      <c r="D702" s="569">
        <v>7</v>
      </c>
      <c r="E702" s="569">
        <v>5</v>
      </c>
      <c r="F702" s="569" t="s">
        <v>5928</v>
      </c>
      <c r="G702" s="582">
        <v>12900000</v>
      </c>
      <c r="H702" s="569">
        <v>1</v>
      </c>
      <c r="I702" s="569" t="s">
        <v>5888</v>
      </c>
      <c r="J702" s="632">
        <v>24000000</v>
      </c>
    </row>
    <row r="703" spans="1:10" ht="22.5">
      <c r="A703" s="22" t="s">
        <v>5899</v>
      </c>
      <c r="B703" s="26" t="s">
        <v>5929</v>
      </c>
      <c r="C703" s="569" t="s">
        <v>5930</v>
      </c>
      <c r="D703" s="569">
        <v>9.6</v>
      </c>
      <c r="E703" s="569">
        <v>5.5</v>
      </c>
      <c r="F703" s="569" t="s">
        <v>5931</v>
      </c>
      <c r="G703" s="582">
        <v>24500000</v>
      </c>
      <c r="H703" s="569">
        <v>1</v>
      </c>
      <c r="I703" s="569" t="s">
        <v>5898</v>
      </c>
      <c r="J703" s="632">
        <v>37000000</v>
      </c>
    </row>
    <row r="704" spans="1:10" ht="33.75">
      <c r="A704" s="22" t="s">
        <v>5899</v>
      </c>
      <c r="B704" s="26" t="s">
        <v>5932</v>
      </c>
      <c r="C704" s="569" t="s">
        <v>5933</v>
      </c>
      <c r="D704" s="569">
        <v>9.3000000000000007</v>
      </c>
      <c r="E704" s="569">
        <v>5</v>
      </c>
      <c r="F704" s="569" t="s">
        <v>4303</v>
      </c>
      <c r="G704" s="582">
        <v>900000</v>
      </c>
      <c r="H704" s="569">
        <v>1</v>
      </c>
      <c r="I704" s="569" t="s">
        <v>5934</v>
      </c>
      <c r="J704" s="632">
        <v>68000000</v>
      </c>
    </row>
    <row r="705" spans="1:10" ht="22.5">
      <c r="A705" s="22" t="s">
        <v>5899</v>
      </c>
      <c r="B705" s="26" t="s">
        <v>5916</v>
      </c>
      <c r="C705" s="569" t="s">
        <v>5935</v>
      </c>
      <c r="D705" s="569">
        <v>1</v>
      </c>
      <c r="E705" s="569">
        <v>5</v>
      </c>
      <c r="F705" s="569" t="s">
        <v>2004</v>
      </c>
      <c r="G705" s="582">
        <v>3000000</v>
      </c>
      <c r="H705" s="569">
        <v>1</v>
      </c>
      <c r="I705" s="569" t="s">
        <v>5898</v>
      </c>
      <c r="J705" s="632">
        <v>45600000</v>
      </c>
    </row>
    <row r="706" spans="1:10" ht="22.5">
      <c r="A706" s="22" t="s">
        <v>5899</v>
      </c>
      <c r="B706" s="26" t="s">
        <v>1707</v>
      </c>
      <c r="C706" s="569" t="s">
        <v>5936</v>
      </c>
      <c r="D706" s="569">
        <v>2.2000000000000002</v>
      </c>
      <c r="E706" s="569">
        <v>5</v>
      </c>
      <c r="F706" s="569" t="s">
        <v>2004</v>
      </c>
      <c r="G706" s="582">
        <v>1300000</v>
      </c>
      <c r="H706" s="569">
        <v>1</v>
      </c>
      <c r="I706" s="569" t="s">
        <v>5898</v>
      </c>
      <c r="J706" s="632">
        <v>4500000</v>
      </c>
    </row>
    <row r="707" spans="1:10" ht="22.5">
      <c r="A707" s="22" t="s">
        <v>5899</v>
      </c>
      <c r="B707" s="26" t="s">
        <v>5937</v>
      </c>
      <c r="C707" s="569" t="s">
        <v>5938</v>
      </c>
      <c r="D707" s="569">
        <v>0.39</v>
      </c>
      <c r="E707" s="569">
        <v>5</v>
      </c>
      <c r="F707" s="569" t="s">
        <v>5939</v>
      </c>
      <c r="G707" s="582">
        <v>1500000</v>
      </c>
      <c r="H707" s="569">
        <v>1</v>
      </c>
      <c r="I707" s="569" t="s">
        <v>5898</v>
      </c>
      <c r="J707" s="632">
        <v>5600000</v>
      </c>
    </row>
    <row r="708" spans="1:10">
      <c r="A708" s="22" t="s">
        <v>5899</v>
      </c>
      <c r="B708" s="26" t="s">
        <v>5940</v>
      </c>
      <c r="C708" s="569" t="s">
        <v>5941</v>
      </c>
      <c r="D708" s="569">
        <v>1.5</v>
      </c>
      <c r="E708" s="569">
        <v>6</v>
      </c>
      <c r="F708" s="569" t="s">
        <v>5942</v>
      </c>
      <c r="G708" s="582">
        <v>350000</v>
      </c>
      <c r="H708" s="569">
        <v>1</v>
      </c>
      <c r="I708" s="569" t="s">
        <v>5943</v>
      </c>
      <c r="J708" s="632">
        <v>1500000</v>
      </c>
    </row>
    <row r="709" spans="1:10" ht="33.75">
      <c r="A709" s="22" t="s">
        <v>5899</v>
      </c>
      <c r="B709" s="26" t="s">
        <v>5944</v>
      </c>
      <c r="C709" s="569" t="s">
        <v>5945</v>
      </c>
      <c r="D709" s="569">
        <v>9.3000000000000007</v>
      </c>
      <c r="E709" s="569">
        <v>6</v>
      </c>
      <c r="F709" s="569" t="s">
        <v>5946</v>
      </c>
      <c r="G709" s="582">
        <v>5900000</v>
      </c>
      <c r="H709" s="569">
        <v>1</v>
      </c>
      <c r="I709" s="569" t="s">
        <v>5888</v>
      </c>
      <c r="J709" s="632">
        <v>79000000</v>
      </c>
    </row>
    <row r="710" spans="1:10" ht="22.5">
      <c r="A710" s="22" t="s">
        <v>5899</v>
      </c>
      <c r="B710" s="26" t="s">
        <v>5947</v>
      </c>
      <c r="C710" s="569" t="s">
        <v>5948</v>
      </c>
      <c r="D710" s="569">
        <v>3</v>
      </c>
      <c r="E710" s="569">
        <v>5</v>
      </c>
      <c r="F710" s="569" t="s">
        <v>5921</v>
      </c>
      <c r="G710" s="582">
        <v>1000000</v>
      </c>
      <c r="H710" s="569">
        <v>1</v>
      </c>
      <c r="I710" s="569" t="s">
        <v>5898</v>
      </c>
      <c r="J710" s="632">
        <v>2300000</v>
      </c>
    </row>
    <row r="711" spans="1:10" ht="22.5">
      <c r="A711" s="22" t="s">
        <v>5899</v>
      </c>
      <c r="B711" s="26" t="s">
        <v>5944</v>
      </c>
      <c r="C711" s="569" t="s">
        <v>5949</v>
      </c>
      <c r="D711" s="569">
        <v>1.3</v>
      </c>
      <c r="E711" s="569">
        <v>5</v>
      </c>
      <c r="F711" s="569" t="s">
        <v>5950</v>
      </c>
      <c r="G711" s="582">
        <v>8000000</v>
      </c>
      <c r="H711" s="569">
        <v>1</v>
      </c>
      <c r="I711" s="569" t="s">
        <v>5898</v>
      </c>
      <c r="J711" s="632">
        <v>16000000</v>
      </c>
    </row>
    <row r="712" spans="1:10" ht="33.75">
      <c r="A712" s="22" t="s">
        <v>5899</v>
      </c>
      <c r="B712" s="26" t="s">
        <v>5951</v>
      </c>
      <c r="C712" s="569" t="s">
        <v>5952</v>
      </c>
      <c r="D712" s="569">
        <v>3.7</v>
      </c>
      <c r="E712" s="569">
        <v>6</v>
      </c>
      <c r="F712" s="569" t="s">
        <v>5946</v>
      </c>
      <c r="G712" s="582">
        <v>60000000</v>
      </c>
      <c r="H712" s="569">
        <v>1</v>
      </c>
      <c r="I712" s="569" t="s">
        <v>5888</v>
      </c>
      <c r="J712" s="632">
        <v>310000000</v>
      </c>
    </row>
    <row r="713" spans="1:10" ht="33.75">
      <c r="A713" s="22" t="s">
        <v>5899</v>
      </c>
      <c r="B713" s="26" t="s">
        <v>5953</v>
      </c>
      <c r="C713" s="569" t="s">
        <v>5954</v>
      </c>
      <c r="D713" s="569">
        <v>0.2</v>
      </c>
      <c r="E713" s="569">
        <v>4.5</v>
      </c>
      <c r="F713" s="569" t="s">
        <v>5955</v>
      </c>
      <c r="G713" s="582">
        <v>125000000</v>
      </c>
      <c r="H713" s="569">
        <v>1</v>
      </c>
      <c r="I713" s="569" t="s">
        <v>5888</v>
      </c>
      <c r="J713" s="632">
        <v>230000000</v>
      </c>
    </row>
    <row r="714" spans="1:10" ht="22.5">
      <c r="A714" s="22" t="s">
        <v>5956</v>
      </c>
      <c r="B714" s="26" t="s">
        <v>98</v>
      </c>
      <c r="C714" s="569" t="s">
        <v>5957</v>
      </c>
      <c r="D714" s="569">
        <v>1</v>
      </c>
      <c r="E714" s="569">
        <v>5</v>
      </c>
      <c r="F714" s="569" t="s">
        <v>5958</v>
      </c>
      <c r="G714" s="582">
        <v>1200000</v>
      </c>
      <c r="H714" s="569">
        <v>1</v>
      </c>
      <c r="I714" s="569" t="s">
        <v>5892</v>
      </c>
      <c r="J714" s="632">
        <v>3400000</v>
      </c>
    </row>
    <row r="715" spans="1:10" ht="22.5">
      <c r="A715" s="22" t="s">
        <v>5956</v>
      </c>
      <c r="B715" s="26" t="s">
        <v>5959</v>
      </c>
      <c r="C715" s="569" t="s">
        <v>5960</v>
      </c>
      <c r="D715" s="569">
        <v>9.1999999999999993</v>
      </c>
      <c r="E715" s="569">
        <v>5</v>
      </c>
      <c r="F715" s="569" t="s">
        <v>5961</v>
      </c>
      <c r="G715" s="582">
        <v>12000000</v>
      </c>
      <c r="H715" s="569">
        <v>1</v>
      </c>
      <c r="I715" s="569" t="s">
        <v>5898</v>
      </c>
      <c r="J715" s="632">
        <v>42000000</v>
      </c>
    </row>
    <row r="716" spans="1:10" ht="22.5">
      <c r="A716" s="22" t="s">
        <v>5956</v>
      </c>
      <c r="B716" s="26" t="s">
        <v>4431</v>
      </c>
      <c r="C716" s="569" t="s">
        <v>5962</v>
      </c>
      <c r="D716" s="569">
        <v>8.4</v>
      </c>
      <c r="E716" s="569">
        <v>4.5</v>
      </c>
      <c r="F716" s="569" t="s">
        <v>5921</v>
      </c>
      <c r="G716" s="582">
        <v>1900000</v>
      </c>
      <c r="H716" s="569">
        <v>1</v>
      </c>
      <c r="I716" s="569" t="s">
        <v>5898</v>
      </c>
      <c r="J716" s="632">
        <v>3500000</v>
      </c>
    </row>
    <row r="717" spans="1:10" ht="22.5">
      <c r="A717" s="22" t="s">
        <v>5956</v>
      </c>
      <c r="B717" s="26" t="s">
        <v>98</v>
      </c>
      <c r="C717" s="569" t="s">
        <v>5963</v>
      </c>
      <c r="D717" s="569">
        <v>4</v>
      </c>
      <c r="E717" s="569">
        <v>6</v>
      </c>
      <c r="F717" s="569" t="s">
        <v>5964</v>
      </c>
      <c r="G717" s="582">
        <v>1200000</v>
      </c>
      <c r="H717" s="569">
        <v>1</v>
      </c>
      <c r="I717" s="569" t="s">
        <v>5898</v>
      </c>
      <c r="J717" s="632">
        <v>6700000</v>
      </c>
    </row>
    <row r="718" spans="1:10" ht="22.5">
      <c r="A718" s="22" t="s">
        <v>5956</v>
      </c>
      <c r="B718" s="26" t="s">
        <v>5965</v>
      </c>
      <c r="C718" s="569" t="s">
        <v>5966</v>
      </c>
      <c r="D718" s="569">
        <v>9.1999999999999993</v>
      </c>
      <c r="E718" s="569">
        <v>5</v>
      </c>
      <c r="F718" s="569" t="s">
        <v>5921</v>
      </c>
      <c r="G718" s="582">
        <v>1200000</v>
      </c>
      <c r="H718" s="569">
        <v>1</v>
      </c>
      <c r="I718" s="569" t="s">
        <v>5898</v>
      </c>
      <c r="J718" s="632">
        <v>3400000</v>
      </c>
    </row>
    <row r="719" spans="1:10" ht="22.5">
      <c r="A719" s="22" t="s">
        <v>5956</v>
      </c>
      <c r="B719" s="26" t="s">
        <v>5967</v>
      </c>
      <c r="C719" s="569" t="s">
        <v>5968</v>
      </c>
      <c r="D719" s="569">
        <v>2.2999999999999998</v>
      </c>
      <c r="E719" s="569">
        <v>5</v>
      </c>
      <c r="F719" s="569" t="s">
        <v>5969</v>
      </c>
      <c r="G719" s="582">
        <v>1300000</v>
      </c>
      <c r="H719" s="569">
        <v>1</v>
      </c>
      <c r="I719" s="569" t="s">
        <v>5898</v>
      </c>
      <c r="J719" s="632">
        <v>25600000</v>
      </c>
    </row>
    <row r="720" spans="1:10" ht="45">
      <c r="A720" s="22" t="s">
        <v>5970</v>
      </c>
      <c r="B720" s="26" t="s">
        <v>5971</v>
      </c>
      <c r="C720" s="569" t="s">
        <v>5972</v>
      </c>
      <c r="D720" s="569">
        <v>2.5</v>
      </c>
      <c r="E720" s="569">
        <v>4</v>
      </c>
      <c r="F720" s="569" t="s">
        <v>5973</v>
      </c>
      <c r="G720" s="582">
        <v>8900000</v>
      </c>
      <c r="H720" s="569">
        <v>1</v>
      </c>
      <c r="I720" s="569" t="s">
        <v>5888</v>
      </c>
      <c r="J720" s="632">
        <v>35000000</v>
      </c>
    </row>
    <row r="721" spans="1:10" ht="33.75">
      <c r="A721" s="22" t="s">
        <v>5970</v>
      </c>
      <c r="B721" s="26" t="s">
        <v>5974</v>
      </c>
      <c r="C721" s="569" t="s">
        <v>5975</v>
      </c>
      <c r="D721" s="569">
        <v>17.399999999999999</v>
      </c>
      <c r="E721" s="569" t="s">
        <v>5976</v>
      </c>
      <c r="F721" s="569" t="s">
        <v>5977</v>
      </c>
      <c r="G721" s="582">
        <v>1200000</v>
      </c>
      <c r="H721" s="569">
        <v>1</v>
      </c>
      <c r="I721" s="569" t="s">
        <v>5892</v>
      </c>
      <c r="J721" s="632">
        <v>1750000</v>
      </c>
    </row>
    <row r="722" spans="1:10" ht="33.75">
      <c r="A722" s="22" t="s">
        <v>5970</v>
      </c>
      <c r="B722" s="26" t="s">
        <v>2265</v>
      </c>
      <c r="C722" s="569" t="s">
        <v>5978</v>
      </c>
      <c r="D722" s="569">
        <v>8.3000000000000007</v>
      </c>
      <c r="E722" s="569">
        <v>6</v>
      </c>
      <c r="F722" s="569" t="s">
        <v>5979</v>
      </c>
      <c r="G722" s="582">
        <v>3400000</v>
      </c>
      <c r="H722" s="569">
        <v>1</v>
      </c>
      <c r="I722" s="569" t="s">
        <v>5980</v>
      </c>
      <c r="J722" s="632">
        <v>34500000</v>
      </c>
    </row>
    <row r="723" spans="1:10" ht="33.75">
      <c r="A723" s="22" t="s">
        <v>5970</v>
      </c>
      <c r="B723" s="26" t="s">
        <v>5981</v>
      </c>
      <c r="C723" s="569" t="s">
        <v>5982</v>
      </c>
      <c r="D723" s="569">
        <v>2.8</v>
      </c>
      <c r="E723" s="569">
        <v>5</v>
      </c>
      <c r="F723" s="569" t="s">
        <v>5983</v>
      </c>
      <c r="G723" s="582">
        <v>4590000</v>
      </c>
      <c r="H723" s="569">
        <v>1</v>
      </c>
      <c r="I723" s="569" t="s">
        <v>5888</v>
      </c>
      <c r="J723" s="632">
        <v>21000000</v>
      </c>
    </row>
    <row r="724" spans="1:10">
      <c r="A724" s="22" t="s">
        <v>5970</v>
      </c>
      <c r="B724" s="26" t="s">
        <v>4947</v>
      </c>
      <c r="C724" s="569" t="s">
        <v>5984</v>
      </c>
      <c r="D724" s="569">
        <v>2.5</v>
      </c>
      <c r="E724" s="569">
        <v>4</v>
      </c>
      <c r="F724" s="569" t="s">
        <v>5985</v>
      </c>
      <c r="G724" s="582">
        <v>12000000</v>
      </c>
      <c r="H724" s="569">
        <v>1</v>
      </c>
      <c r="I724" s="569" t="s">
        <v>5892</v>
      </c>
      <c r="J724" s="632">
        <v>26000000</v>
      </c>
    </row>
    <row r="725" spans="1:10">
      <c r="A725" s="22" t="s">
        <v>5970</v>
      </c>
      <c r="B725" s="26" t="s">
        <v>3926</v>
      </c>
      <c r="C725" s="569" t="s">
        <v>5986</v>
      </c>
      <c r="D725" s="569">
        <v>12.6</v>
      </c>
      <c r="E725" s="569">
        <v>6.5</v>
      </c>
      <c r="F725" s="569" t="s">
        <v>5987</v>
      </c>
      <c r="G725" s="582">
        <v>1600000</v>
      </c>
      <c r="H725" s="569">
        <v>1</v>
      </c>
      <c r="I725" s="569" t="s">
        <v>5892</v>
      </c>
      <c r="J725" s="632">
        <v>3000000</v>
      </c>
    </row>
    <row r="726" spans="1:10">
      <c r="A726" s="22" t="s">
        <v>5970</v>
      </c>
      <c r="B726" s="26" t="s">
        <v>2272</v>
      </c>
      <c r="C726" s="569" t="s">
        <v>5988</v>
      </c>
      <c r="D726" s="569">
        <v>2.2000000000000002</v>
      </c>
      <c r="E726" s="569">
        <v>6</v>
      </c>
      <c r="F726" s="569" t="s">
        <v>5989</v>
      </c>
      <c r="G726" s="582">
        <v>900000</v>
      </c>
      <c r="H726" s="569">
        <v>1</v>
      </c>
      <c r="I726" s="569" t="s">
        <v>5892</v>
      </c>
      <c r="J726" s="632">
        <v>3200000</v>
      </c>
    </row>
    <row r="727" spans="1:10" ht="22.5">
      <c r="A727" s="22" t="s">
        <v>5970</v>
      </c>
      <c r="B727" s="26" t="s">
        <v>891</v>
      </c>
      <c r="C727" s="569" t="s">
        <v>5990</v>
      </c>
      <c r="D727" s="569">
        <v>8.3000000000000007</v>
      </c>
      <c r="E727" s="569">
        <v>6.5</v>
      </c>
      <c r="F727" s="569" t="s">
        <v>5991</v>
      </c>
      <c r="G727" s="582">
        <v>340000</v>
      </c>
      <c r="H727" s="569">
        <v>1</v>
      </c>
      <c r="I727" s="569" t="s">
        <v>5898</v>
      </c>
      <c r="J727" s="632">
        <v>2000000</v>
      </c>
    </row>
    <row r="728" spans="1:10" ht="22.5">
      <c r="A728" s="22" t="s">
        <v>5970</v>
      </c>
      <c r="B728" s="26" t="s">
        <v>5992</v>
      </c>
      <c r="C728" s="569" t="s">
        <v>5993</v>
      </c>
      <c r="D728" s="569">
        <v>14.4</v>
      </c>
      <c r="E728" s="569">
        <v>5</v>
      </c>
      <c r="F728" s="569" t="s">
        <v>5994</v>
      </c>
      <c r="G728" s="582">
        <v>3900000</v>
      </c>
      <c r="H728" s="569">
        <v>1</v>
      </c>
      <c r="I728" s="569" t="s">
        <v>5898</v>
      </c>
      <c r="J728" s="632">
        <v>27000000</v>
      </c>
    </row>
    <row r="729" spans="1:10" ht="22.5">
      <c r="A729" s="22" t="s">
        <v>5970</v>
      </c>
      <c r="B729" s="26" t="s">
        <v>5995</v>
      </c>
      <c r="C729" s="569" t="s">
        <v>5996</v>
      </c>
      <c r="D729" s="569">
        <v>6.2</v>
      </c>
      <c r="E729" s="569">
        <v>5</v>
      </c>
      <c r="F729" s="569" t="s">
        <v>5997</v>
      </c>
      <c r="G729" s="582">
        <v>4200000</v>
      </c>
      <c r="H729" s="569">
        <v>1</v>
      </c>
      <c r="I729" s="569" t="s">
        <v>5898</v>
      </c>
      <c r="J729" s="632">
        <v>29500000</v>
      </c>
    </row>
    <row r="730" spans="1:10" ht="33.75">
      <c r="A730" s="22" t="s">
        <v>5998</v>
      </c>
      <c r="B730" s="26" t="s">
        <v>5999</v>
      </c>
      <c r="C730" s="569" t="s">
        <v>6000</v>
      </c>
      <c r="D730" s="569">
        <v>3</v>
      </c>
      <c r="E730" s="569">
        <v>4</v>
      </c>
      <c r="F730" s="569" t="s">
        <v>6001</v>
      </c>
      <c r="G730" s="582">
        <v>4500000</v>
      </c>
      <c r="H730" s="569">
        <v>1</v>
      </c>
      <c r="I730" s="569" t="s">
        <v>5898</v>
      </c>
      <c r="J730" s="632">
        <v>26000000</v>
      </c>
    </row>
    <row r="731" spans="1:10" ht="33.75">
      <c r="A731" s="22" t="s">
        <v>5998</v>
      </c>
      <c r="B731" s="26" t="s">
        <v>6002</v>
      </c>
      <c r="C731" s="569" t="s">
        <v>6003</v>
      </c>
      <c r="D731" s="569">
        <v>4</v>
      </c>
      <c r="E731" s="569">
        <v>4</v>
      </c>
      <c r="F731" s="569" t="s">
        <v>6004</v>
      </c>
      <c r="G731" s="582">
        <v>35000000</v>
      </c>
      <c r="H731" s="569">
        <v>1</v>
      </c>
      <c r="I731" s="569" t="s">
        <v>6005</v>
      </c>
      <c r="J731" s="632">
        <v>410000000</v>
      </c>
    </row>
    <row r="732" spans="1:10" ht="33.75">
      <c r="A732" s="22" t="s">
        <v>5998</v>
      </c>
      <c r="B732" s="26" t="s">
        <v>6006</v>
      </c>
      <c r="C732" s="569" t="s">
        <v>6007</v>
      </c>
      <c r="D732" s="569">
        <v>5.5</v>
      </c>
      <c r="E732" s="569">
        <v>4</v>
      </c>
      <c r="F732" s="569" t="s">
        <v>6008</v>
      </c>
      <c r="G732" s="582">
        <v>45000000</v>
      </c>
      <c r="H732" s="569">
        <v>1</v>
      </c>
      <c r="I732" s="569" t="s">
        <v>5888</v>
      </c>
      <c r="J732" s="632">
        <v>156000000</v>
      </c>
    </row>
    <row r="733" spans="1:10" ht="33.75">
      <c r="A733" s="22" t="s">
        <v>5998</v>
      </c>
      <c r="B733" s="26" t="s">
        <v>6009</v>
      </c>
      <c r="C733" s="569" t="s">
        <v>6010</v>
      </c>
      <c r="D733" s="569">
        <v>1.6</v>
      </c>
      <c r="E733" s="569">
        <v>4</v>
      </c>
      <c r="F733" s="569" t="s">
        <v>6004</v>
      </c>
      <c r="G733" s="582">
        <v>23000000</v>
      </c>
      <c r="H733" s="569">
        <v>1</v>
      </c>
      <c r="I733" s="569" t="s">
        <v>5888</v>
      </c>
      <c r="J733" s="632">
        <v>125000000</v>
      </c>
    </row>
    <row r="734" spans="1:10" ht="33.75">
      <c r="A734" s="22" t="s">
        <v>5998</v>
      </c>
      <c r="B734" s="26" t="s">
        <v>6011</v>
      </c>
      <c r="C734" s="569" t="s">
        <v>6012</v>
      </c>
      <c r="D734" s="569">
        <v>2.7</v>
      </c>
      <c r="E734" s="569">
        <v>4</v>
      </c>
      <c r="F734" s="569" t="s">
        <v>6013</v>
      </c>
      <c r="G734" s="582">
        <v>3500000</v>
      </c>
      <c r="H734" s="569">
        <v>1</v>
      </c>
      <c r="I734" s="569" t="s">
        <v>6014</v>
      </c>
      <c r="J734" s="632">
        <v>19000000</v>
      </c>
    </row>
    <row r="735" spans="1:10" ht="33.75">
      <c r="A735" s="22" t="s">
        <v>5998</v>
      </c>
      <c r="B735" s="26" t="s">
        <v>137</v>
      </c>
      <c r="C735" s="569" t="s">
        <v>6015</v>
      </c>
      <c r="D735" s="569">
        <v>1.9</v>
      </c>
      <c r="E735" s="569">
        <v>4</v>
      </c>
      <c r="F735" s="569" t="s">
        <v>391</v>
      </c>
      <c r="G735" s="582">
        <v>4700000</v>
      </c>
      <c r="H735" s="569">
        <v>1</v>
      </c>
      <c r="I735" s="569" t="s">
        <v>6014</v>
      </c>
      <c r="J735" s="632">
        <v>31000000</v>
      </c>
    </row>
    <row r="736" spans="1:10" ht="22.5">
      <c r="A736" s="22" t="s">
        <v>5998</v>
      </c>
      <c r="B736" s="26" t="s">
        <v>6009</v>
      </c>
      <c r="C736" s="569" t="s">
        <v>6016</v>
      </c>
      <c r="D736" s="569">
        <v>1.6</v>
      </c>
      <c r="E736" s="569">
        <v>4</v>
      </c>
      <c r="F736" s="569" t="s">
        <v>2004</v>
      </c>
      <c r="G736" s="582">
        <v>2000000</v>
      </c>
      <c r="H736" s="569">
        <v>1</v>
      </c>
      <c r="I736" s="569" t="s">
        <v>6014</v>
      </c>
      <c r="J736" s="632">
        <v>4600000</v>
      </c>
    </row>
    <row r="737" spans="1:10" ht="33.75">
      <c r="A737" s="22" t="s">
        <v>5998</v>
      </c>
      <c r="B737" s="26" t="s">
        <v>6017</v>
      </c>
      <c r="C737" s="569" t="s">
        <v>6018</v>
      </c>
      <c r="D737" s="569">
        <v>2.8</v>
      </c>
      <c r="E737" s="569">
        <v>4</v>
      </c>
      <c r="F737" s="569" t="s">
        <v>2004</v>
      </c>
      <c r="G737" s="582">
        <v>4800000</v>
      </c>
      <c r="H737" s="569">
        <v>1</v>
      </c>
      <c r="I737" s="569" t="s">
        <v>5898</v>
      </c>
      <c r="J737" s="632">
        <v>11000000</v>
      </c>
    </row>
    <row r="738" spans="1:10" ht="45">
      <c r="A738" s="22" t="s">
        <v>6019</v>
      </c>
      <c r="B738" s="26" t="s">
        <v>6020</v>
      </c>
      <c r="C738" s="569" t="s">
        <v>6021</v>
      </c>
      <c r="D738" s="569">
        <v>5.9</v>
      </c>
      <c r="E738" s="569">
        <v>4.5</v>
      </c>
      <c r="F738" s="569" t="s">
        <v>6022</v>
      </c>
      <c r="G738" s="582">
        <v>148000000</v>
      </c>
      <c r="H738" s="569">
        <v>1</v>
      </c>
      <c r="I738" s="569" t="s">
        <v>5898</v>
      </c>
      <c r="J738" s="632">
        <v>260000000</v>
      </c>
    </row>
    <row r="739" spans="1:10" ht="22.5">
      <c r="A739" s="22" t="s">
        <v>6019</v>
      </c>
      <c r="B739" s="26" t="s">
        <v>6020</v>
      </c>
      <c r="C739" s="569" t="s">
        <v>6023</v>
      </c>
      <c r="D739" s="569">
        <v>5.9</v>
      </c>
      <c r="E739" s="569" t="s">
        <v>5976</v>
      </c>
      <c r="F739" s="569" t="s">
        <v>6024</v>
      </c>
      <c r="G739" s="582">
        <v>1200000</v>
      </c>
      <c r="H739" s="569">
        <v>1</v>
      </c>
      <c r="I739" s="569" t="s">
        <v>5943</v>
      </c>
      <c r="J739" s="632">
        <v>4500000</v>
      </c>
    </row>
    <row r="740" spans="1:10" ht="22.5">
      <c r="A740" s="22" t="s">
        <v>6025</v>
      </c>
      <c r="B740" s="26" t="s">
        <v>2089</v>
      </c>
      <c r="C740" s="569" t="s">
        <v>6026</v>
      </c>
      <c r="D740" s="569">
        <v>1.5</v>
      </c>
      <c r="E740" s="569">
        <v>3.5</v>
      </c>
      <c r="F740" s="569" t="s">
        <v>6027</v>
      </c>
      <c r="G740" s="582">
        <v>1500000</v>
      </c>
      <c r="H740" s="569">
        <v>1</v>
      </c>
      <c r="I740" s="569" t="s">
        <v>5898</v>
      </c>
      <c r="J740" s="632">
        <v>4590000</v>
      </c>
    </row>
    <row r="741" spans="1:10" ht="45">
      <c r="A741" s="22" t="s">
        <v>6028</v>
      </c>
      <c r="B741" s="26" t="s">
        <v>3848</v>
      </c>
      <c r="C741" s="569" t="s">
        <v>6029</v>
      </c>
      <c r="D741" s="569">
        <v>1.56</v>
      </c>
      <c r="E741" s="569">
        <v>5.5</v>
      </c>
      <c r="F741" s="569" t="s">
        <v>387</v>
      </c>
      <c r="G741" s="582">
        <v>1400000</v>
      </c>
      <c r="H741" s="569">
        <v>1</v>
      </c>
      <c r="I741" s="569" t="s">
        <v>5898</v>
      </c>
      <c r="J741" s="632">
        <v>3300000</v>
      </c>
    </row>
    <row r="742" spans="1:10" ht="33.75">
      <c r="A742" s="22" t="s">
        <v>6028</v>
      </c>
      <c r="B742" s="26" t="s">
        <v>6030</v>
      </c>
      <c r="C742" s="569" t="s">
        <v>6031</v>
      </c>
      <c r="D742" s="569">
        <v>4.0999999999999996</v>
      </c>
      <c r="E742" s="569">
        <v>5</v>
      </c>
      <c r="F742" s="569" t="s">
        <v>6032</v>
      </c>
      <c r="G742" s="582">
        <v>5600000</v>
      </c>
      <c r="H742" s="569">
        <v>1</v>
      </c>
      <c r="I742" s="569" t="s">
        <v>6033</v>
      </c>
      <c r="J742" s="632">
        <v>17000000</v>
      </c>
    </row>
    <row r="743" spans="1:10" ht="22.5">
      <c r="A743" s="22" t="s">
        <v>6028</v>
      </c>
      <c r="B743" s="26" t="s">
        <v>6034</v>
      </c>
      <c r="C743" s="569" t="s">
        <v>6035</v>
      </c>
      <c r="D743" s="569">
        <v>0.4</v>
      </c>
      <c r="E743" s="569">
        <v>4</v>
      </c>
      <c r="F743" s="569" t="s">
        <v>6036</v>
      </c>
      <c r="G743" s="582">
        <v>2600000</v>
      </c>
      <c r="H743" s="569">
        <v>1</v>
      </c>
      <c r="I743" s="569" t="s">
        <v>6014</v>
      </c>
      <c r="J743" s="632">
        <v>3400000</v>
      </c>
    </row>
    <row r="744" spans="1:10" ht="22.5">
      <c r="A744" s="22" t="s">
        <v>6037</v>
      </c>
      <c r="B744" s="26" t="s">
        <v>6038</v>
      </c>
      <c r="C744" s="569" t="s">
        <v>6039</v>
      </c>
      <c r="D744" s="569">
        <v>11.7</v>
      </c>
      <c r="E744" s="569">
        <v>5</v>
      </c>
      <c r="F744" s="569" t="s">
        <v>6040</v>
      </c>
      <c r="G744" s="582">
        <v>18000000</v>
      </c>
      <c r="H744" s="569">
        <v>1</v>
      </c>
      <c r="I744" s="569" t="s">
        <v>6014</v>
      </c>
      <c r="J744" s="632">
        <v>51000000</v>
      </c>
    </row>
    <row r="745" spans="1:10" ht="33.75">
      <c r="A745" s="22" t="s">
        <v>6037</v>
      </c>
      <c r="B745" s="26" t="s">
        <v>6041</v>
      </c>
      <c r="C745" s="569" t="s">
        <v>6042</v>
      </c>
      <c r="D745" s="569">
        <v>4.5</v>
      </c>
      <c r="E745" s="569">
        <v>4.5</v>
      </c>
      <c r="F745" s="569" t="s">
        <v>6043</v>
      </c>
      <c r="G745" s="582">
        <v>3500000</v>
      </c>
      <c r="H745" s="569">
        <v>1</v>
      </c>
      <c r="I745" s="569" t="s">
        <v>6014</v>
      </c>
      <c r="J745" s="632">
        <v>5500000</v>
      </c>
    </row>
    <row r="746" spans="1:10" ht="33.75">
      <c r="A746" s="22" t="s">
        <v>6037</v>
      </c>
      <c r="B746" s="26" t="s">
        <v>6044</v>
      </c>
      <c r="C746" s="569" t="s">
        <v>6045</v>
      </c>
      <c r="D746" s="569">
        <v>11.7</v>
      </c>
      <c r="E746" s="569">
        <v>4.5</v>
      </c>
      <c r="F746" s="569" t="s">
        <v>6046</v>
      </c>
      <c r="G746" s="582">
        <v>2200000</v>
      </c>
      <c r="H746" s="569">
        <v>1</v>
      </c>
      <c r="I746" s="569" t="s">
        <v>6014</v>
      </c>
      <c r="J746" s="632">
        <v>4600000</v>
      </c>
    </row>
    <row r="747" spans="1:10" ht="33.75">
      <c r="A747" s="22" t="s">
        <v>6037</v>
      </c>
      <c r="B747" s="26" t="s">
        <v>6047</v>
      </c>
      <c r="C747" s="569" t="s">
        <v>6048</v>
      </c>
      <c r="D747" s="569">
        <v>6.2</v>
      </c>
      <c r="E747" s="569">
        <v>4</v>
      </c>
      <c r="F747" s="569" t="s">
        <v>6046</v>
      </c>
      <c r="G747" s="582">
        <v>2100000</v>
      </c>
      <c r="H747" s="569">
        <v>1</v>
      </c>
      <c r="I747" s="569" t="s">
        <v>6014</v>
      </c>
      <c r="J747" s="632">
        <v>5600000</v>
      </c>
    </row>
    <row r="748" spans="1:10" ht="33.75">
      <c r="A748" s="22" t="s">
        <v>6037</v>
      </c>
      <c r="B748" s="26" t="s">
        <v>6049</v>
      </c>
      <c r="C748" s="569" t="s">
        <v>6050</v>
      </c>
      <c r="D748" s="569">
        <v>4</v>
      </c>
      <c r="E748" s="569">
        <v>4</v>
      </c>
      <c r="F748" s="569" t="s">
        <v>6051</v>
      </c>
      <c r="G748" s="582">
        <v>1300000</v>
      </c>
      <c r="H748" s="569">
        <v>1</v>
      </c>
      <c r="I748" s="569" t="s">
        <v>6014</v>
      </c>
      <c r="J748" s="632">
        <v>3400000</v>
      </c>
    </row>
    <row r="749" spans="1:10" ht="33.75">
      <c r="A749" s="22" t="s">
        <v>6037</v>
      </c>
      <c r="B749" s="26" t="s">
        <v>5995</v>
      </c>
      <c r="C749" s="569" t="s">
        <v>6052</v>
      </c>
      <c r="D749" s="569">
        <v>6.2</v>
      </c>
      <c r="E749" s="569">
        <v>4</v>
      </c>
      <c r="F749" s="569" t="s">
        <v>6053</v>
      </c>
      <c r="G749" s="582">
        <v>2300000</v>
      </c>
      <c r="H749" s="569">
        <v>1</v>
      </c>
      <c r="I749" s="569" t="s">
        <v>5898</v>
      </c>
      <c r="J749" s="632">
        <v>4700000</v>
      </c>
    </row>
    <row r="750" spans="1:10" ht="22.5">
      <c r="A750" s="22" t="s">
        <v>6037</v>
      </c>
      <c r="B750" s="26" t="s">
        <v>6054</v>
      </c>
      <c r="C750" s="569" t="s">
        <v>6055</v>
      </c>
      <c r="D750" s="569">
        <v>17.399999999999999</v>
      </c>
      <c r="E750" s="569">
        <v>4.5</v>
      </c>
      <c r="F750" s="569" t="s">
        <v>6056</v>
      </c>
      <c r="G750" s="582">
        <v>1800000</v>
      </c>
      <c r="H750" s="569">
        <v>1</v>
      </c>
      <c r="I750" s="569" t="s">
        <v>5898</v>
      </c>
      <c r="J750" s="632">
        <v>16000000</v>
      </c>
    </row>
    <row r="751" spans="1:10" ht="33.75">
      <c r="A751" s="22" t="s">
        <v>6037</v>
      </c>
      <c r="B751" s="26" t="s">
        <v>3751</v>
      </c>
      <c r="C751" s="569" t="s">
        <v>6057</v>
      </c>
      <c r="D751" s="569">
        <v>2</v>
      </c>
      <c r="E751" s="569">
        <v>5</v>
      </c>
      <c r="F751" s="569" t="s">
        <v>391</v>
      </c>
      <c r="G751" s="582">
        <v>900000</v>
      </c>
      <c r="H751" s="569">
        <v>1</v>
      </c>
      <c r="I751" s="569" t="s">
        <v>5898</v>
      </c>
      <c r="J751" s="632">
        <v>1400000</v>
      </c>
    </row>
    <row r="752" spans="1:10" ht="33.75">
      <c r="A752" s="22" t="s">
        <v>6037</v>
      </c>
      <c r="B752" s="26" t="s">
        <v>6054</v>
      </c>
      <c r="C752" s="569" t="s">
        <v>6058</v>
      </c>
      <c r="D752" s="569">
        <v>17.399999999999999</v>
      </c>
      <c r="E752" s="569">
        <v>6</v>
      </c>
      <c r="F752" s="569" t="s">
        <v>6059</v>
      </c>
      <c r="G752" s="582">
        <v>2800000</v>
      </c>
      <c r="H752" s="569">
        <v>1</v>
      </c>
      <c r="I752" s="569" t="s">
        <v>5888</v>
      </c>
      <c r="J752" s="632">
        <v>13000000</v>
      </c>
    </row>
    <row r="753" spans="1:10" ht="33.75">
      <c r="A753" s="22" t="s">
        <v>6037</v>
      </c>
      <c r="B753" s="26" t="s">
        <v>6060</v>
      </c>
      <c r="C753" s="569" t="s">
        <v>6061</v>
      </c>
      <c r="D753" s="569">
        <v>0.5</v>
      </c>
      <c r="E753" s="569">
        <v>4</v>
      </c>
      <c r="F753" s="569" t="s">
        <v>6062</v>
      </c>
      <c r="G753" s="582">
        <v>1200000</v>
      </c>
      <c r="H753" s="569">
        <v>1</v>
      </c>
      <c r="I753" s="569" t="s">
        <v>5888</v>
      </c>
      <c r="J753" s="632">
        <v>5500000</v>
      </c>
    </row>
    <row r="754" spans="1:10">
      <c r="A754" s="22" t="s">
        <v>6037</v>
      </c>
      <c r="B754" s="26" t="s">
        <v>2272</v>
      </c>
      <c r="C754" s="569" t="s">
        <v>6063</v>
      </c>
      <c r="D754" s="569">
        <v>2.2000000000000002</v>
      </c>
      <c r="E754" s="569">
        <v>4</v>
      </c>
      <c r="F754" s="569" t="s">
        <v>6064</v>
      </c>
      <c r="G754" s="582">
        <v>1500000</v>
      </c>
      <c r="H754" s="569">
        <v>1</v>
      </c>
      <c r="I754" s="569" t="s">
        <v>6014</v>
      </c>
      <c r="J754" s="632">
        <v>2300000</v>
      </c>
    </row>
    <row r="755" spans="1:10" ht="22.5">
      <c r="A755" s="22" t="s">
        <v>6037</v>
      </c>
      <c r="B755" s="26" t="s">
        <v>6065</v>
      </c>
      <c r="C755" s="569" t="s">
        <v>6066</v>
      </c>
      <c r="D755" s="569">
        <v>4.5</v>
      </c>
      <c r="E755" s="569">
        <v>4</v>
      </c>
      <c r="F755" s="569" t="s">
        <v>6067</v>
      </c>
      <c r="G755" s="582">
        <v>800000</v>
      </c>
      <c r="H755" s="569">
        <v>1</v>
      </c>
      <c r="I755" s="569" t="s">
        <v>5898</v>
      </c>
      <c r="J755" s="632">
        <v>4500000</v>
      </c>
    </row>
    <row r="756" spans="1:10" ht="22.5">
      <c r="A756" s="22" t="s">
        <v>6068</v>
      </c>
      <c r="B756" s="26" t="s">
        <v>6069</v>
      </c>
      <c r="C756" s="569" t="s">
        <v>6070</v>
      </c>
      <c r="D756" s="569">
        <v>4.5</v>
      </c>
      <c r="E756" s="569">
        <v>5</v>
      </c>
      <c r="F756" s="569" t="s">
        <v>6071</v>
      </c>
      <c r="G756" s="582">
        <v>4500000</v>
      </c>
      <c r="H756" s="569">
        <v>1</v>
      </c>
      <c r="I756" s="569" t="s">
        <v>5898</v>
      </c>
      <c r="J756" s="632">
        <v>37000000</v>
      </c>
    </row>
    <row r="757" spans="1:10" ht="33.75">
      <c r="A757" s="22" t="s">
        <v>6068</v>
      </c>
      <c r="B757" s="26" t="s">
        <v>6072</v>
      </c>
      <c r="C757" s="569" t="s">
        <v>6073</v>
      </c>
      <c r="D757" s="569">
        <v>4</v>
      </c>
      <c r="E757" s="569">
        <v>5</v>
      </c>
      <c r="F757" s="569" t="s">
        <v>6074</v>
      </c>
      <c r="G757" s="582">
        <v>1900000</v>
      </c>
      <c r="H757" s="569">
        <v>1</v>
      </c>
      <c r="I757" s="569" t="s">
        <v>5898</v>
      </c>
      <c r="J757" s="632">
        <v>3400000</v>
      </c>
    </row>
    <row r="758" spans="1:10" ht="33.75">
      <c r="A758" s="22" t="s">
        <v>6068</v>
      </c>
      <c r="B758" s="26" t="s">
        <v>6075</v>
      </c>
      <c r="C758" s="569" t="s">
        <v>6076</v>
      </c>
      <c r="D758" s="569">
        <v>0.4</v>
      </c>
      <c r="E758" s="569">
        <v>7</v>
      </c>
      <c r="F758" s="569" t="s">
        <v>6077</v>
      </c>
      <c r="G758" s="582">
        <v>1500000</v>
      </c>
      <c r="H758" s="569">
        <v>1</v>
      </c>
      <c r="I758" s="569" t="s">
        <v>5888</v>
      </c>
      <c r="J758" s="632">
        <v>6700000</v>
      </c>
    </row>
    <row r="759" spans="1:10">
      <c r="A759" s="22" t="s">
        <v>6025</v>
      </c>
      <c r="B759" s="26" t="s">
        <v>6078</v>
      </c>
      <c r="C759" s="569" t="s">
        <v>6079</v>
      </c>
      <c r="D759" s="569">
        <v>0.5</v>
      </c>
      <c r="E759" s="569">
        <v>6</v>
      </c>
      <c r="F759" s="569" t="s">
        <v>6080</v>
      </c>
      <c r="G759" s="582">
        <v>1200000</v>
      </c>
      <c r="H759" s="569">
        <v>1</v>
      </c>
      <c r="I759" s="569" t="s">
        <v>6014</v>
      </c>
      <c r="J759" s="632">
        <v>3200000</v>
      </c>
    </row>
    <row r="760" spans="1:10" ht="33.75">
      <c r="A760" s="22" t="s">
        <v>6025</v>
      </c>
      <c r="B760" s="26" t="s">
        <v>1697</v>
      </c>
      <c r="C760" s="569" t="s">
        <v>6081</v>
      </c>
      <c r="D760" s="569">
        <v>0.2</v>
      </c>
      <c r="E760" s="569">
        <v>4</v>
      </c>
      <c r="F760" s="569" t="s">
        <v>6082</v>
      </c>
      <c r="G760" s="582">
        <v>1300000</v>
      </c>
      <c r="H760" s="569">
        <v>1</v>
      </c>
      <c r="I760" s="569" t="s">
        <v>5898</v>
      </c>
      <c r="J760" s="632">
        <v>3500000</v>
      </c>
    </row>
    <row r="761" spans="1:10" ht="33.75">
      <c r="A761" s="22" t="s">
        <v>6025</v>
      </c>
      <c r="B761" s="26" t="s">
        <v>6083</v>
      </c>
      <c r="C761" s="569" t="s">
        <v>6084</v>
      </c>
      <c r="D761" s="569">
        <v>4</v>
      </c>
      <c r="E761" s="569">
        <v>4.5</v>
      </c>
      <c r="F761" s="569" t="s">
        <v>6085</v>
      </c>
      <c r="G761" s="582">
        <v>2300000</v>
      </c>
      <c r="H761" s="569">
        <v>1</v>
      </c>
      <c r="I761" s="569" t="s">
        <v>5888</v>
      </c>
      <c r="J761" s="632">
        <v>15000000</v>
      </c>
    </row>
    <row r="762" spans="1:10" ht="22.5">
      <c r="A762" s="22" t="s">
        <v>6025</v>
      </c>
      <c r="B762" s="26" t="s">
        <v>2258</v>
      </c>
      <c r="C762" s="569" t="s">
        <v>6086</v>
      </c>
      <c r="D762" s="569">
        <v>0.3</v>
      </c>
      <c r="E762" s="569">
        <v>4.5</v>
      </c>
      <c r="F762" s="569" t="s">
        <v>6087</v>
      </c>
      <c r="G762" s="582">
        <v>1700000</v>
      </c>
      <c r="H762" s="569">
        <v>1</v>
      </c>
      <c r="I762" s="569" t="s">
        <v>6014</v>
      </c>
      <c r="J762" s="632">
        <v>3400000</v>
      </c>
    </row>
    <row r="763" spans="1:10" ht="56.25">
      <c r="A763" s="22" t="s">
        <v>6025</v>
      </c>
      <c r="B763" s="26" t="s">
        <v>934</v>
      </c>
      <c r="C763" s="569" t="s">
        <v>6088</v>
      </c>
      <c r="D763" s="569">
        <v>6</v>
      </c>
      <c r="E763" s="569">
        <v>5</v>
      </c>
      <c r="F763" s="569" t="s">
        <v>6089</v>
      </c>
      <c r="G763" s="582">
        <v>6900000</v>
      </c>
      <c r="H763" s="569">
        <v>1</v>
      </c>
      <c r="I763" s="569" t="s">
        <v>5888</v>
      </c>
      <c r="J763" s="632">
        <v>34000000</v>
      </c>
    </row>
    <row r="764" spans="1:10" ht="25.5">
      <c r="A764" s="22" t="s">
        <v>6090</v>
      </c>
      <c r="B764" s="26" t="s">
        <v>6091</v>
      </c>
      <c r="C764" s="579" t="s">
        <v>6092</v>
      </c>
      <c r="D764" s="569">
        <v>0.43</v>
      </c>
      <c r="E764" s="569">
        <v>4</v>
      </c>
      <c r="F764" s="569" t="s">
        <v>6093</v>
      </c>
      <c r="G764" s="582">
        <v>800000</v>
      </c>
      <c r="H764" s="569">
        <v>1</v>
      </c>
      <c r="I764" s="569" t="s">
        <v>6014</v>
      </c>
      <c r="J764" s="632">
        <v>2500000</v>
      </c>
    </row>
    <row r="765" spans="1:10" ht="22.5">
      <c r="A765" s="22" t="s">
        <v>6090</v>
      </c>
      <c r="B765" s="26" t="s">
        <v>6094</v>
      </c>
      <c r="C765" s="569" t="s">
        <v>6095</v>
      </c>
      <c r="D765" s="569">
        <v>0.2</v>
      </c>
      <c r="E765" s="569">
        <v>4</v>
      </c>
      <c r="F765" s="569" t="s">
        <v>6096</v>
      </c>
      <c r="G765" s="582">
        <v>2500000</v>
      </c>
      <c r="H765" s="569">
        <v>1</v>
      </c>
      <c r="I765" s="569" t="s">
        <v>6014</v>
      </c>
      <c r="J765" s="632">
        <v>4900000</v>
      </c>
    </row>
    <row r="766" spans="1:10">
      <c r="A766" s="22" t="s">
        <v>6090</v>
      </c>
      <c r="B766" s="26" t="s">
        <v>6097</v>
      </c>
      <c r="C766" s="569" t="s">
        <v>6098</v>
      </c>
      <c r="D766" s="569">
        <v>5</v>
      </c>
      <c r="E766" s="569">
        <v>4.5</v>
      </c>
      <c r="F766" s="569" t="s">
        <v>6064</v>
      </c>
      <c r="G766" s="582">
        <v>3400000</v>
      </c>
      <c r="H766" s="569">
        <v>1</v>
      </c>
      <c r="I766" s="569" t="s">
        <v>6014</v>
      </c>
      <c r="J766" s="632">
        <v>31000000</v>
      </c>
    </row>
    <row r="767" spans="1:10">
      <c r="A767" s="22" t="s">
        <v>6090</v>
      </c>
      <c r="B767" s="26" t="s">
        <v>6099</v>
      </c>
      <c r="C767" s="569" t="s">
        <v>6100</v>
      </c>
      <c r="D767" s="569">
        <v>4</v>
      </c>
      <c r="E767" s="569">
        <v>4</v>
      </c>
      <c r="F767" s="569" t="s">
        <v>6101</v>
      </c>
      <c r="G767" s="582">
        <v>3500000</v>
      </c>
      <c r="H767" s="569">
        <v>1</v>
      </c>
      <c r="I767" s="569" t="s">
        <v>6014</v>
      </c>
      <c r="J767" s="632">
        <v>28000000</v>
      </c>
    </row>
    <row r="768" spans="1:10" ht="22.5">
      <c r="A768" s="22" t="s">
        <v>6090</v>
      </c>
      <c r="B768" s="26" t="s">
        <v>6102</v>
      </c>
      <c r="C768" s="569" t="s">
        <v>6103</v>
      </c>
      <c r="D768" s="569">
        <v>2.85</v>
      </c>
      <c r="E768" s="569">
        <v>5</v>
      </c>
      <c r="F768" s="569" t="s">
        <v>5994</v>
      </c>
      <c r="G768" s="582">
        <v>3600000</v>
      </c>
      <c r="H768" s="569">
        <v>1</v>
      </c>
      <c r="I768" s="569" t="s">
        <v>6014</v>
      </c>
      <c r="J768" s="632">
        <v>26000000</v>
      </c>
    </row>
    <row r="769" spans="1:10">
      <c r="A769" s="22" t="s">
        <v>6090</v>
      </c>
      <c r="B769" s="26" t="s">
        <v>6104</v>
      </c>
      <c r="C769" s="569" t="s">
        <v>6105</v>
      </c>
      <c r="D769" s="569">
        <v>7.5</v>
      </c>
      <c r="E769" s="569">
        <v>5</v>
      </c>
      <c r="F769" s="569" t="s">
        <v>5921</v>
      </c>
      <c r="G769" s="582">
        <v>4500000</v>
      </c>
      <c r="H769" s="569">
        <v>1</v>
      </c>
      <c r="I769" s="569" t="s">
        <v>6014</v>
      </c>
      <c r="J769" s="632">
        <v>29000000</v>
      </c>
    </row>
    <row r="770" spans="1:10">
      <c r="A770" s="633" t="s">
        <v>6037</v>
      </c>
      <c r="B770" s="26" t="s">
        <v>6106</v>
      </c>
      <c r="C770" s="569" t="s">
        <v>6107</v>
      </c>
      <c r="D770" s="569">
        <v>3.9</v>
      </c>
      <c r="E770" s="569">
        <v>5</v>
      </c>
      <c r="F770" s="569" t="s">
        <v>5921</v>
      </c>
      <c r="G770" s="582">
        <v>2300000</v>
      </c>
      <c r="H770" s="569">
        <v>1</v>
      </c>
      <c r="I770" s="569" t="s">
        <v>6014</v>
      </c>
      <c r="J770" s="632">
        <v>7000000</v>
      </c>
    </row>
    <row r="771" spans="1:10" ht="33.75">
      <c r="A771" s="22" t="s">
        <v>6108</v>
      </c>
      <c r="B771" s="26" t="s">
        <v>6109</v>
      </c>
      <c r="C771" s="569" t="s">
        <v>6110</v>
      </c>
      <c r="D771" s="569">
        <v>7</v>
      </c>
      <c r="E771" s="569">
        <v>5.5</v>
      </c>
      <c r="F771" s="569" t="s">
        <v>6111</v>
      </c>
      <c r="G771" s="582">
        <v>34000000</v>
      </c>
      <c r="H771" s="569">
        <v>1</v>
      </c>
      <c r="I771" s="569" t="s">
        <v>6112</v>
      </c>
      <c r="J771" s="632">
        <v>79000000</v>
      </c>
    </row>
    <row r="772" spans="1:10" ht="33.75">
      <c r="A772" s="22" t="s">
        <v>6108</v>
      </c>
      <c r="B772" s="26" t="s">
        <v>6113</v>
      </c>
      <c r="C772" s="569" t="s">
        <v>6114</v>
      </c>
      <c r="D772" s="569">
        <v>17</v>
      </c>
      <c r="E772" s="569">
        <v>5</v>
      </c>
      <c r="F772" s="569" t="s">
        <v>5894</v>
      </c>
      <c r="G772" s="582">
        <v>15000000</v>
      </c>
      <c r="H772" s="569">
        <v>1</v>
      </c>
      <c r="I772" s="569" t="s">
        <v>6112</v>
      </c>
      <c r="J772" s="632">
        <v>45000000</v>
      </c>
    </row>
    <row r="773" spans="1:10" ht="33.75">
      <c r="A773" s="22" t="s">
        <v>6108</v>
      </c>
      <c r="B773" s="26" t="s">
        <v>6115</v>
      </c>
      <c r="C773" s="569" t="s">
        <v>6116</v>
      </c>
      <c r="D773" s="569">
        <v>17</v>
      </c>
      <c r="E773" s="569">
        <v>5</v>
      </c>
      <c r="F773" s="569" t="s">
        <v>6117</v>
      </c>
      <c r="G773" s="582">
        <v>23000000</v>
      </c>
      <c r="H773" s="569">
        <v>1</v>
      </c>
      <c r="I773" s="569" t="s">
        <v>6112</v>
      </c>
      <c r="J773" s="632">
        <v>56000000</v>
      </c>
    </row>
    <row r="774" spans="1:10" ht="33.75">
      <c r="A774" s="22" t="s">
        <v>6108</v>
      </c>
      <c r="B774" s="26" t="s">
        <v>6118</v>
      </c>
      <c r="C774" s="569" t="s">
        <v>6119</v>
      </c>
      <c r="D774" s="569">
        <v>13</v>
      </c>
      <c r="E774" s="569">
        <v>5</v>
      </c>
      <c r="F774" s="569" t="s">
        <v>6120</v>
      </c>
      <c r="G774" s="582">
        <v>70000000</v>
      </c>
      <c r="H774" s="569">
        <v>1</v>
      </c>
      <c r="I774" s="569" t="s">
        <v>6112</v>
      </c>
      <c r="J774" s="632">
        <v>130000000</v>
      </c>
    </row>
    <row r="775" spans="1:10" ht="33.75">
      <c r="A775" s="22" t="s">
        <v>6108</v>
      </c>
      <c r="B775" s="26" t="s">
        <v>6121</v>
      </c>
      <c r="C775" s="569" t="s">
        <v>6122</v>
      </c>
      <c r="D775" s="569">
        <v>17</v>
      </c>
      <c r="E775" s="569">
        <v>5</v>
      </c>
      <c r="F775" s="569" t="s">
        <v>6123</v>
      </c>
      <c r="G775" s="582">
        <v>15000000</v>
      </c>
      <c r="H775" s="569">
        <v>1</v>
      </c>
      <c r="I775" s="569" t="s">
        <v>6112</v>
      </c>
      <c r="J775" s="632">
        <v>32000000</v>
      </c>
    </row>
    <row r="776" spans="1:10" ht="33.75">
      <c r="A776" s="22" t="s">
        <v>6108</v>
      </c>
      <c r="B776" s="26" t="s">
        <v>5326</v>
      </c>
      <c r="C776" s="569" t="s">
        <v>6124</v>
      </c>
      <c r="D776" s="569">
        <v>17</v>
      </c>
      <c r="E776" s="569">
        <v>5</v>
      </c>
      <c r="F776" s="569" t="s">
        <v>6125</v>
      </c>
      <c r="G776" s="582">
        <v>12000000</v>
      </c>
      <c r="H776" s="569">
        <v>1</v>
      </c>
      <c r="I776" s="569" t="s">
        <v>6112</v>
      </c>
      <c r="J776" s="632">
        <v>45000000</v>
      </c>
    </row>
    <row r="777" spans="1:10" ht="22.5">
      <c r="A777" s="22" t="s">
        <v>6108</v>
      </c>
      <c r="B777" s="26" t="s">
        <v>6126</v>
      </c>
      <c r="C777" s="569" t="s">
        <v>6127</v>
      </c>
      <c r="D777" s="569">
        <v>2.5</v>
      </c>
      <c r="E777" s="569">
        <v>4.5</v>
      </c>
      <c r="F777" s="569" t="s">
        <v>6128</v>
      </c>
      <c r="G777" s="582">
        <v>25000000</v>
      </c>
      <c r="H777" s="569">
        <v>1</v>
      </c>
      <c r="I777" s="569" t="s">
        <v>5898</v>
      </c>
      <c r="J777" s="632">
        <v>35600000</v>
      </c>
    </row>
    <row r="778" spans="1:10" ht="33.75">
      <c r="A778" s="22" t="s">
        <v>6108</v>
      </c>
      <c r="B778" s="26" t="s">
        <v>6129</v>
      </c>
      <c r="C778" s="569" t="s">
        <v>6130</v>
      </c>
      <c r="D778" s="569">
        <v>4.5</v>
      </c>
      <c r="E778" s="569">
        <v>4</v>
      </c>
      <c r="F778" s="569" t="s">
        <v>6131</v>
      </c>
      <c r="G778" s="582">
        <v>37000000</v>
      </c>
      <c r="H778" s="569">
        <v>1</v>
      </c>
      <c r="I778" s="569" t="s">
        <v>6112</v>
      </c>
      <c r="J778" s="632">
        <v>68000000</v>
      </c>
    </row>
    <row r="779" spans="1:10" ht="33.75">
      <c r="A779" s="22" t="s">
        <v>6108</v>
      </c>
      <c r="B779" s="26" t="s">
        <v>5220</v>
      </c>
      <c r="C779" s="569" t="s">
        <v>6132</v>
      </c>
      <c r="D779" s="569">
        <v>6.55</v>
      </c>
      <c r="E779" s="569">
        <v>4.5</v>
      </c>
      <c r="F779" s="569" t="s">
        <v>6133</v>
      </c>
      <c r="G779" s="582">
        <v>70000000</v>
      </c>
      <c r="H779" s="569">
        <v>1</v>
      </c>
      <c r="I779" s="569" t="s">
        <v>6134</v>
      </c>
      <c r="J779" s="632">
        <v>210000000</v>
      </c>
    </row>
    <row r="780" spans="1:10" ht="56.25">
      <c r="A780" s="22" t="s">
        <v>6108</v>
      </c>
      <c r="B780" s="26" t="s">
        <v>6135</v>
      </c>
      <c r="C780" s="569" t="s">
        <v>6136</v>
      </c>
      <c r="D780" s="569">
        <v>13</v>
      </c>
      <c r="E780" s="569">
        <v>4.5</v>
      </c>
      <c r="F780" s="569" t="s">
        <v>6137</v>
      </c>
      <c r="G780" s="582">
        <v>6800000</v>
      </c>
      <c r="H780" s="569">
        <v>1</v>
      </c>
      <c r="I780" s="569" t="s">
        <v>6134</v>
      </c>
      <c r="J780" s="632">
        <v>35000000</v>
      </c>
    </row>
    <row r="781" spans="1:10" ht="22.5">
      <c r="A781" s="22" t="s">
        <v>6108</v>
      </c>
      <c r="B781" s="26" t="s">
        <v>6138</v>
      </c>
      <c r="C781" s="569" t="s">
        <v>6139</v>
      </c>
      <c r="D781" s="569">
        <v>4</v>
      </c>
      <c r="E781" s="569">
        <v>4</v>
      </c>
      <c r="F781" s="569" t="s">
        <v>6140</v>
      </c>
      <c r="G781" s="582">
        <v>2200000</v>
      </c>
      <c r="H781" s="569">
        <v>1</v>
      </c>
      <c r="I781" s="569" t="s">
        <v>5898</v>
      </c>
      <c r="J781" s="632">
        <v>8000000</v>
      </c>
    </row>
    <row r="782" spans="1:10" ht="33.75">
      <c r="A782" s="22" t="s">
        <v>6108</v>
      </c>
      <c r="B782" s="26" t="s">
        <v>1088</v>
      </c>
      <c r="C782" s="569" t="s">
        <v>6141</v>
      </c>
      <c r="D782" s="569">
        <v>13</v>
      </c>
      <c r="E782" s="569">
        <v>5</v>
      </c>
      <c r="F782" s="569" t="s">
        <v>6142</v>
      </c>
      <c r="G782" s="582">
        <v>3400000</v>
      </c>
      <c r="H782" s="569">
        <v>1</v>
      </c>
      <c r="I782" s="569" t="s">
        <v>6143</v>
      </c>
      <c r="J782" s="632">
        <v>60000000</v>
      </c>
    </row>
    <row r="783" spans="1:10" ht="22.5">
      <c r="A783" s="22" t="s">
        <v>6108</v>
      </c>
      <c r="B783" s="26" t="s">
        <v>6144</v>
      </c>
      <c r="C783" s="569" t="s">
        <v>6145</v>
      </c>
      <c r="D783" s="569">
        <v>1.2</v>
      </c>
      <c r="E783" s="569">
        <v>4</v>
      </c>
      <c r="F783" s="569" t="s">
        <v>5921</v>
      </c>
      <c r="G783" s="582">
        <v>6700000</v>
      </c>
      <c r="H783" s="569">
        <v>1</v>
      </c>
      <c r="I783" s="569" t="s">
        <v>5898</v>
      </c>
      <c r="J783" s="632">
        <v>36000000</v>
      </c>
    </row>
    <row r="784" spans="1:10" ht="33.75">
      <c r="A784" s="22" t="s">
        <v>6108</v>
      </c>
      <c r="B784" s="26" t="s">
        <v>6146</v>
      </c>
      <c r="C784" s="569" t="s">
        <v>6147</v>
      </c>
      <c r="D784" s="569">
        <v>9</v>
      </c>
      <c r="E784" s="569">
        <v>4</v>
      </c>
      <c r="F784" s="569" t="s">
        <v>5921</v>
      </c>
      <c r="G784" s="582">
        <v>4500000</v>
      </c>
      <c r="H784" s="569">
        <v>1</v>
      </c>
      <c r="I784" s="569" t="s">
        <v>5898</v>
      </c>
      <c r="J784" s="632">
        <v>23000000</v>
      </c>
    </row>
    <row r="785" spans="1:10" ht="22.5">
      <c r="A785" s="22" t="s">
        <v>6108</v>
      </c>
      <c r="B785" s="26" t="s">
        <v>886</v>
      </c>
      <c r="C785" s="569" t="s">
        <v>6148</v>
      </c>
      <c r="D785" s="569">
        <v>1.6</v>
      </c>
      <c r="E785" s="569">
        <v>4</v>
      </c>
      <c r="F785" s="569" t="s">
        <v>5921</v>
      </c>
      <c r="G785" s="582">
        <v>2000000</v>
      </c>
      <c r="H785" s="569">
        <v>1</v>
      </c>
      <c r="I785" s="569" t="s">
        <v>5898</v>
      </c>
      <c r="J785" s="632">
        <v>9000000</v>
      </c>
    </row>
    <row r="786" spans="1:10" ht="22.5">
      <c r="A786" s="22" t="s">
        <v>6108</v>
      </c>
      <c r="B786" s="26" t="s">
        <v>4160</v>
      </c>
      <c r="C786" s="569" t="s">
        <v>6149</v>
      </c>
      <c r="D786" s="569">
        <v>3.5</v>
      </c>
      <c r="E786" s="569">
        <v>4</v>
      </c>
      <c r="F786" s="569" t="s">
        <v>5921</v>
      </c>
      <c r="G786" s="582">
        <v>3300000</v>
      </c>
      <c r="H786" s="569">
        <v>1</v>
      </c>
      <c r="I786" s="569" t="s">
        <v>5898</v>
      </c>
      <c r="J786" s="632">
        <v>11000000</v>
      </c>
    </row>
    <row r="787" spans="1:10" ht="45">
      <c r="A787" s="22" t="s">
        <v>6150</v>
      </c>
      <c r="B787" s="26" t="s">
        <v>6151</v>
      </c>
      <c r="C787" s="569" t="s">
        <v>6152</v>
      </c>
      <c r="D787" s="569">
        <v>2.5</v>
      </c>
      <c r="E787" s="569">
        <v>5</v>
      </c>
      <c r="F787" s="569" t="s">
        <v>6153</v>
      </c>
      <c r="G787" s="582">
        <v>4500000</v>
      </c>
      <c r="H787" s="569">
        <v>1</v>
      </c>
      <c r="I787" s="569" t="s">
        <v>5898</v>
      </c>
      <c r="J787" s="632">
        <v>21000000</v>
      </c>
    </row>
    <row r="788" spans="1:10" ht="22.5">
      <c r="A788" s="22" t="s">
        <v>6150</v>
      </c>
      <c r="B788" s="26" t="s">
        <v>6154</v>
      </c>
      <c r="C788" s="569" t="s">
        <v>6155</v>
      </c>
      <c r="D788" s="569">
        <v>2.5</v>
      </c>
      <c r="E788" s="569">
        <v>4</v>
      </c>
      <c r="F788" s="569" t="s">
        <v>6156</v>
      </c>
      <c r="G788" s="582">
        <v>4600000</v>
      </c>
      <c r="H788" s="569">
        <v>1</v>
      </c>
      <c r="I788" s="569" t="s">
        <v>5898</v>
      </c>
      <c r="J788" s="632">
        <v>7800000</v>
      </c>
    </row>
    <row r="789" spans="1:10" ht="45">
      <c r="A789" s="22" t="s">
        <v>6150</v>
      </c>
      <c r="B789" s="26" t="s">
        <v>6157</v>
      </c>
      <c r="C789" s="569" t="s">
        <v>6158</v>
      </c>
      <c r="D789" s="569">
        <v>3.5</v>
      </c>
      <c r="E789" s="569">
        <v>4</v>
      </c>
      <c r="F789" s="569" t="s">
        <v>6125</v>
      </c>
      <c r="G789" s="582">
        <v>2300000</v>
      </c>
      <c r="H789" s="569">
        <v>1</v>
      </c>
      <c r="I789" s="569" t="s">
        <v>5898</v>
      </c>
      <c r="J789" s="632">
        <v>12000000</v>
      </c>
    </row>
    <row r="790" spans="1:10" ht="33.75">
      <c r="A790" s="22" t="s">
        <v>6150</v>
      </c>
      <c r="B790" s="26" t="s">
        <v>6159</v>
      </c>
      <c r="C790" s="569" t="s">
        <v>6160</v>
      </c>
      <c r="D790" s="569">
        <v>0.5</v>
      </c>
      <c r="E790" s="569">
        <v>4</v>
      </c>
      <c r="F790" s="569" t="s">
        <v>6161</v>
      </c>
      <c r="G790" s="582">
        <v>46000000</v>
      </c>
      <c r="H790" s="569">
        <v>1</v>
      </c>
      <c r="I790" s="569" t="s">
        <v>6162</v>
      </c>
      <c r="J790" s="632" t="s">
        <v>6163</v>
      </c>
    </row>
    <row r="791" spans="1:10" ht="45">
      <c r="A791" s="22" t="s">
        <v>6150</v>
      </c>
      <c r="B791" s="26" t="s">
        <v>891</v>
      </c>
      <c r="C791" s="569" t="s">
        <v>6164</v>
      </c>
      <c r="D791" s="569">
        <v>6</v>
      </c>
      <c r="E791" s="569">
        <v>4</v>
      </c>
      <c r="F791" s="569" t="s">
        <v>6165</v>
      </c>
      <c r="G791" s="582">
        <v>5600000</v>
      </c>
      <c r="H791" s="569">
        <v>1</v>
      </c>
      <c r="I791" s="569" t="s">
        <v>6143</v>
      </c>
      <c r="J791" s="632">
        <v>18000000</v>
      </c>
    </row>
    <row r="792" spans="1:10" ht="45">
      <c r="A792" s="22" t="s">
        <v>6108</v>
      </c>
      <c r="B792" s="26" t="s">
        <v>5326</v>
      </c>
      <c r="C792" s="569" t="s">
        <v>6166</v>
      </c>
      <c r="D792" s="569">
        <v>9</v>
      </c>
      <c r="E792" s="569">
        <v>4</v>
      </c>
      <c r="F792" s="569" t="s">
        <v>6167</v>
      </c>
      <c r="G792" s="582">
        <v>4500000</v>
      </c>
      <c r="H792" s="569">
        <v>1</v>
      </c>
      <c r="I792" s="569" t="s">
        <v>5898</v>
      </c>
      <c r="J792" s="632">
        <v>16000000</v>
      </c>
    </row>
    <row r="793" spans="1:10" ht="45">
      <c r="A793" s="22" t="s">
        <v>6150</v>
      </c>
      <c r="B793" s="26" t="s">
        <v>6168</v>
      </c>
      <c r="C793" s="569" t="s">
        <v>6169</v>
      </c>
      <c r="D793" s="569">
        <v>7.75</v>
      </c>
      <c r="E793" s="569">
        <v>4.5</v>
      </c>
      <c r="F793" s="569" t="s">
        <v>5905</v>
      </c>
      <c r="G793" s="582">
        <v>15000000</v>
      </c>
      <c r="H793" s="569">
        <v>1</v>
      </c>
      <c r="I793" s="569" t="s">
        <v>6170</v>
      </c>
      <c r="J793" s="632">
        <v>89000000</v>
      </c>
    </row>
    <row r="794" spans="1:10" ht="22.5">
      <c r="A794" s="22" t="s">
        <v>6150</v>
      </c>
      <c r="B794" s="26" t="s">
        <v>6171</v>
      </c>
      <c r="C794" s="569" t="s">
        <v>6172</v>
      </c>
      <c r="D794" s="569">
        <v>1.5</v>
      </c>
      <c r="E794" s="569">
        <v>4</v>
      </c>
      <c r="F794" s="569" t="s">
        <v>6173</v>
      </c>
      <c r="G794" s="582">
        <v>1200000</v>
      </c>
      <c r="H794" s="569">
        <v>1</v>
      </c>
      <c r="I794" s="569" t="s">
        <v>6014</v>
      </c>
      <c r="J794" s="632">
        <v>4500000</v>
      </c>
    </row>
    <row r="795" spans="1:10" ht="45">
      <c r="A795" s="633" t="s">
        <v>6108</v>
      </c>
      <c r="B795" s="26" t="s">
        <v>371</v>
      </c>
      <c r="C795" s="569" t="s">
        <v>6174</v>
      </c>
      <c r="D795" s="569">
        <v>1.5</v>
      </c>
      <c r="E795" s="569">
        <v>4</v>
      </c>
      <c r="F795" s="569" t="s">
        <v>6175</v>
      </c>
      <c r="G795" s="582">
        <v>3400000</v>
      </c>
      <c r="H795" s="569">
        <v>1</v>
      </c>
      <c r="I795" s="569" t="s">
        <v>6170</v>
      </c>
      <c r="J795" s="632">
        <v>9000000</v>
      </c>
    </row>
    <row r="796" spans="1:10" ht="45">
      <c r="A796" s="22" t="s">
        <v>6150</v>
      </c>
      <c r="B796" s="26" t="s">
        <v>6168</v>
      </c>
      <c r="C796" s="569" t="s">
        <v>6176</v>
      </c>
      <c r="D796" s="569">
        <v>10</v>
      </c>
      <c r="E796" s="569">
        <v>5</v>
      </c>
      <c r="F796" s="569" t="s">
        <v>6177</v>
      </c>
      <c r="G796" s="582">
        <v>5700000</v>
      </c>
      <c r="H796" s="569">
        <v>1</v>
      </c>
      <c r="I796" s="569" t="s">
        <v>6170</v>
      </c>
      <c r="J796" s="632">
        <v>45000000</v>
      </c>
    </row>
    <row r="797" spans="1:10" ht="22.5">
      <c r="A797" s="22" t="s">
        <v>6150</v>
      </c>
      <c r="B797" s="26" t="s">
        <v>3814</v>
      </c>
      <c r="C797" s="569" t="s">
        <v>6178</v>
      </c>
      <c r="D797" s="569">
        <v>4.0999999999999996</v>
      </c>
      <c r="E797" s="569">
        <v>5</v>
      </c>
      <c r="F797" s="569" t="s">
        <v>6179</v>
      </c>
      <c r="G797" s="582">
        <v>6700000</v>
      </c>
      <c r="H797" s="569">
        <v>1</v>
      </c>
      <c r="I797" s="569" t="s">
        <v>5898</v>
      </c>
      <c r="J797" s="632">
        <v>23000000</v>
      </c>
    </row>
    <row r="798" spans="1:10" ht="22.5">
      <c r="A798" s="22" t="s">
        <v>6150</v>
      </c>
      <c r="B798" s="26" t="s">
        <v>6180</v>
      </c>
      <c r="C798" s="569" t="s">
        <v>6181</v>
      </c>
      <c r="D798" s="569">
        <v>2.5</v>
      </c>
      <c r="E798" s="569">
        <v>5</v>
      </c>
      <c r="F798" s="569" t="s">
        <v>6182</v>
      </c>
      <c r="G798" s="582">
        <v>2300000</v>
      </c>
      <c r="H798" s="569">
        <v>1</v>
      </c>
      <c r="I798" s="569" t="s">
        <v>5898</v>
      </c>
      <c r="J798" s="632">
        <v>14000000</v>
      </c>
    </row>
    <row r="799" spans="1:10">
      <c r="A799" s="22" t="s">
        <v>6150</v>
      </c>
      <c r="B799" s="26" t="s">
        <v>6183</v>
      </c>
      <c r="C799" s="569" t="s">
        <v>6184</v>
      </c>
      <c r="D799" s="569">
        <v>3.9</v>
      </c>
      <c r="E799" s="569">
        <v>5</v>
      </c>
      <c r="F799" s="569" t="s">
        <v>6064</v>
      </c>
      <c r="G799" s="582">
        <v>2600000</v>
      </c>
      <c r="H799" s="569">
        <v>1</v>
      </c>
      <c r="I799" s="569" t="s">
        <v>6014</v>
      </c>
      <c r="J799" s="632">
        <v>6000000</v>
      </c>
    </row>
    <row r="800" spans="1:10">
      <c r="A800" s="22" t="s">
        <v>6150</v>
      </c>
      <c r="B800" s="26" t="s">
        <v>6185</v>
      </c>
      <c r="C800" s="569" t="s">
        <v>6186</v>
      </c>
      <c r="D800" s="569">
        <v>2.1</v>
      </c>
      <c r="E800" s="569">
        <v>4</v>
      </c>
      <c r="F800" s="569" t="s">
        <v>6064</v>
      </c>
      <c r="G800" s="582">
        <v>2500000</v>
      </c>
      <c r="H800" s="569">
        <v>1</v>
      </c>
      <c r="I800" s="569" t="s">
        <v>6014</v>
      </c>
      <c r="J800" s="632">
        <v>8500000</v>
      </c>
    </row>
    <row r="801" spans="1:10" ht="22.5">
      <c r="A801" s="22" t="s">
        <v>6150</v>
      </c>
      <c r="B801" s="26" t="s">
        <v>4160</v>
      </c>
      <c r="C801" s="569" t="s">
        <v>6187</v>
      </c>
      <c r="D801" s="569">
        <v>2.5</v>
      </c>
      <c r="E801" s="569">
        <v>5</v>
      </c>
      <c r="F801" s="569" t="s">
        <v>6179</v>
      </c>
      <c r="G801" s="582">
        <v>4100000</v>
      </c>
      <c r="H801" s="569">
        <v>1</v>
      </c>
      <c r="I801" s="569" t="s">
        <v>5898</v>
      </c>
      <c r="J801" s="632">
        <v>5600000</v>
      </c>
    </row>
    <row r="802" spans="1:10">
      <c r="A802" s="22" t="s">
        <v>6150</v>
      </c>
      <c r="B802" s="26" t="s">
        <v>1137</v>
      </c>
      <c r="C802" s="569" t="s">
        <v>6188</v>
      </c>
      <c r="D802" s="569">
        <v>4.0999999999999996</v>
      </c>
      <c r="E802" s="569"/>
      <c r="F802" s="569" t="s">
        <v>6064</v>
      </c>
      <c r="G802" s="582">
        <v>4000000</v>
      </c>
      <c r="H802" s="569">
        <v>1</v>
      </c>
      <c r="I802" s="569" t="s">
        <v>6014</v>
      </c>
      <c r="J802" s="632">
        <v>7900000</v>
      </c>
    </row>
    <row r="803" spans="1:10">
      <c r="A803" s="22" t="s">
        <v>6189</v>
      </c>
      <c r="B803" s="26" t="s">
        <v>1879</v>
      </c>
      <c r="C803" s="569" t="s">
        <v>6190</v>
      </c>
      <c r="D803" s="569">
        <v>4.5999999999999996</v>
      </c>
      <c r="E803" s="569"/>
      <c r="F803" s="569" t="s">
        <v>5921</v>
      </c>
      <c r="G803" s="582">
        <v>3400000</v>
      </c>
      <c r="H803" s="569">
        <v>1</v>
      </c>
      <c r="I803" s="569" t="s">
        <v>6014</v>
      </c>
      <c r="J803" s="632">
        <v>7800000</v>
      </c>
    </row>
    <row r="804" spans="1:10">
      <c r="A804" s="22" t="s">
        <v>6189</v>
      </c>
      <c r="B804" s="26" t="s">
        <v>182</v>
      </c>
      <c r="C804" s="569" t="s">
        <v>6191</v>
      </c>
      <c r="D804" s="569">
        <v>8.3000000000000007</v>
      </c>
      <c r="E804" s="569"/>
      <c r="F804" s="569" t="s">
        <v>6192</v>
      </c>
      <c r="G804" s="582">
        <v>4500000</v>
      </c>
      <c r="H804" s="569">
        <v>1</v>
      </c>
      <c r="I804" s="569" t="s">
        <v>6014</v>
      </c>
      <c r="J804" s="632">
        <v>12000000</v>
      </c>
    </row>
    <row r="805" spans="1:10">
      <c r="A805" s="22" t="s">
        <v>6189</v>
      </c>
      <c r="B805" s="26" t="s">
        <v>6193</v>
      </c>
      <c r="C805" s="569" t="s">
        <v>6194</v>
      </c>
      <c r="D805" s="569">
        <v>0.7</v>
      </c>
      <c r="E805" s="569"/>
      <c r="F805" s="569" t="s">
        <v>6192</v>
      </c>
      <c r="G805" s="582">
        <v>1500000</v>
      </c>
      <c r="H805" s="569">
        <v>1</v>
      </c>
      <c r="I805" s="569" t="s">
        <v>6014</v>
      </c>
      <c r="J805" s="632">
        <v>5400000</v>
      </c>
    </row>
    <row r="806" spans="1:10">
      <c r="A806" s="22" t="s">
        <v>6189</v>
      </c>
      <c r="B806" s="26" t="s">
        <v>2020</v>
      </c>
      <c r="C806" s="569" t="s">
        <v>6195</v>
      </c>
      <c r="D806" s="569">
        <v>2.7</v>
      </c>
      <c r="E806" s="569"/>
      <c r="F806" s="569" t="s">
        <v>6196</v>
      </c>
      <c r="G806" s="582">
        <v>1800000</v>
      </c>
      <c r="H806" s="569">
        <v>1</v>
      </c>
      <c r="I806" s="569" t="s">
        <v>6014</v>
      </c>
      <c r="J806" s="632">
        <v>5600000</v>
      </c>
    </row>
    <row r="807" spans="1:10" ht="22.5">
      <c r="A807" s="22" t="s">
        <v>6189</v>
      </c>
      <c r="B807" s="26" t="s">
        <v>6072</v>
      </c>
      <c r="C807" s="569" t="s">
        <v>6197</v>
      </c>
      <c r="D807" s="569">
        <v>4</v>
      </c>
      <c r="E807" s="569"/>
      <c r="F807" s="569" t="s">
        <v>6198</v>
      </c>
      <c r="G807" s="582">
        <v>2900000</v>
      </c>
      <c r="H807" s="569">
        <v>1</v>
      </c>
      <c r="I807" s="569" t="s">
        <v>5898</v>
      </c>
      <c r="J807" s="632">
        <v>3800000</v>
      </c>
    </row>
    <row r="808" spans="1:10">
      <c r="A808" s="22" t="s">
        <v>6189</v>
      </c>
      <c r="B808" s="26" t="s">
        <v>1230</v>
      </c>
      <c r="C808" s="569" t="s">
        <v>6199</v>
      </c>
      <c r="D808" s="569">
        <v>10.4</v>
      </c>
      <c r="E808" s="569"/>
      <c r="F808" s="569" t="s">
        <v>6101</v>
      </c>
      <c r="G808" s="582">
        <v>700000</v>
      </c>
      <c r="H808" s="569">
        <v>1</v>
      </c>
      <c r="I808" s="569" t="s">
        <v>6014</v>
      </c>
      <c r="J808" s="632">
        <v>1400000</v>
      </c>
    </row>
    <row r="809" spans="1:10" ht="22.5">
      <c r="A809" s="22" t="s">
        <v>6189</v>
      </c>
      <c r="B809" s="26" t="s">
        <v>6200</v>
      </c>
      <c r="C809" s="569" t="s">
        <v>6201</v>
      </c>
      <c r="D809" s="569">
        <v>8.3000000000000007</v>
      </c>
      <c r="E809" s="569"/>
      <c r="F809" s="569" t="s">
        <v>6202</v>
      </c>
      <c r="G809" s="582">
        <v>16000000</v>
      </c>
      <c r="H809" s="569">
        <v>1</v>
      </c>
      <c r="I809" s="569" t="s">
        <v>6014</v>
      </c>
      <c r="J809" s="632">
        <v>35000000</v>
      </c>
    </row>
    <row r="810" spans="1:10" ht="45">
      <c r="A810" s="22" t="s">
        <v>4924</v>
      </c>
      <c r="B810" s="26" t="s">
        <v>24127</v>
      </c>
      <c r="C810" s="569" t="s">
        <v>24128</v>
      </c>
      <c r="D810" s="569">
        <v>11.46</v>
      </c>
      <c r="E810" s="569">
        <v>3</v>
      </c>
      <c r="F810" s="569" t="s">
        <v>24129</v>
      </c>
      <c r="G810" s="73">
        <v>2400000</v>
      </c>
      <c r="H810" s="569" t="s">
        <v>226</v>
      </c>
      <c r="I810" s="569" t="s">
        <v>24130</v>
      </c>
      <c r="J810" s="531">
        <v>2400000</v>
      </c>
    </row>
    <row r="811" spans="1:10" ht="22.5">
      <c r="A811" s="22" t="s">
        <v>4924</v>
      </c>
      <c r="B811" s="26" t="s">
        <v>24131</v>
      </c>
      <c r="C811" s="569" t="s">
        <v>24132</v>
      </c>
      <c r="D811" s="569">
        <v>9.7799999999999994</v>
      </c>
      <c r="E811" s="569">
        <v>2.5</v>
      </c>
      <c r="F811" s="569" t="s">
        <v>24133</v>
      </c>
      <c r="G811" s="73">
        <v>0</v>
      </c>
      <c r="H811" s="569" t="s">
        <v>330</v>
      </c>
      <c r="I811" s="569" t="s">
        <v>24134</v>
      </c>
      <c r="J811" s="531">
        <v>1550000</v>
      </c>
    </row>
    <row r="812" spans="1:10" ht="25.5">
      <c r="A812" s="22" t="s">
        <v>2436</v>
      </c>
      <c r="B812" s="26" t="s">
        <v>24135</v>
      </c>
      <c r="C812" s="569" t="s">
        <v>24136</v>
      </c>
      <c r="D812" s="569">
        <v>2.7149999999999999</v>
      </c>
      <c r="E812" s="569">
        <v>6</v>
      </c>
      <c r="F812" s="569" t="s">
        <v>24133</v>
      </c>
      <c r="G812" s="73">
        <v>0</v>
      </c>
      <c r="H812" s="569" t="s">
        <v>330</v>
      </c>
      <c r="I812" s="569" t="s">
        <v>24134</v>
      </c>
      <c r="J812" s="531">
        <v>1800000</v>
      </c>
    </row>
    <row r="813" spans="1:10" ht="25.5">
      <c r="A813" s="22" t="s">
        <v>24137</v>
      </c>
      <c r="B813" s="26" t="s">
        <v>24138</v>
      </c>
      <c r="C813" s="569" t="s">
        <v>24139</v>
      </c>
      <c r="D813" s="569">
        <v>26.25</v>
      </c>
      <c r="E813" s="569">
        <v>3</v>
      </c>
      <c r="F813" s="569" t="s">
        <v>24133</v>
      </c>
      <c r="G813" s="73">
        <v>0</v>
      </c>
      <c r="H813" s="569" t="s">
        <v>330</v>
      </c>
      <c r="I813" s="569" t="s">
        <v>24134</v>
      </c>
      <c r="J813" s="531">
        <v>2250000</v>
      </c>
    </row>
    <row r="814" spans="1:10" ht="25.5">
      <c r="A814" s="22" t="s">
        <v>24137</v>
      </c>
      <c r="B814" s="26" t="s">
        <v>24138</v>
      </c>
      <c r="C814" s="569" t="s">
        <v>24140</v>
      </c>
      <c r="D814" s="569">
        <v>10.305</v>
      </c>
      <c r="E814" s="569">
        <v>3</v>
      </c>
      <c r="F814" s="569" t="s">
        <v>24133</v>
      </c>
      <c r="G814" s="73">
        <v>0</v>
      </c>
      <c r="H814" s="569" t="s">
        <v>330</v>
      </c>
      <c r="I814" s="569" t="s">
        <v>24134</v>
      </c>
      <c r="J814" s="531">
        <v>750000</v>
      </c>
    </row>
    <row r="815" spans="1:10" ht="22.5">
      <c r="A815" s="22" t="s">
        <v>19</v>
      </c>
      <c r="B815" s="26" t="s">
        <v>24141</v>
      </c>
      <c r="C815" s="569" t="s">
        <v>24142</v>
      </c>
      <c r="D815" s="569">
        <v>10.305</v>
      </c>
      <c r="E815" s="569">
        <v>6</v>
      </c>
      <c r="F815" s="569" t="s">
        <v>23573</v>
      </c>
      <c r="G815" s="73">
        <v>0</v>
      </c>
      <c r="H815" s="569" t="s">
        <v>31</v>
      </c>
      <c r="I815" s="569" t="s">
        <v>23574</v>
      </c>
      <c r="J815" s="531">
        <v>350000</v>
      </c>
    </row>
    <row r="816" spans="1:10" ht="25.5">
      <c r="A816" s="22" t="s">
        <v>19</v>
      </c>
      <c r="B816" s="26" t="s">
        <v>24143</v>
      </c>
      <c r="C816" s="569" t="s">
        <v>24144</v>
      </c>
      <c r="D816" s="569">
        <v>16.305</v>
      </c>
      <c r="E816" s="569">
        <v>3</v>
      </c>
      <c r="F816" s="569" t="s">
        <v>23573</v>
      </c>
      <c r="G816" s="73">
        <v>0</v>
      </c>
      <c r="H816" s="569" t="s">
        <v>31</v>
      </c>
      <c r="I816" s="569" t="s">
        <v>23574</v>
      </c>
      <c r="J816" s="531">
        <v>150000</v>
      </c>
    </row>
    <row r="817" spans="1:10" ht="25.5">
      <c r="A817" s="22" t="s">
        <v>19</v>
      </c>
      <c r="B817" s="26" t="s">
        <v>24143</v>
      </c>
      <c r="C817" s="569" t="s">
        <v>24145</v>
      </c>
      <c r="D817" s="569">
        <v>16.305</v>
      </c>
      <c r="E817" s="569">
        <v>3</v>
      </c>
      <c r="F817" s="569" t="s">
        <v>23573</v>
      </c>
      <c r="G817" s="73">
        <v>0</v>
      </c>
      <c r="H817" s="569" t="s">
        <v>31</v>
      </c>
      <c r="I817" s="569" t="s">
        <v>23574</v>
      </c>
      <c r="J817" s="531">
        <v>150000</v>
      </c>
    </row>
    <row r="818" spans="1:10" ht="25.5">
      <c r="A818" s="22" t="s">
        <v>24146</v>
      </c>
      <c r="B818" s="26" t="s">
        <v>24147</v>
      </c>
      <c r="C818" s="569" t="s">
        <v>24148</v>
      </c>
      <c r="D818" s="569">
        <v>15.87</v>
      </c>
      <c r="E818" s="569">
        <v>6</v>
      </c>
      <c r="F818" s="569" t="s">
        <v>23573</v>
      </c>
      <c r="G818" s="73">
        <v>0</v>
      </c>
      <c r="H818" s="569" t="s">
        <v>31</v>
      </c>
      <c r="I818" s="569" t="s">
        <v>23574</v>
      </c>
      <c r="J818" s="531">
        <v>375000</v>
      </c>
    </row>
    <row r="819" spans="1:10" ht="25.5">
      <c r="A819" s="22" t="s">
        <v>24146</v>
      </c>
      <c r="B819" s="26" t="s">
        <v>24147</v>
      </c>
      <c r="C819" s="569" t="s">
        <v>24149</v>
      </c>
      <c r="D819" s="569">
        <v>15.87</v>
      </c>
      <c r="E819" s="569">
        <v>3</v>
      </c>
      <c r="F819" s="569" t="s">
        <v>24133</v>
      </c>
      <c r="G819" s="73">
        <v>0</v>
      </c>
      <c r="H819" s="569" t="s">
        <v>330</v>
      </c>
      <c r="I819" s="569" t="s">
        <v>24134</v>
      </c>
      <c r="J819" s="531">
        <v>675000</v>
      </c>
    </row>
    <row r="820" spans="1:10" ht="25.5">
      <c r="A820" s="22" t="s">
        <v>24150</v>
      </c>
      <c r="B820" s="26" t="s">
        <v>24151</v>
      </c>
      <c r="C820" s="569" t="s">
        <v>24152</v>
      </c>
      <c r="D820" s="569">
        <v>5.07</v>
      </c>
      <c r="E820" s="569">
        <v>3</v>
      </c>
      <c r="F820" s="569" t="s">
        <v>24133</v>
      </c>
      <c r="G820" s="73">
        <v>0</v>
      </c>
      <c r="H820" s="569" t="s">
        <v>4604</v>
      </c>
      <c r="I820" s="569" t="s">
        <v>24134</v>
      </c>
      <c r="J820" s="531">
        <v>950000</v>
      </c>
    </row>
    <row r="821" spans="1:10" ht="25.5">
      <c r="A821" s="22" t="s">
        <v>24150</v>
      </c>
      <c r="B821" s="26" t="s">
        <v>24151</v>
      </c>
      <c r="C821" s="569" t="s">
        <v>24153</v>
      </c>
      <c r="D821" s="569">
        <v>5.07</v>
      </c>
      <c r="E821" s="569">
        <v>6</v>
      </c>
      <c r="F821" s="569" t="s">
        <v>24154</v>
      </c>
      <c r="G821" s="73">
        <v>0</v>
      </c>
      <c r="H821" s="569" t="s">
        <v>125</v>
      </c>
      <c r="I821" s="569" t="s">
        <v>24155</v>
      </c>
      <c r="J821" s="531">
        <v>425000</v>
      </c>
    </row>
    <row r="822" spans="1:10" ht="25.5">
      <c r="A822" s="22" t="s">
        <v>1127</v>
      </c>
      <c r="B822" s="26" t="s">
        <v>24156</v>
      </c>
      <c r="C822" s="569" t="s">
        <v>24157</v>
      </c>
      <c r="D822" s="569">
        <v>3.9</v>
      </c>
      <c r="E822" s="569">
        <v>1.5</v>
      </c>
      <c r="F822" s="569" t="s">
        <v>24133</v>
      </c>
      <c r="G822" s="73">
        <v>0</v>
      </c>
      <c r="H822" s="569" t="s">
        <v>125</v>
      </c>
      <c r="I822" s="569" t="s">
        <v>24134</v>
      </c>
      <c r="J822" s="531">
        <v>125000</v>
      </c>
    </row>
    <row r="823" spans="1:10" ht="25.5">
      <c r="A823" s="22" t="s">
        <v>1127</v>
      </c>
      <c r="B823" s="26" t="s">
        <v>24156</v>
      </c>
      <c r="C823" s="569" t="s">
        <v>24158</v>
      </c>
      <c r="D823" s="569">
        <v>6.2549999999999999</v>
      </c>
      <c r="E823" s="569">
        <v>6</v>
      </c>
      <c r="F823" s="569" t="s">
        <v>24159</v>
      </c>
      <c r="G823" s="73">
        <v>0</v>
      </c>
      <c r="H823" s="569" t="s">
        <v>125</v>
      </c>
      <c r="I823" s="569" t="s">
        <v>24155</v>
      </c>
      <c r="J823" s="531">
        <v>875000</v>
      </c>
    </row>
    <row r="824" spans="1:10" ht="25.5">
      <c r="A824" s="22" t="s">
        <v>1658</v>
      </c>
      <c r="B824" s="26" t="s">
        <v>24135</v>
      </c>
      <c r="C824" s="569" t="s">
        <v>24160</v>
      </c>
      <c r="D824" s="569">
        <v>2.7149999999999999</v>
      </c>
      <c r="E824" s="569">
        <v>6</v>
      </c>
      <c r="F824" s="569" t="s">
        <v>24133</v>
      </c>
      <c r="G824" s="73">
        <v>0</v>
      </c>
      <c r="H824" s="569" t="s">
        <v>31</v>
      </c>
      <c r="I824" s="569" t="s">
        <v>24134</v>
      </c>
      <c r="J824" s="531">
        <v>480000</v>
      </c>
    </row>
    <row r="825" spans="1:10" ht="38.25">
      <c r="A825" s="22" t="s">
        <v>19</v>
      </c>
      <c r="B825" s="26" t="s">
        <v>24161</v>
      </c>
      <c r="C825" s="569" t="s">
        <v>24162</v>
      </c>
      <c r="D825" s="569">
        <v>4.375</v>
      </c>
      <c r="E825" s="569">
        <v>3</v>
      </c>
      <c r="F825" s="569" t="s">
        <v>24133</v>
      </c>
      <c r="G825" s="73">
        <v>0</v>
      </c>
      <c r="H825" s="569" t="s">
        <v>125</v>
      </c>
      <c r="I825" s="569" t="s">
        <v>24134</v>
      </c>
      <c r="J825" s="531">
        <v>4500000</v>
      </c>
    </row>
    <row r="826" spans="1:10" ht="38.25">
      <c r="A826" s="22" t="s">
        <v>4940</v>
      </c>
      <c r="B826" s="26" t="s">
        <v>24161</v>
      </c>
      <c r="C826" s="569" t="s">
        <v>24163</v>
      </c>
      <c r="D826" s="569">
        <v>6.4749999999999996</v>
      </c>
      <c r="E826" s="569">
        <v>3</v>
      </c>
      <c r="F826" s="569" t="s">
        <v>24164</v>
      </c>
      <c r="G826" s="73">
        <v>0</v>
      </c>
      <c r="H826" s="569" t="s">
        <v>125</v>
      </c>
      <c r="I826" s="569" t="s">
        <v>24165</v>
      </c>
      <c r="J826" s="531">
        <v>7100000</v>
      </c>
    </row>
    <row r="827" spans="1:10" ht="25.5">
      <c r="A827" s="22" t="s">
        <v>19</v>
      </c>
      <c r="B827" s="26" t="s">
        <v>24143</v>
      </c>
      <c r="C827" s="569" t="s">
        <v>24166</v>
      </c>
      <c r="D827" s="569">
        <v>16.305</v>
      </c>
      <c r="E827" s="569">
        <v>3</v>
      </c>
      <c r="F827" s="569" t="s">
        <v>24133</v>
      </c>
      <c r="G827" s="73">
        <v>0</v>
      </c>
      <c r="H827" s="569" t="s">
        <v>31</v>
      </c>
      <c r="I827" s="569" t="s">
        <v>24134</v>
      </c>
      <c r="J827" s="531">
        <v>550000</v>
      </c>
    </row>
    <row r="828" spans="1:10" ht="38.25">
      <c r="A828" s="22" t="s">
        <v>4942</v>
      </c>
      <c r="B828" s="26" t="s">
        <v>24167</v>
      </c>
      <c r="C828" s="569" t="s">
        <v>24140</v>
      </c>
      <c r="D828" s="569">
        <v>10.305</v>
      </c>
      <c r="E828" s="569">
        <v>3</v>
      </c>
      <c r="F828" s="569" t="s">
        <v>24168</v>
      </c>
      <c r="G828" s="73">
        <v>0</v>
      </c>
      <c r="H828" s="569" t="s">
        <v>31</v>
      </c>
      <c r="I828" s="569" t="s">
        <v>24169</v>
      </c>
      <c r="J828" s="531">
        <v>150000</v>
      </c>
    </row>
    <row r="829" spans="1:10" ht="22.5">
      <c r="A829" s="22" t="s">
        <v>2436</v>
      </c>
      <c r="B829" s="26" t="s">
        <v>24170</v>
      </c>
      <c r="C829" s="569" t="s">
        <v>24171</v>
      </c>
      <c r="D829" s="569">
        <v>5.8</v>
      </c>
      <c r="E829" s="569">
        <v>3</v>
      </c>
      <c r="F829" s="569" t="s">
        <v>24168</v>
      </c>
      <c r="G829" s="73">
        <v>0</v>
      </c>
      <c r="H829" s="569" t="s">
        <v>125</v>
      </c>
      <c r="I829" s="569" t="s">
        <v>24172</v>
      </c>
      <c r="J829" s="531">
        <v>150000</v>
      </c>
    </row>
    <row r="830" spans="1:10" ht="33.75">
      <c r="A830" s="22" t="s">
        <v>3825</v>
      </c>
      <c r="B830" s="26" t="s">
        <v>24173</v>
      </c>
      <c r="C830" s="569" t="s">
        <v>24174</v>
      </c>
      <c r="D830" s="569">
        <v>5.8</v>
      </c>
      <c r="E830" s="569">
        <v>3</v>
      </c>
      <c r="F830" s="569" t="s">
        <v>24175</v>
      </c>
      <c r="G830" s="73">
        <v>0</v>
      </c>
      <c r="H830" s="569" t="s">
        <v>125</v>
      </c>
      <c r="I830" s="569" t="s">
        <v>24134</v>
      </c>
      <c r="J830" s="531">
        <v>750000</v>
      </c>
    </row>
    <row r="831" spans="1:10" ht="38.25">
      <c r="A831" s="22" t="s">
        <v>19</v>
      </c>
      <c r="B831" s="26" t="s">
        <v>24161</v>
      </c>
      <c r="C831" s="569" t="s">
        <v>24176</v>
      </c>
      <c r="D831" s="569">
        <v>6.4749999999999996</v>
      </c>
      <c r="E831" s="569">
        <v>3</v>
      </c>
      <c r="F831" s="569" t="s">
        <v>24177</v>
      </c>
      <c r="G831" s="73">
        <v>0</v>
      </c>
      <c r="H831" s="569" t="s">
        <v>125</v>
      </c>
      <c r="I831" s="569" t="s">
        <v>24155</v>
      </c>
      <c r="J831" s="531">
        <v>4350000</v>
      </c>
    </row>
    <row r="832" spans="1:10" ht="38.25">
      <c r="A832" s="22" t="s">
        <v>4942</v>
      </c>
      <c r="B832" s="26" t="s">
        <v>24167</v>
      </c>
      <c r="C832" s="569" t="s">
        <v>24178</v>
      </c>
      <c r="D832" s="569">
        <v>10.305</v>
      </c>
      <c r="E832" s="569">
        <v>4</v>
      </c>
      <c r="F832" s="569" t="s">
        <v>24179</v>
      </c>
      <c r="G832" s="73">
        <v>0</v>
      </c>
      <c r="H832" s="569" t="s">
        <v>31</v>
      </c>
      <c r="I832" s="569" t="s">
        <v>24134</v>
      </c>
      <c r="J832" s="531">
        <v>400000</v>
      </c>
    </row>
    <row r="833" spans="1:10" ht="38.25">
      <c r="A833" s="22" t="s">
        <v>4940</v>
      </c>
      <c r="B833" s="26" t="s">
        <v>24180</v>
      </c>
      <c r="C833" s="569" t="s">
        <v>24181</v>
      </c>
      <c r="D833" s="569">
        <v>4.375</v>
      </c>
      <c r="E833" s="569">
        <v>6</v>
      </c>
      <c r="F833" s="569" t="s">
        <v>24179</v>
      </c>
      <c r="G833" s="73">
        <v>0</v>
      </c>
      <c r="H833" s="569" t="s">
        <v>31</v>
      </c>
      <c r="I833" s="569" t="s">
        <v>24134</v>
      </c>
      <c r="J833" s="531">
        <v>51600000</v>
      </c>
    </row>
    <row r="834" spans="1:10" ht="25.5">
      <c r="A834" s="22" t="s">
        <v>24182</v>
      </c>
      <c r="B834" s="26" t="s">
        <v>24147</v>
      </c>
      <c r="C834" s="569" t="s">
        <v>24183</v>
      </c>
      <c r="D834" s="569">
        <v>15.87</v>
      </c>
      <c r="E834" s="569">
        <v>3</v>
      </c>
      <c r="F834" s="569" t="s">
        <v>24184</v>
      </c>
      <c r="G834" s="73">
        <v>0</v>
      </c>
      <c r="H834" s="569" t="s">
        <v>125</v>
      </c>
      <c r="I834" s="569" t="s">
        <v>24185</v>
      </c>
      <c r="J834" s="531">
        <v>425000</v>
      </c>
    </row>
    <row r="835" spans="1:10" ht="25.5">
      <c r="A835" s="22" t="s">
        <v>1127</v>
      </c>
      <c r="B835" s="26" t="s">
        <v>24186</v>
      </c>
      <c r="C835" s="569" t="s">
        <v>24187</v>
      </c>
      <c r="D835" s="569">
        <v>18</v>
      </c>
      <c r="E835" s="569">
        <v>6</v>
      </c>
      <c r="F835" s="569" t="s">
        <v>24188</v>
      </c>
      <c r="G835" s="73">
        <v>0</v>
      </c>
      <c r="H835" s="569" t="s">
        <v>125</v>
      </c>
      <c r="I835" s="569" t="s">
        <v>24185</v>
      </c>
      <c r="J835" s="531">
        <v>36000000</v>
      </c>
    </row>
    <row r="836" spans="1:10" ht="25.5">
      <c r="A836" s="22" t="s">
        <v>4942</v>
      </c>
      <c r="B836" s="26" t="s">
        <v>24189</v>
      </c>
      <c r="C836" s="569" t="s">
        <v>24190</v>
      </c>
      <c r="D836" s="569">
        <v>11.734999999999999</v>
      </c>
      <c r="E836" s="569">
        <v>6</v>
      </c>
      <c r="F836" s="569" t="s">
        <v>24179</v>
      </c>
      <c r="G836" s="73">
        <v>0</v>
      </c>
      <c r="H836" s="569" t="s">
        <v>226</v>
      </c>
      <c r="I836" s="569" t="s">
        <v>24134</v>
      </c>
      <c r="J836" s="531">
        <v>2500000</v>
      </c>
    </row>
    <row r="837" spans="1:10">
      <c r="A837" s="22" t="s">
        <v>4942</v>
      </c>
      <c r="B837" s="26" t="s">
        <v>24191</v>
      </c>
      <c r="C837" s="569" t="s">
        <v>24192</v>
      </c>
      <c r="D837" s="569">
        <v>2.5049999999999999</v>
      </c>
      <c r="E837" s="569">
        <v>3</v>
      </c>
      <c r="F837" s="569" t="s">
        <v>24179</v>
      </c>
      <c r="G837" s="73">
        <v>0</v>
      </c>
      <c r="H837" s="569" t="s">
        <v>226</v>
      </c>
      <c r="I837" s="569" t="s">
        <v>24134</v>
      </c>
      <c r="J837" s="531">
        <v>300000</v>
      </c>
    </row>
    <row r="838" spans="1:10" ht="25.5">
      <c r="A838" s="22" t="s">
        <v>4942</v>
      </c>
      <c r="B838" s="26" t="s">
        <v>24189</v>
      </c>
      <c r="C838" s="569" t="s">
        <v>24192</v>
      </c>
      <c r="D838" s="569">
        <v>2.5049999999999999</v>
      </c>
      <c r="E838" s="569">
        <v>6</v>
      </c>
      <c r="F838" s="569" t="s">
        <v>24193</v>
      </c>
      <c r="G838" s="73">
        <v>0</v>
      </c>
      <c r="H838" s="569" t="s">
        <v>226</v>
      </c>
      <c r="I838" s="569" t="s">
        <v>24194</v>
      </c>
      <c r="J838" s="531">
        <v>675000</v>
      </c>
    </row>
    <row r="839" spans="1:10" ht="22.5">
      <c r="A839" s="22" t="s">
        <v>19</v>
      </c>
      <c r="B839" s="26" t="s">
        <v>24141</v>
      </c>
      <c r="C839" s="569" t="s">
        <v>24195</v>
      </c>
      <c r="D839" s="569">
        <v>10.305</v>
      </c>
      <c r="E839" s="569">
        <v>6</v>
      </c>
      <c r="F839" s="569" t="s">
        <v>23666</v>
      </c>
      <c r="G839" s="73">
        <v>0</v>
      </c>
      <c r="H839" s="569" t="s">
        <v>31</v>
      </c>
      <c r="I839" s="569" t="s">
        <v>24196</v>
      </c>
      <c r="J839" s="531">
        <v>495000</v>
      </c>
    </row>
    <row r="840" spans="1:10" ht="22.5">
      <c r="A840" s="22" t="s">
        <v>19</v>
      </c>
      <c r="B840" s="26" t="s">
        <v>24141</v>
      </c>
      <c r="C840" s="569" t="s">
        <v>24197</v>
      </c>
      <c r="D840" s="569">
        <v>10.305</v>
      </c>
      <c r="E840" s="569">
        <v>6</v>
      </c>
      <c r="F840" s="569" t="s">
        <v>23573</v>
      </c>
      <c r="G840" s="73">
        <v>0</v>
      </c>
      <c r="H840" s="569" t="s">
        <v>31</v>
      </c>
      <c r="I840" s="569" t="s">
        <v>24198</v>
      </c>
      <c r="J840" s="531">
        <v>150000</v>
      </c>
    </row>
    <row r="841" spans="1:10" ht="22.5">
      <c r="A841" s="22" t="s">
        <v>19</v>
      </c>
      <c r="B841" s="26" t="s">
        <v>24141</v>
      </c>
      <c r="C841" s="569" t="s">
        <v>24199</v>
      </c>
      <c r="D841" s="569">
        <v>10.305</v>
      </c>
      <c r="E841" s="569">
        <v>6</v>
      </c>
      <c r="F841" s="569" t="s">
        <v>24179</v>
      </c>
      <c r="G841" s="73">
        <v>0</v>
      </c>
      <c r="H841" s="569" t="s">
        <v>31</v>
      </c>
      <c r="I841" s="569" t="s">
        <v>23687</v>
      </c>
      <c r="J841" s="531">
        <v>150000</v>
      </c>
    </row>
    <row r="842" spans="1:10" ht="25.5">
      <c r="A842" s="22" t="s">
        <v>4942</v>
      </c>
      <c r="B842" s="26" t="s">
        <v>24200</v>
      </c>
      <c r="C842" s="569" t="s">
        <v>24201</v>
      </c>
      <c r="D842" s="569">
        <v>26.25</v>
      </c>
      <c r="E842" s="569">
        <v>6</v>
      </c>
      <c r="F842" s="569" t="s">
        <v>24179</v>
      </c>
      <c r="G842" s="73">
        <v>0</v>
      </c>
      <c r="H842" s="569" t="s">
        <v>31</v>
      </c>
      <c r="I842" s="569" t="s">
        <v>23687</v>
      </c>
      <c r="J842" s="531">
        <v>300000</v>
      </c>
    </row>
    <row r="843" spans="1:10" ht="25.5">
      <c r="A843" s="22" t="s">
        <v>4942</v>
      </c>
      <c r="B843" s="26" t="s">
        <v>24200</v>
      </c>
      <c r="C843" s="569" t="s">
        <v>24202</v>
      </c>
      <c r="D843" s="569">
        <v>26.25</v>
      </c>
      <c r="E843" s="569">
        <v>6</v>
      </c>
      <c r="F843" s="569" t="s">
        <v>24179</v>
      </c>
      <c r="G843" s="73">
        <v>0</v>
      </c>
      <c r="H843" s="569" t="s">
        <v>31</v>
      </c>
      <c r="I843" s="569" t="s">
        <v>24134</v>
      </c>
      <c r="J843" s="531">
        <v>3500000</v>
      </c>
    </row>
    <row r="844" spans="1:10" ht="25.5">
      <c r="A844" s="22" t="s">
        <v>4942</v>
      </c>
      <c r="B844" s="26" t="s">
        <v>24200</v>
      </c>
      <c r="C844" s="569" t="s">
        <v>24203</v>
      </c>
      <c r="D844" s="569">
        <v>26.25</v>
      </c>
      <c r="E844" s="569">
        <v>3</v>
      </c>
      <c r="F844" s="569" t="s">
        <v>24204</v>
      </c>
      <c r="G844" s="73">
        <v>0</v>
      </c>
      <c r="H844" s="569" t="s">
        <v>31</v>
      </c>
      <c r="I844" s="569" t="s">
        <v>24205</v>
      </c>
      <c r="J844" s="531">
        <v>35350000</v>
      </c>
    </row>
    <row r="845" spans="1:10" ht="25.5">
      <c r="A845" s="22" t="s">
        <v>4924</v>
      </c>
      <c r="B845" s="26" t="s">
        <v>24206</v>
      </c>
      <c r="C845" s="569" t="s">
        <v>24207</v>
      </c>
      <c r="D845" s="569">
        <v>9.7799999999999994</v>
      </c>
      <c r="E845" s="569">
        <v>6</v>
      </c>
      <c r="F845" s="569" t="s">
        <v>24208</v>
      </c>
      <c r="G845" s="73">
        <v>0</v>
      </c>
      <c r="H845" s="569" t="s">
        <v>31</v>
      </c>
      <c r="I845" s="569" t="s">
        <v>24134</v>
      </c>
      <c r="J845" s="531">
        <v>900000</v>
      </c>
    </row>
    <row r="846" spans="1:10" ht="25.5">
      <c r="A846" s="22" t="s">
        <v>4924</v>
      </c>
      <c r="B846" s="26" t="s">
        <v>24206</v>
      </c>
      <c r="C846" s="569" t="s">
        <v>24209</v>
      </c>
      <c r="D846" s="569">
        <v>9.7799999999999994</v>
      </c>
      <c r="E846" s="569">
        <v>6</v>
      </c>
      <c r="F846" s="569" t="s">
        <v>23573</v>
      </c>
      <c r="G846" s="73">
        <v>0</v>
      </c>
      <c r="H846" s="569" t="s">
        <v>31</v>
      </c>
      <c r="I846" s="569" t="s">
        <v>24210</v>
      </c>
      <c r="J846" s="531">
        <v>200000</v>
      </c>
    </row>
    <row r="847" spans="1:10" ht="25.5">
      <c r="A847" s="22" t="s">
        <v>4942</v>
      </c>
      <c r="B847" s="26" t="s">
        <v>24200</v>
      </c>
      <c r="C847" s="569" t="s">
        <v>24211</v>
      </c>
      <c r="D847" s="569">
        <v>26.25</v>
      </c>
      <c r="E847" s="569">
        <v>3</v>
      </c>
      <c r="F847" s="569" t="s">
        <v>24212</v>
      </c>
      <c r="G847" s="73">
        <v>0</v>
      </c>
      <c r="H847" s="569" t="s">
        <v>31</v>
      </c>
      <c r="I847" s="569" t="s">
        <v>23629</v>
      </c>
      <c r="J847" s="531">
        <v>1440000</v>
      </c>
    </row>
    <row r="848" spans="1:10" ht="25.5">
      <c r="A848" s="22" t="s">
        <v>4942</v>
      </c>
      <c r="B848" s="26" t="s">
        <v>24200</v>
      </c>
      <c r="C848" s="569" t="s">
        <v>24213</v>
      </c>
      <c r="D848" s="569">
        <v>26.25</v>
      </c>
      <c r="E848" s="569">
        <v>3</v>
      </c>
      <c r="F848" s="569" t="s">
        <v>24214</v>
      </c>
      <c r="G848" s="73">
        <v>0</v>
      </c>
      <c r="H848" s="569" t="s">
        <v>31</v>
      </c>
      <c r="I848" s="569" t="s">
        <v>24134</v>
      </c>
      <c r="J848" s="531">
        <v>150000</v>
      </c>
    </row>
    <row r="849" spans="1:10" ht="25.5">
      <c r="A849" s="22" t="s">
        <v>4942</v>
      </c>
      <c r="B849" s="26" t="s">
        <v>24200</v>
      </c>
      <c r="C849" s="569" t="s">
        <v>24215</v>
      </c>
      <c r="D849" s="569">
        <v>26.25</v>
      </c>
      <c r="E849" s="569">
        <v>3</v>
      </c>
      <c r="F849" s="569" t="s">
        <v>24212</v>
      </c>
      <c r="G849" s="73">
        <v>0</v>
      </c>
      <c r="H849" s="569" t="s">
        <v>125</v>
      </c>
      <c r="I849" s="569" t="s">
        <v>24216</v>
      </c>
      <c r="J849" s="531">
        <v>50000</v>
      </c>
    </row>
    <row r="850" spans="1:10" ht="25.5">
      <c r="A850" s="22" t="s">
        <v>4942</v>
      </c>
      <c r="B850" s="26" t="s">
        <v>24200</v>
      </c>
      <c r="C850" s="569" t="s">
        <v>24217</v>
      </c>
      <c r="D850" s="569">
        <v>26.25</v>
      </c>
      <c r="E850" s="569">
        <v>3</v>
      </c>
      <c r="F850" s="569" t="s">
        <v>24218</v>
      </c>
      <c r="G850" s="73">
        <v>0</v>
      </c>
      <c r="H850" s="569" t="s">
        <v>125</v>
      </c>
      <c r="I850" s="569" t="s">
        <v>24134</v>
      </c>
      <c r="J850" s="531">
        <v>575000</v>
      </c>
    </row>
    <row r="851" spans="1:10" ht="25.5">
      <c r="A851" s="22" t="s">
        <v>4942</v>
      </c>
      <c r="B851" s="26" t="s">
        <v>24200</v>
      </c>
      <c r="C851" s="569" t="s">
        <v>24219</v>
      </c>
      <c r="D851" s="569">
        <v>26.25</v>
      </c>
      <c r="E851" s="569">
        <v>3</v>
      </c>
      <c r="F851" s="569" t="s">
        <v>24218</v>
      </c>
      <c r="G851" s="73">
        <v>0</v>
      </c>
      <c r="H851" s="569" t="s">
        <v>125</v>
      </c>
      <c r="I851" s="569" t="s">
        <v>24134</v>
      </c>
      <c r="J851" s="531">
        <v>200000</v>
      </c>
    </row>
    <row r="852" spans="1:10" ht="25.5">
      <c r="A852" s="22" t="s">
        <v>4942</v>
      </c>
      <c r="B852" s="26" t="s">
        <v>24200</v>
      </c>
      <c r="C852" s="569" t="s">
        <v>24220</v>
      </c>
      <c r="D852" s="569">
        <v>26.25</v>
      </c>
      <c r="E852" s="569">
        <v>3</v>
      </c>
      <c r="F852" s="569" t="s">
        <v>24218</v>
      </c>
      <c r="G852" s="73">
        <v>0</v>
      </c>
      <c r="H852" s="569" t="s">
        <v>125</v>
      </c>
      <c r="I852" s="569" t="s">
        <v>24134</v>
      </c>
      <c r="J852" s="531">
        <v>1440000</v>
      </c>
    </row>
    <row r="853" spans="1:10" ht="25.5">
      <c r="A853" s="22" t="s">
        <v>4942</v>
      </c>
      <c r="B853" s="26" t="s">
        <v>24200</v>
      </c>
      <c r="C853" s="569" t="s">
        <v>24221</v>
      </c>
      <c r="D853" s="569">
        <v>26.25</v>
      </c>
      <c r="E853" s="569">
        <v>3</v>
      </c>
      <c r="F853" s="569" t="s">
        <v>24218</v>
      </c>
      <c r="G853" s="73">
        <v>0</v>
      </c>
      <c r="H853" s="569" t="s">
        <v>125</v>
      </c>
      <c r="I853" s="569" t="s">
        <v>24222</v>
      </c>
      <c r="J853" s="531">
        <v>100000</v>
      </c>
    </row>
    <row r="854" spans="1:10" ht="25.5">
      <c r="A854" s="22" t="s">
        <v>4942</v>
      </c>
      <c r="B854" s="26" t="s">
        <v>24200</v>
      </c>
      <c r="C854" s="569" t="s">
        <v>24223</v>
      </c>
      <c r="D854" s="569">
        <v>26.25</v>
      </c>
      <c r="E854" s="569">
        <v>3</v>
      </c>
      <c r="F854" s="569" t="s">
        <v>24224</v>
      </c>
      <c r="G854" s="73">
        <v>0</v>
      </c>
      <c r="H854" s="569" t="s">
        <v>125</v>
      </c>
      <c r="I854" s="569" t="s">
        <v>24225</v>
      </c>
      <c r="J854" s="531">
        <v>150000</v>
      </c>
    </row>
    <row r="855" spans="1:10" ht="25.5">
      <c r="A855" s="22" t="s">
        <v>19</v>
      </c>
      <c r="B855" s="26" t="s">
        <v>24200</v>
      </c>
      <c r="C855" s="569" t="s">
        <v>24226</v>
      </c>
      <c r="D855" s="569">
        <v>10.305</v>
      </c>
      <c r="E855" s="569">
        <v>3</v>
      </c>
      <c r="F855" s="569" t="s">
        <v>24227</v>
      </c>
      <c r="G855" s="73">
        <v>0</v>
      </c>
      <c r="H855" s="569" t="s">
        <v>125</v>
      </c>
      <c r="I855" s="569" t="s">
        <v>24228</v>
      </c>
      <c r="J855" s="531">
        <v>440000</v>
      </c>
    </row>
    <row r="856" spans="1:10" ht="25.5">
      <c r="A856" s="22" t="s">
        <v>19</v>
      </c>
      <c r="B856" s="26" t="s">
        <v>24200</v>
      </c>
      <c r="C856" s="569" t="s">
        <v>24229</v>
      </c>
      <c r="D856" s="569">
        <v>10.305</v>
      </c>
      <c r="E856" s="569">
        <v>3</v>
      </c>
      <c r="F856" s="569" t="s">
        <v>24179</v>
      </c>
      <c r="G856" s="73">
        <v>0</v>
      </c>
      <c r="H856" s="569" t="s">
        <v>125</v>
      </c>
      <c r="I856" s="569" t="s">
        <v>24230</v>
      </c>
      <c r="J856" s="531">
        <v>336000</v>
      </c>
    </row>
    <row r="857" spans="1:10" ht="25.5">
      <c r="A857" s="22" t="s">
        <v>19</v>
      </c>
      <c r="B857" s="26" t="s">
        <v>24200</v>
      </c>
      <c r="C857" s="569" t="s">
        <v>24231</v>
      </c>
      <c r="D857" s="569">
        <v>10.305</v>
      </c>
      <c r="E857" s="569">
        <v>3</v>
      </c>
      <c r="F857" s="569" t="s">
        <v>24179</v>
      </c>
      <c r="G857" s="73">
        <v>0</v>
      </c>
      <c r="H857" s="569" t="s">
        <v>125</v>
      </c>
      <c r="I857" s="569" t="s">
        <v>24232</v>
      </c>
      <c r="J857" s="531">
        <v>720000</v>
      </c>
    </row>
    <row r="858" spans="1:10" ht="25.5">
      <c r="A858" s="22" t="s">
        <v>19</v>
      </c>
      <c r="B858" s="26" t="s">
        <v>24200</v>
      </c>
      <c r="C858" s="569" t="s">
        <v>24233</v>
      </c>
      <c r="D858" s="569">
        <v>10.305</v>
      </c>
      <c r="E858" s="569">
        <v>3</v>
      </c>
      <c r="F858" s="569" t="s">
        <v>24179</v>
      </c>
      <c r="G858" s="73">
        <v>0</v>
      </c>
      <c r="H858" s="569" t="s">
        <v>125</v>
      </c>
      <c r="I858" s="569" t="s">
        <v>24232</v>
      </c>
      <c r="J858" s="531">
        <v>100000</v>
      </c>
    </row>
    <row r="859" spans="1:10" ht="25.5">
      <c r="A859" s="22" t="s">
        <v>19</v>
      </c>
      <c r="B859" s="26" t="s">
        <v>24200</v>
      </c>
      <c r="C859" s="569" t="s">
        <v>24234</v>
      </c>
      <c r="D859" s="569">
        <v>10.305</v>
      </c>
      <c r="E859" s="569">
        <v>3</v>
      </c>
      <c r="F859" s="569" t="s">
        <v>24235</v>
      </c>
      <c r="G859" s="73">
        <v>0</v>
      </c>
      <c r="H859" s="569" t="s">
        <v>125</v>
      </c>
      <c r="I859" s="569" t="s">
        <v>24236</v>
      </c>
      <c r="J859" s="531">
        <v>480000</v>
      </c>
    </row>
    <row r="860" spans="1:10" ht="25.5">
      <c r="A860" s="22" t="s">
        <v>19</v>
      </c>
      <c r="B860" s="26" t="s">
        <v>24200</v>
      </c>
      <c r="C860" s="569" t="s">
        <v>24237</v>
      </c>
      <c r="D860" s="569">
        <v>10.305</v>
      </c>
      <c r="E860" s="569">
        <v>3</v>
      </c>
      <c r="F860" s="569" t="s">
        <v>24179</v>
      </c>
      <c r="G860" s="73">
        <v>0</v>
      </c>
      <c r="H860" s="569" t="s">
        <v>125</v>
      </c>
      <c r="I860" s="569" t="s">
        <v>24232</v>
      </c>
      <c r="J860" s="531">
        <v>100000</v>
      </c>
    </row>
    <row r="861" spans="1:10" ht="25.5">
      <c r="A861" s="22" t="s">
        <v>19</v>
      </c>
      <c r="B861" s="26" t="s">
        <v>24200</v>
      </c>
      <c r="C861" s="569" t="s">
        <v>24238</v>
      </c>
      <c r="D861" s="569">
        <v>10.305</v>
      </c>
      <c r="E861" s="569">
        <v>3</v>
      </c>
      <c r="F861" s="569" t="s">
        <v>24179</v>
      </c>
      <c r="G861" s="73">
        <v>0</v>
      </c>
      <c r="H861" s="569" t="s">
        <v>125</v>
      </c>
      <c r="I861" s="569" t="s">
        <v>24232</v>
      </c>
      <c r="J861" s="531">
        <v>288000</v>
      </c>
    </row>
    <row r="862" spans="1:10" ht="25.5">
      <c r="A862" s="22" t="s">
        <v>19</v>
      </c>
      <c r="B862" s="26" t="s">
        <v>24200</v>
      </c>
      <c r="C862" s="569" t="s">
        <v>24239</v>
      </c>
      <c r="D862" s="569">
        <v>10.305</v>
      </c>
      <c r="E862" s="569">
        <v>3</v>
      </c>
      <c r="F862" s="569" t="s">
        <v>24240</v>
      </c>
      <c r="G862" s="73">
        <v>0</v>
      </c>
      <c r="H862" s="569" t="s">
        <v>125</v>
      </c>
      <c r="I862" s="569" t="s">
        <v>24241</v>
      </c>
      <c r="J862" s="531">
        <v>388000</v>
      </c>
    </row>
    <row r="863" spans="1:10" ht="25.5">
      <c r="A863" s="22" t="s">
        <v>19</v>
      </c>
      <c r="B863" s="26" t="s">
        <v>24200</v>
      </c>
      <c r="C863" s="569" t="s">
        <v>24242</v>
      </c>
      <c r="D863" s="569">
        <v>10.305</v>
      </c>
      <c r="E863" s="569">
        <v>3</v>
      </c>
      <c r="F863" s="569" t="s">
        <v>24243</v>
      </c>
      <c r="G863" s="73">
        <v>0</v>
      </c>
      <c r="H863" s="569" t="s">
        <v>125</v>
      </c>
      <c r="I863" s="569" t="s">
        <v>23574</v>
      </c>
      <c r="J863" s="531">
        <v>100000</v>
      </c>
    </row>
    <row r="864" spans="1:10" ht="25.5">
      <c r="A864" s="22" t="s">
        <v>19</v>
      </c>
      <c r="B864" s="26" t="s">
        <v>24200</v>
      </c>
      <c r="C864" s="569" t="s">
        <v>24244</v>
      </c>
      <c r="D864" s="569">
        <v>10.305</v>
      </c>
      <c r="E864" s="569">
        <v>3</v>
      </c>
      <c r="F864" s="569" t="s">
        <v>24243</v>
      </c>
      <c r="G864" s="73">
        <v>0</v>
      </c>
      <c r="H864" s="569" t="s">
        <v>125</v>
      </c>
      <c r="I864" s="569" t="s">
        <v>24245</v>
      </c>
      <c r="J864" s="531">
        <v>270000</v>
      </c>
    </row>
    <row r="865" spans="1:10" ht="25.5">
      <c r="A865" s="22" t="s">
        <v>19</v>
      </c>
      <c r="B865" s="26" t="s">
        <v>24200</v>
      </c>
      <c r="C865" s="569" t="s">
        <v>24246</v>
      </c>
      <c r="D865" s="569">
        <v>10.305</v>
      </c>
      <c r="E865" s="569">
        <v>3</v>
      </c>
      <c r="F865" s="569" t="s">
        <v>24243</v>
      </c>
      <c r="G865" s="73">
        <v>0</v>
      </c>
      <c r="H865" s="569" t="s">
        <v>125</v>
      </c>
      <c r="I865" s="569" t="s">
        <v>24247</v>
      </c>
      <c r="J865" s="531">
        <v>500000</v>
      </c>
    </row>
    <row r="866" spans="1:10" ht="45">
      <c r="A866" s="22" t="s">
        <v>19</v>
      </c>
      <c r="B866" s="26" t="s">
        <v>24200</v>
      </c>
      <c r="C866" s="569" t="s">
        <v>24248</v>
      </c>
      <c r="D866" s="569">
        <v>10.305</v>
      </c>
      <c r="E866" s="569">
        <v>6</v>
      </c>
      <c r="F866" s="569" t="s">
        <v>24249</v>
      </c>
      <c r="G866" s="73">
        <v>0</v>
      </c>
      <c r="H866" s="569" t="s">
        <v>125</v>
      </c>
      <c r="I866" s="569" t="s">
        <v>24250</v>
      </c>
      <c r="J866" s="531">
        <v>20538375</v>
      </c>
    </row>
    <row r="867" spans="1:10" ht="25.5">
      <c r="A867" s="22" t="s">
        <v>1127</v>
      </c>
      <c r="B867" s="26" t="s">
        <v>24251</v>
      </c>
      <c r="C867" s="569" t="s">
        <v>24252</v>
      </c>
      <c r="D867" s="569">
        <v>7.43</v>
      </c>
      <c r="E867" s="569">
        <v>0</v>
      </c>
      <c r="F867" s="569" t="s">
        <v>24253</v>
      </c>
      <c r="G867" s="73">
        <v>0</v>
      </c>
      <c r="H867" s="569" t="s">
        <v>125</v>
      </c>
      <c r="I867" s="569" t="s">
        <v>24254</v>
      </c>
      <c r="J867" s="531">
        <v>43638000</v>
      </c>
    </row>
    <row r="868" spans="1:10" ht="22.5">
      <c r="A868" s="22" t="s">
        <v>1127</v>
      </c>
      <c r="B868" s="26" t="s">
        <v>24255</v>
      </c>
      <c r="C868" s="569" t="s">
        <v>24256</v>
      </c>
      <c r="D868" s="569">
        <v>4.9050000000000002</v>
      </c>
      <c r="E868" s="569">
        <v>0</v>
      </c>
      <c r="F868" s="569" t="s">
        <v>24257</v>
      </c>
      <c r="G868" s="73">
        <v>0</v>
      </c>
      <c r="H868" s="569" t="s">
        <v>125</v>
      </c>
      <c r="I868" s="569" t="s">
        <v>24258</v>
      </c>
      <c r="J868" s="531">
        <v>7250000</v>
      </c>
    </row>
    <row r="869" spans="1:10" ht="22.5">
      <c r="A869" s="22" t="s">
        <v>1127</v>
      </c>
      <c r="B869" s="26" t="s">
        <v>24255</v>
      </c>
      <c r="C869" s="569" t="s">
        <v>24259</v>
      </c>
      <c r="D869" s="569">
        <v>4.9050000000000002</v>
      </c>
      <c r="E869" s="569">
        <v>0</v>
      </c>
      <c r="F869" s="569" t="s">
        <v>24260</v>
      </c>
      <c r="G869" s="73">
        <v>0</v>
      </c>
      <c r="H869" s="569" t="s">
        <v>31</v>
      </c>
      <c r="I869" s="569" t="s">
        <v>24261</v>
      </c>
      <c r="J869" s="531">
        <v>75000000</v>
      </c>
    </row>
    <row r="870" spans="1:10" ht="22.5">
      <c r="A870" s="22" t="s">
        <v>19</v>
      </c>
      <c r="B870" s="26" t="s">
        <v>24262</v>
      </c>
      <c r="C870" s="569" t="s">
        <v>24263</v>
      </c>
      <c r="D870" s="569">
        <v>18</v>
      </c>
      <c r="E870" s="569">
        <v>0</v>
      </c>
      <c r="F870" s="569" t="s">
        <v>24264</v>
      </c>
      <c r="G870" s="73">
        <v>0</v>
      </c>
      <c r="H870" s="569" t="s">
        <v>31</v>
      </c>
      <c r="I870" s="569" t="s">
        <v>23687</v>
      </c>
      <c r="J870" s="531">
        <v>825000</v>
      </c>
    </row>
    <row r="871" spans="1:10" ht="25.5">
      <c r="A871" s="22" t="s">
        <v>24146</v>
      </c>
      <c r="B871" s="26" t="s">
        <v>24265</v>
      </c>
      <c r="C871" s="569" t="s">
        <v>24266</v>
      </c>
      <c r="D871" s="569">
        <v>8.2349999999999994</v>
      </c>
      <c r="E871" s="569">
        <v>0</v>
      </c>
      <c r="F871" s="569" t="s">
        <v>3661</v>
      </c>
      <c r="G871" s="73">
        <v>0</v>
      </c>
      <c r="H871" s="569" t="s">
        <v>125</v>
      </c>
      <c r="I871" s="569" t="s">
        <v>23687</v>
      </c>
      <c r="J871" s="531">
        <v>11000000</v>
      </c>
    </row>
    <row r="872" spans="1:10" ht="25.5">
      <c r="A872" s="22" t="s">
        <v>24146</v>
      </c>
      <c r="B872" s="26" t="s">
        <v>24265</v>
      </c>
      <c r="C872" s="569" t="s">
        <v>24267</v>
      </c>
      <c r="D872" s="569">
        <v>8.2349999999999994</v>
      </c>
      <c r="E872" s="569">
        <v>0</v>
      </c>
      <c r="F872" s="569" t="s">
        <v>24268</v>
      </c>
      <c r="G872" s="73">
        <v>0</v>
      </c>
      <c r="H872" s="569" t="s">
        <v>31</v>
      </c>
      <c r="I872" s="569" t="s">
        <v>24261</v>
      </c>
      <c r="J872" s="531">
        <v>14000000</v>
      </c>
    </row>
    <row r="873" spans="1:10" ht="25.5">
      <c r="A873" s="22" t="s">
        <v>24146</v>
      </c>
      <c r="B873" s="26" t="s">
        <v>24265</v>
      </c>
      <c r="C873" s="569" t="s">
        <v>24269</v>
      </c>
      <c r="D873" s="569">
        <v>8.2349999999999994</v>
      </c>
      <c r="E873" s="569">
        <v>0</v>
      </c>
      <c r="F873" s="569" t="s">
        <v>24270</v>
      </c>
      <c r="G873" s="73">
        <v>0</v>
      </c>
      <c r="H873" s="569" t="s">
        <v>31</v>
      </c>
      <c r="I873" s="569" t="s">
        <v>24261</v>
      </c>
      <c r="J873" s="531">
        <v>42000000</v>
      </c>
    </row>
    <row r="874" spans="1:10" ht="22.5">
      <c r="A874" s="22" t="s">
        <v>1127</v>
      </c>
      <c r="B874" s="26" t="s">
        <v>24271</v>
      </c>
      <c r="C874" s="569" t="s">
        <v>24272</v>
      </c>
      <c r="D874" s="569">
        <v>18</v>
      </c>
      <c r="E874" s="569">
        <v>0</v>
      </c>
      <c r="F874" s="569" t="s">
        <v>24273</v>
      </c>
      <c r="G874" s="73">
        <v>0</v>
      </c>
      <c r="H874" s="569" t="s">
        <v>125</v>
      </c>
      <c r="I874" s="569" t="s">
        <v>24274</v>
      </c>
      <c r="J874" s="531">
        <v>35700000</v>
      </c>
    </row>
    <row r="875" spans="1:10" ht="22.5">
      <c r="A875" s="22" t="s">
        <v>1127</v>
      </c>
      <c r="B875" s="26" t="s">
        <v>24271</v>
      </c>
      <c r="C875" s="569" t="s">
        <v>24275</v>
      </c>
      <c r="D875" s="569">
        <v>18</v>
      </c>
      <c r="E875" s="569">
        <v>0</v>
      </c>
      <c r="F875" s="569" t="s">
        <v>24179</v>
      </c>
      <c r="G875" s="73">
        <v>0</v>
      </c>
      <c r="H875" s="569" t="s">
        <v>125</v>
      </c>
      <c r="I875" s="569" t="s">
        <v>24276</v>
      </c>
      <c r="J875" s="531">
        <v>320000</v>
      </c>
    </row>
    <row r="876" spans="1:10" ht="22.5">
      <c r="A876" s="22" t="s">
        <v>6364</v>
      </c>
      <c r="B876" s="26" t="s">
        <v>24277</v>
      </c>
      <c r="C876" s="569" t="s">
        <v>24278</v>
      </c>
      <c r="D876" s="569">
        <v>5.07</v>
      </c>
      <c r="E876" s="569">
        <v>0</v>
      </c>
      <c r="F876" s="569" t="s">
        <v>24279</v>
      </c>
      <c r="G876" s="73">
        <v>0</v>
      </c>
      <c r="H876" s="569" t="s">
        <v>226</v>
      </c>
      <c r="I876" s="569" t="s">
        <v>24280</v>
      </c>
      <c r="J876" s="531">
        <v>200000</v>
      </c>
    </row>
    <row r="877" spans="1:10" ht="45">
      <c r="A877" s="22" t="s">
        <v>4924</v>
      </c>
      <c r="B877" s="26" t="s">
        <v>24281</v>
      </c>
      <c r="C877" s="569" t="s">
        <v>24282</v>
      </c>
      <c r="D877" s="569">
        <v>11.46</v>
      </c>
      <c r="E877" s="569">
        <v>0</v>
      </c>
      <c r="F877" s="569" t="s">
        <v>24283</v>
      </c>
      <c r="G877" s="73">
        <v>0</v>
      </c>
      <c r="H877" s="569" t="s">
        <v>31</v>
      </c>
      <c r="I877" s="569" t="s">
        <v>24284</v>
      </c>
      <c r="J877" s="531">
        <v>155955000</v>
      </c>
    </row>
    <row r="878" spans="1:10" ht="22.5">
      <c r="A878" s="22" t="s">
        <v>24285</v>
      </c>
      <c r="B878" s="26" t="s">
        <v>24286</v>
      </c>
      <c r="C878" s="569" t="s">
        <v>24287</v>
      </c>
      <c r="D878" s="569">
        <v>6.3550000000000004</v>
      </c>
      <c r="E878" s="569">
        <v>0</v>
      </c>
      <c r="F878" s="569" t="s">
        <v>24288</v>
      </c>
      <c r="G878" s="73">
        <v>0</v>
      </c>
      <c r="H878" s="569" t="s">
        <v>226</v>
      </c>
      <c r="I878" s="569" t="s">
        <v>24289</v>
      </c>
      <c r="J878" s="531">
        <v>140000</v>
      </c>
    </row>
    <row r="879" spans="1:10" ht="33.75">
      <c r="A879" s="22" t="s">
        <v>24290</v>
      </c>
      <c r="B879" s="26" t="s">
        <v>24265</v>
      </c>
      <c r="C879" s="569" t="s">
        <v>24291</v>
      </c>
      <c r="D879" s="569">
        <v>8.2349999999999994</v>
      </c>
      <c r="E879" s="569">
        <v>0</v>
      </c>
      <c r="F879" s="569" t="s">
        <v>24292</v>
      </c>
      <c r="G879" s="73">
        <v>0</v>
      </c>
      <c r="H879" s="569" t="s">
        <v>31</v>
      </c>
      <c r="I879" s="569" t="s">
        <v>24293</v>
      </c>
      <c r="J879" s="531">
        <v>9500000</v>
      </c>
    </row>
    <row r="880" spans="1:10" ht="25.5">
      <c r="A880" s="22" t="s">
        <v>24290</v>
      </c>
      <c r="B880" s="26" t="s">
        <v>24265</v>
      </c>
      <c r="C880" s="569" t="s">
        <v>24294</v>
      </c>
      <c r="D880" s="569">
        <v>8.2349999999999994</v>
      </c>
      <c r="E880" s="569">
        <v>0</v>
      </c>
      <c r="F880" s="569" t="s">
        <v>24295</v>
      </c>
      <c r="G880" s="73">
        <v>0</v>
      </c>
      <c r="H880" s="569" t="s">
        <v>31</v>
      </c>
      <c r="I880" s="569" t="s">
        <v>24296</v>
      </c>
      <c r="J880" s="531">
        <v>23905000</v>
      </c>
    </row>
    <row r="881" spans="1:10" ht="25.5">
      <c r="A881" s="22" t="s">
        <v>19</v>
      </c>
      <c r="B881" s="26" t="s">
        <v>24143</v>
      </c>
      <c r="C881" s="569" t="s">
        <v>24145</v>
      </c>
      <c r="D881" s="569">
        <v>16.305</v>
      </c>
      <c r="E881" s="569">
        <v>0</v>
      </c>
      <c r="F881" s="569" t="s">
        <v>24297</v>
      </c>
      <c r="G881" s="73">
        <v>0</v>
      </c>
      <c r="H881" s="569" t="s">
        <v>125</v>
      </c>
      <c r="I881" s="569" t="s">
        <v>24298</v>
      </c>
      <c r="J881" s="531">
        <v>1650000</v>
      </c>
    </row>
    <row r="882" spans="1:10" ht="25.5">
      <c r="A882" s="22" t="s">
        <v>4942</v>
      </c>
      <c r="B882" s="26" t="s">
        <v>24299</v>
      </c>
      <c r="C882" s="569" t="s">
        <v>24300</v>
      </c>
      <c r="D882" s="569">
        <v>26.25</v>
      </c>
      <c r="E882" s="569">
        <v>0</v>
      </c>
      <c r="F882" s="569" t="s">
        <v>24301</v>
      </c>
      <c r="G882" s="73">
        <v>0</v>
      </c>
      <c r="H882" s="569" t="s">
        <v>31</v>
      </c>
      <c r="I882" s="569" t="s">
        <v>24302</v>
      </c>
      <c r="J882" s="531">
        <v>96000000</v>
      </c>
    </row>
    <row r="883" spans="1:10" ht="25.5">
      <c r="A883" s="22" t="s">
        <v>4942</v>
      </c>
      <c r="B883" s="26" t="s">
        <v>24299</v>
      </c>
      <c r="C883" s="569" t="s">
        <v>24303</v>
      </c>
      <c r="D883" s="569">
        <v>26.25</v>
      </c>
      <c r="E883" s="569">
        <v>0</v>
      </c>
      <c r="F883" s="569" t="s">
        <v>24304</v>
      </c>
      <c r="G883" s="73">
        <v>0</v>
      </c>
      <c r="H883" s="569" t="s">
        <v>31</v>
      </c>
      <c r="I883" s="569" t="s">
        <v>24302</v>
      </c>
      <c r="J883" s="531">
        <v>195000000</v>
      </c>
    </row>
    <row r="884" spans="1:10" ht="38.25">
      <c r="A884" s="22" t="s">
        <v>10058</v>
      </c>
      <c r="B884" s="26" t="s">
        <v>24127</v>
      </c>
      <c r="C884" s="569" t="s">
        <v>24305</v>
      </c>
      <c r="D884" s="569">
        <v>11.46</v>
      </c>
      <c r="E884" s="569">
        <v>0</v>
      </c>
      <c r="F884" s="569" t="s">
        <v>24306</v>
      </c>
      <c r="G884" s="73">
        <v>0</v>
      </c>
      <c r="H884" s="569" t="s">
        <v>31</v>
      </c>
      <c r="I884" s="569" t="s">
        <v>24307</v>
      </c>
      <c r="J884" s="531">
        <v>2845000</v>
      </c>
    </row>
    <row r="885" spans="1:10" ht="22.5">
      <c r="A885" s="22" t="s">
        <v>1127</v>
      </c>
      <c r="B885" s="26" t="s">
        <v>24308</v>
      </c>
      <c r="C885" s="569" t="s">
        <v>24309</v>
      </c>
      <c r="D885" s="569">
        <v>4.9050000000000002</v>
      </c>
      <c r="E885" s="569">
        <v>0</v>
      </c>
      <c r="F885" s="569" t="s">
        <v>24310</v>
      </c>
      <c r="G885" s="73">
        <v>0</v>
      </c>
      <c r="H885" s="569" t="s">
        <v>31</v>
      </c>
      <c r="I885" s="569" t="s">
        <v>24307</v>
      </c>
      <c r="J885" s="531">
        <v>5687000</v>
      </c>
    </row>
    <row r="886" spans="1:10" ht="25.5">
      <c r="A886" s="22" t="s">
        <v>4940</v>
      </c>
      <c r="B886" s="26" t="s">
        <v>24311</v>
      </c>
      <c r="C886" s="569" t="s">
        <v>24312</v>
      </c>
      <c r="D886" s="569">
        <v>4.375</v>
      </c>
      <c r="E886" s="569">
        <v>0</v>
      </c>
      <c r="F886" s="569" t="s">
        <v>24313</v>
      </c>
      <c r="G886" s="73">
        <v>0</v>
      </c>
      <c r="H886" s="569" t="s">
        <v>31</v>
      </c>
      <c r="I886" s="569" t="s">
        <v>24307</v>
      </c>
      <c r="J886" s="531">
        <v>18500000</v>
      </c>
    </row>
    <row r="887" spans="1:10" ht="22.5">
      <c r="A887" s="22" t="s">
        <v>4942</v>
      </c>
      <c r="B887" s="26" t="s">
        <v>24314</v>
      </c>
      <c r="C887" s="569" t="s">
        <v>24315</v>
      </c>
      <c r="D887" s="569">
        <v>11.734999999999999</v>
      </c>
      <c r="E887" s="569">
        <v>0</v>
      </c>
      <c r="F887" s="569" t="s">
        <v>23666</v>
      </c>
      <c r="G887" s="73">
        <v>0</v>
      </c>
      <c r="H887" s="569" t="s">
        <v>31</v>
      </c>
      <c r="I887" s="569" t="s">
        <v>24222</v>
      </c>
      <c r="J887" s="531">
        <v>56050000</v>
      </c>
    </row>
    <row r="888" spans="1:10" ht="22.5">
      <c r="A888" s="22" t="s">
        <v>4942</v>
      </c>
      <c r="B888" s="26" t="s">
        <v>24314</v>
      </c>
      <c r="C888" s="569" t="s">
        <v>24316</v>
      </c>
      <c r="D888" s="569">
        <v>6.0949999999999998</v>
      </c>
      <c r="E888" s="569">
        <v>0</v>
      </c>
      <c r="F888" s="569" t="s">
        <v>24317</v>
      </c>
      <c r="G888" s="73">
        <v>0</v>
      </c>
      <c r="H888" s="569" t="s">
        <v>31</v>
      </c>
      <c r="I888" s="569" t="s">
        <v>1752</v>
      </c>
      <c r="J888" s="531">
        <v>85000000</v>
      </c>
    </row>
    <row r="889" spans="1:10" ht="25.5">
      <c r="A889" s="22" t="s">
        <v>6364</v>
      </c>
      <c r="B889" s="26" t="s">
        <v>24318</v>
      </c>
      <c r="C889" s="569" t="s">
        <v>24319</v>
      </c>
      <c r="D889" s="569">
        <v>3.65</v>
      </c>
      <c r="E889" s="569">
        <v>0</v>
      </c>
      <c r="F889" s="569" t="s">
        <v>24320</v>
      </c>
      <c r="G889" s="73">
        <v>0</v>
      </c>
      <c r="H889" s="569" t="s">
        <v>31</v>
      </c>
      <c r="I889" s="569" t="s">
        <v>24321</v>
      </c>
      <c r="J889" s="531">
        <v>64500000</v>
      </c>
    </row>
    <row r="890" spans="1:10" ht="22.5">
      <c r="A890" s="22" t="s">
        <v>4942</v>
      </c>
      <c r="B890" s="26" t="s">
        <v>24314</v>
      </c>
      <c r="C890" s="569" t="s">
        <v>24322</v>
      </c>
      <c r="D890" s="569">
        <v>11.734999999999999</v>
      </c>
      <c r="E890" s="569">
        <v>1.5</v>
      </c>
      <c r="F890" s="569" t="s">
        <v>24323</v>
      </c>
      <c r="G890" s="73">
        <v>0</v>
      </c>
      <c r="H890" s="569" t="s">
        <v>31</v>
      </c>
      <c r="I890" s="569" t="s">
        <v>24324</v>
      </c>
      <c r="J890" s="531">
        <v>99694880</v>
      </c>
    </row>
    <row r="891" spans="1:10" ht="22.5">
      <c r="A891" s="22" t="s">
        <v>4942</v>
      </c>
      <c r="B891" s="26" t="s">
        <v>24314</v>
      </c>
      <c r="C891" s="569" t="s">
        <v>24325</v>
      </c>
      <c r="D891" s="569">
        <v>11.734999999999999</v>
      </c>
      <c r="E891" s="569">
        <v>1.5</v>
      </c>
      <c r="F891" s="569" t="s">
        <v>24323</v>
      </c>
      <c r="G891" s="73">
        <v>0</v>
      </c>
      <c r="H891" s="569" t="s">
        <v>31</v>
      </c>
      <c r="I891" s="569" t="s">
        <v>24324</v>
      </c>
      <c r="J891" s="531">
        <v>82579066</v>
      </c>
    </row>
    <row r="892" spans="1:10" ht="22.5">
      <c r="A892" s="22" t="s">
        <v>4942</v>
      </c>
      <c r="B892" s="26" t="s">
        <v>24314</v>
      </c>
      <c r="C892" s="569" t="s">
        <v>24326</v>
      </c>
      <c r="D892" s="569">
        <v>11.734999999999999</v>
      </c>
      <c r="E892" s="569">
        <v>1.5</v>
      </c>
      <c r="F892" s="569" t="s">
        <v>24323</v>
      </c>
      <c r="G892" s="73">
        <v>0</v>
      </c>
      <c r="H892" s="569" t="s">
        <v>31</v>
      </c>
      <c r="I892" s="569" t="s">
        <v>24324</v>
      </c>
      <c r="J892" s="531">
        <v>65863253</v>
      </c>
    </row>
    <row r="893" spans="1:10" ht="45">
      <c r="A893" s="22" t="s">
        <v>4942</v>
      </c>
      <c r="B893" s="26" t="s">
        <v>24314</v>
      </c>
      <c r="C893" s="569" t="s">
        <v>24327</v>
      </c>
      <c r="D893" s="569">
        <v>11.734999999999999</v>
      </c>
      <c r="E893" s="569">
        <v>1.5</v>
      </c>
      <c r="F893" s="569" t="s">
        <v>24323</v>
      </c>
      <c r="G893" s="73">
        <v>0</v>
      </c>
      <c r="H893" s="569" t="s">
        <v>31</v>
      </c>
      <c r="I893" s="569" t="s">
        <v>24328</v>
      </c>
      <c r="J893" s="531">
        <v>28147500</v>
      </c>
    </row>
    <row r="894" spans="1:10" ht="22.5">
      <c r="A894" s="22" t="s">
        <v>4942</v>
      </c>
      <c r="B894" s="26" t="s">
        <v>24314</v>
      </c>
      <c r="C894" s="569" t="s">
        <v>24329</v>
      </c>
      <c r="D894" s="569">
        <v>11.734999999999999</v>
      </c>
      <c r="E894" s="569">
        <v>0</v>
      </c>
      <c r="F894" s="569" t="s">
        <v>24330</v>
      </c>
      <c r="G894" s="73">
        <v>0</v>
      </c>
      <c r="H894" s="569" t="s">
        <v>31</v>
      </c>
      <c r="I894" s="569" t="s">
        <v>24331</v>
      </c>
      <c r="J894" s="531">
        <v>8000000</v>
      </c>
    </row>
    <row r="895" spans="1:10" ht="22.5">
      <c r="A895" s="22" t="s">
        <v>4942</v>
      </c>
      <c r="B895" s="26" t="s">
        <v>24314</v>
      </c>
      <c r="C895" s="569" t="s">
        <v>24332</v>
      </c>
      <c r="D895" s="569">
        <v>11.734999999999999</v>
      </c>
      <c r="E895" s="569">
        <v>0</v>
      </c>
      <c r="F895" s="569" t="s">
        <v>24333</v>
      </c>
      <c r="G895" s="73">
        <v>0</v>
      </c>
      <c r="H895" s="569" t="s">
        <v>31</v>
      </c>
      <c r="I895" s="569" t="s">
        <v>24334</v>
      </c>
      <c r="J895" s="531">
        <v>3850000</v>
      </c>
    </row>
    <row r="896" spans="1:10" ht="22.5">
      <c r="A896" s="22" t="s">
        <v>4942</v>
      </c>
      <c r="B896" s="26" t="s">
        <v>24314</v>
      </c>
      <c r="C896" s="569" t="s">
        <v>24335</v>
      </c>
      <c r="D896" s="569">
        <v>6.0949999999999998</v>
      </c>
      <c r="E896" s="569">
        <v>0</v>
      </c>
      <c r="F896" s="569" t="s">
        <v>24333</v>
      </c>
      <c r="G896" s="73">
        <v>0</v>
      </c>
      <c r="H896" s="569" t="s">
        <v>31</v>
      </c>
      <c r="I896" s="569" t="s">
        <v>24336</v>
      </c>
      <c r="J896" s="531">
        <v>3850000</v>
      </c>
    </row>
    <row r="897" spans="1:10" ht="25.5">
      <c r="A897" s="22" t="s">
        <v>4942</v>
      </c>
      <c r="B897" s="26" t="s">
        <v>24299</v>
      </c>
      <c r="C897" s="569" t="s">
        <v>24337</v>
      </c>
      <c r="D897" s="569">
        <v>26.25</v>
      </c>
      <c r="E897" s="569">
        <v>0</v>
      </c>
      <c r="F897" s="569" t="s">
        <v>24338</v>
      </c>
      <c r="G897" s="73">
        <v>0</v>
      </c>
      <c r="H897" s="569" t="s">
        <v>31</v>
      </c>
      <c r="I897" s="569" t="s">
        <v>24339</v>
      </c>
      <c r="J897" s="531">
        <v>35800000</v>
      </c>
    </row>
    <row r="898" spans="1:10" ht="25.5">
      <c r="A898" s="22" t="s">
        <v>4942</v>
      </c>
      <c r="B898" s="26" t="s">
        <v>24299</v>
      </c>
      <c r="C898" s="569" t="s">
        <v>24340</v>
      </c>
      <c r="D898" s="569">
        <v>26.25</v>
      </c>
      <c r="E898" s="569">
        <v>0</v>
      </c>
      <c r="F898" s="569" t="s">
        <v>24341</v>
      </c>
      <c r="G898" s="73">
        <v>0</v>
      </c>
      <c r="H898" s="569" t="s">
        <v>31</v>
      </c>
      <c r="I898" s="569" t="s">
        <v>24261</v>
      </c>
      <c r="J898" s="531">
        <v>3500000</v>
      </c>
    </row>
    <row r="899" spans="1:10" ht="25.5">
      <c r="A899" s="22" t="s">
        <v>4942</v>
      </c>
      <c r="B899" s="26" t="s">
        <v>24299</v>
      </c>
      <c r="C899" s="569" t="s">
        <v>24342</v>
      </c>
      <c r="D899" s="569">
        <v>26.25</v>
      </c>
      <c r="E899" s="569">
        <v>0</v>
      </c>
      <c r="F899" s="569" t="s">
        <v>393</v>
      </c>
      <c r="G899" s="73">
        <v>0</v>
      </c>
      <c r="H899" s="569" t="s">
        <v>31</v>
      </c>
      <c r="I899" s="569" t="s">
        <v>24222</v>
      </c>
      <c r="J899" s="531">
        <v>4500000</v>
      </c>
    </row>
    <row r="900" spans="1:10" ht="25.5">
      <c r="A900" s="22" t="s">
        <v>4942</v>
      </c>
      <c r="B900" s="26" t="s">
        <v>24299</v>
      </c>
      <c r="C900" s="569" t="s">
        <v>24343</v>
      </c>
      <c r="D900" s="569">
        <v>26.25</v>
      </c>
      <c r="E900" s="569">
        <v>0</v>
      </c>
      <c r="F900" s="569" t="s">
        <v>393</v>
      </c>
      <c r="G900" s="73">
        <v>0</v>
      </c>
      <c r="H900" s="569" t="s">
        <v>31</v>
      </c>
      <c r="I900" s="569" t="s">
        <v>24344</v>
      </c>
      <c r="J900" s="531">
        <v>3900000</v>
      </c>
    </row>
    <row r="901" spans="1:10" ht="120">
      <c r="A901" s="634" t="s">
        <v>3770</v>
      </c>
      <c r="B901" s="375" t="s">
        <v>25165</v>
      </c>
      <c r="C901" s="375" t="s">
        <v>25166</v>
      </c>
      <c r="D901" s="375" t="s">
        <v>25167</v>
      </c>
      <c r="E901" s="375"/>
      <c r="F901" s="375" t="s">
        <v>25168</v>
      </c>
      <c r="G901" s="551" t="s">
        <v>25169</v>
      </c>
      <c r="H901" s="375">
        <v>1</v>
      </c>
      <c r="I901" s="375" t="s">
        <v>25170</v>
      </c>
      <c r="J901" s="508"/>
    </row>
    <row r="902" spans="1:10" ht="15.75">
      <c r="A902" s="1013" t="s">
        <v>189</v>
      </c>
      <c r="B902" s="1014"/>
      <c r="C902" s="1014"/>
      <c r="D902" s="1014"/>
      <c r="E902" s="1014"/>
      <c r="F902" s="1014"/>
      <c r="G902" s="550">
        <f>SUM(G688:G901)</f>
        <v>1229880000</v>
      </c>
      <c r="H902" s="564"/>
      <c r="I902" s="564"/>
      <c r="J902" s="626">
        <f>SUM(J688:J901)</f>
        <v>5629555074</v>
      </c>
    </row>
    <row r="903" spans="1:10" ht="15.75">
      <c r="A903" s="1013" t="s">
        <v>3671</v>
      </c>
      <c r="B903" s="1014"/>
      <c r="C903" s="1014"/>
      <c r="D903" s="1014"/>
      <c r="E903" s="1014"/>
      <c r="F903" s="1014"/>
      <c r="G903" s="1014"/>
      <c r="H903" s="1014"/>
      <c r="I903" s="1014"/>
      <c r="J903" s="1015"/>
    </row>
    <row r="904" spans="1:10" ht="45">
      <c r="A904" s="635" t="s">
        <v>421</v>
      </c>
      <c r="B904" s="105" t="s">
        <v>3512</v>
      </c>
      <c r="C904" s="105" t="s">
        <v>3513</v>
      </c>
      <c r="D904" s="106" t="s">
        <v>3514</v>
      </c>
      <c r="E904" s="106" t="s">
        <v>3515</v>
      </c>
      <c r="F904" s="105" t="s">
        <v>3516</v>
      </c>
      <c r="G904" s="555">
        <v>2000000</v>
      </c>
      <c r="H904" s="104" t="s">
        <v>3517</v>
      </c>
      <c r="I904" s="104" t="s">
        <v>3518</v>
      </c>
      <c r="J904" s="636">
        <v>2000000</v>
      </c>
    </row>
    <row r="905" spans="1:10" ht="45">
      <c r="A905" s="635" t="s">
        <v>421</v>
      </c>
      <c r="B905" s="105" t="s">
        <v>3519</v>
      </c>
      <c r="C905" s="105" t="s">
        <v>3520</v>
      </c>
      <c r="D905" s="106" t="s">
        <v>3521</v>
      </c>
      <c r="E905" s="106" t="s">
        <v>3522</v>
      </c>
      <c r="F905" s="105" t="s">
        <v>3523</v>
      </c>
      <c r="G905" s="555">
        <v>2000000</v>
      </c>
      <c r="H905" s="104" t="s">
        <v>3524</v>
      </c>
      <c r="I905" s="104" t="s">
        <v>3518</v>
      </c>
      <c r="J905" s="636">
        <v>2000000</v>
      </c>
    </row>
    <row r="906" spans="1:10" ht="45">
      <c r="A906" s="635" t="s">
        <v>3525</v>
      </c>
      <c r="B906" s="105" t="s">
        <v>3526</v>
      </c>
      <c r="C906" s="105" t="s">
        <v>3527</v>
      </c>
      <c r="D906" s="106">
        <v>2</v>
      </c>
      <c r="E906" s="106" t="s">
        <v>3528</v>
      </c>
      <c r="F906" s="105" t="s">
        <v>3529</v>
      </c>
      <c r="G906" s="555">
        <v>10000000</v>
      </c>
      <c r="H906" s="104" t="s">
        <v>3517</v>
      </c>
      <c r="I906" s="104" t="s">
        <v>3530</v>
      </c>
      <c r="J906" s="636">
        <v>10000000</v>
      </c>
    </row>
    <row r="907" spans="1:10" ht="30">
      <c r="A907" s="635" t="s">
        <v>2621</v>
      </c>
      <c r="B907" s="105" t="s">
        <v>3531</v>
      </c>
      <c r="C907" s="105" t="s">
        <v>3532</v>
      </c>
      <c r="D907" s="106">
        <v>2.2999999999999998</v>
      </c>
      <c r="E907" s="106" t="s">
        <v>3533</v>
      </c>
      <c r="F907" s="105" t="s">
        <v>3534</v>
      </c>
      <c r="G907" s="555">
        <v>3000000</v>
      </c>
      <c r="H907" s="104" t="s">
        <v>3524</v>
      </c>
      <c r="I907" s="104" t="s">
        <v>3535</v>
      </c>
      <c r="J907" s="636">
        <v>7000000</v>
      </c>
    </row>
    <row r="908" spans="1:10" ht="45">
      <c r="A908" s="635" t="s">
        <v>2621</v>
      </c>
      <c r="B908" s="105" t="s">
        <v>3536</v>
      </c>
      <c r="C908" s="105" t="s">
        <v>3537</v>
      </c>
      <c r="D908" s="106">
        <v>4.8600000000000003</v>
      </c>
      <c r="E908" s="106">
        <v>4.6900000000000004</v>
      </c>
      <c r="F908" s="105" t="s">
        <v>3529</v>
      </c>
      <c r="G908" s="555">
        <v>10000000</v>
      </c>
      <c r="H908" s="104" t="s">
        <v>3524</v>
      </c>
      <c r="I908" s="104" t="s">
        <v>3518</v>
      </c>
      <c r="J908" s="636">
        <v>10000000</v>
      </c>
    </row>
    <row r="909" spans="1:10" ht="90">
      <c r="A909" s="635" t="s">
        <v>2621</v>
      </c>
      <c r="B909" s="105" t="s">
        <v>3538</v>
      </c>
      <c r="C909" s="105" t="s">
        <v>3539</v>
      </c>
      <c r="D909" s="106">
        <v>7.25</v>
      </c>
      <c r="E909" s="106">
        <v>4.1100000000000003</v>
      </c>
      <c r="F909" s="105" t="s">
        <v>3540</v>
      </c>
      <c r="G909" s="555">
        <v>60000000</v>
      </c>
      <c r="H909" s="104" t="s">
        <v>3517</v>
      </c>
      <c r="I909" s="104" t="s">
        <v>3541</v>
      </c>
      <c r="J909" s="636">
        <v>70000000</v>
      </c>
    </row>
    <row r="910" spans="1:10" ht="45">
      <c r="A910" s="635" t="s">
        <v>2621</v>
      </c>
      <c r="B910" s="105" t="s">
        <v>3542</v>
      </c>
      <c r="C910" s="105" t="s">
        <v>3543</v>
      </c>
      <c r="D910" s="106">
        <v>7.6</v>
      </c>
      <c r="E910" s="106">
        <v>6</v>
      </c>
      <c r="F910" s="105" t="s">
        <v>3529</v>
      </c>
      <c r="G910" s="555">
        <v>20000000</v>
      </c>
      <c r="H910" s="104" t="s">
        <v>3524</v>
      </c>
      <c r="I910" s="104" t="s">
        <v>3518</v>
      </c>
      <c r="J910" s="636">
        <v>30000000</v>
      </c>
    </row>
    <row r="911" spans="1:10" ht="45">
      <c r="A911" s="637" t="s">
        <v>2621</v>
      </c>
      <c r="B911" s="105" t="s">
        <v>3544</v>
      </c>
      <c r="C911" s="105" t="s">
        <v>3545</v>
      </c>
      <c r="D911" s="104">
        <v>1.37</v>
      </c>
      <c r="E911" s="104">
        <v>3.25</v>
      </c>
      <c r="F911" s="104" t="s">
        <v>3546</v>
      </c>
      <c r="G911" s="555">
        <v>3000000</v>
      </c>
      <c r="H911" s="104" t="s">
        <v>3524</v>
      </c>
      <c r="I911" s="104" t="s">
        <v>3518</v>
      </c>
      <c r="J911" s="636">
        <v>5000000</v>
      </c>
    </row>
    <row r="912" spans="1:10" ht="75">
      <c r="A912" s="637" t="s">
        <v>3525</v>
      </c>
      <c r="B912" s="105" t="s">
        <v>3547</v>
      </c>
      <c r="C912" s="105" t="s">
        <v>3548</v>
      </c>
      <c r="D912" s="104">
        <v>2.15</v>
      </c>
      <c r="E912" s="104" t="s">
        <v>3549</v>
      </c>
      <c r="F912" s="104" t="s">
        <v>3550</v>
      </c>
      <c r="G912" s="555">
        <v>15000000</v>
      </c>
      <c r="H912" s="104" t="s">
        <v>3524</v>
      </c>
      <c r="I912" s="104" t="s">
        <v>3551</v>
      </c>
      <c r="J912" s="636">
        <v>120000000</v>
      </c>
    </row>
    <row r="913" spans="1:10" ht="45">
      <c r="A913" s="635" t="s">
        <v>3525</v>
      </c>
      <c r="B913" s="105" t="s">
        <v>3552</v>
      </c>
      <c r="C913" s="105" t="s">
        <v>3553</v>
      </c>
      <c r="D913" s="106">
        <v>4.7</v>
      </c>
      <c r="E913" s="106" t="s">
        <v>3554</v>
      </c>
      <c r="F913" s="105" t="s">
        <v>3555</v>
      </c>
      <c r="G913" s="555">
        <v>40000000</v>
      </c>
      <c r="H913" s="104" t="s">
        <v>3524</v>
      </c>
      <c r="I913" s="104" t="s">
        <v>3556</v>
      </c>
      <c r="J913" s="636">
        <v>45000000</v>
      </c>
    </row>
    <row r="914" spans="1:10" ht="30">
      <c r="A914" s="635" t="s">
        <v>2621</v>
      </c>
      <c r="B914" s="105" t="s">
        <v>3531</v>
      </c>
      <c r="C914" s="105" t="s">
        <v>3532</v>
      </c>
      <c r="D914" s="106">
        <v>2.2999999999999998</v>
      </c>
      <c r="E914" s="106" t="s">
        <v>3533</v>
      </c>
      <c r="F914" s="105" t="s">
        <v>3534</v>
      </c>
      <c r="G914" s="555">
        <v>3000000</v>
      </c>
      <c r="H914" s="104" t="s">
        <v>3524</v>
      </c>
      <c r="I914" s="104" t="s">
        <v>3535</v>
      </c>
      <c r="J914" s="636">
        <v>7000000</v>
      </c>
    </row>
    <row r="915" spans="1:10" ht="45">
      <c r="A915" s="635" t="s">
        <v>3525</v>
      </c>
      <c r="B915" s="105" t="s">
        <v>3557</v>
      </c>
      <c r="C915" s="105" t="s">
        <v>3558</v>
      </c>
      <c r="D915" s="106">
        <v>1.1000000000000001</v>
      </c>
      <c r="E915" s="106" t="s">
        <v>3559</v>
      </c>
      <c r="F915" s="105" t="s">
        <v>3560</v>
      </c>
      <c r="G915" s="555">
        <v>5000000</v>
      </c>
      <c r="H915" s="104" t="s">
        <v>3517</v>
      </c>
      <c r="I915" s="104" t="s">
        <v>3530</v>
      </c>
      <c r="J915" s="636">
        <v>5000000</v>
      </c>
    </row>
    <row r="916" spans="1:10" ht="45">
      <c r="A916" s="635" t="s">
        <v>3525</v>
      </c>
      <c r="B916" s="105" t="s">
        <v>3561</v>
      </c>
      <c r="C916" s="105" t="s">
        <v>3562</v>
      </c>
      <c r="D916" s="106">
        <v>1.2</v>
      </c>
      <c r="E916" s="106" t="s">
        <v>3563</v>
      </c>
      <c r="F916" s="105" t="s">
        <v>3564</v>
      </c>
      <c r="G916" s="555">
        <v>7200000</v>
      </c>
      <c r="H916" s="104" t="s">
        <v>3524</v>
      </c>
      <c r="I916" s="104" t="s">
        <v>3565</v>
      </c>
      <c r="J916" s="636">
        <v>48000000</v>
      </c>
    </row>
    <row r="917" spans="1:10" ht="45">
      <c r="A917" s="635" t="s">
        <v>3525</v>
      </c>
      <c r="B917" s="105" t="s">
        <v>3566</v>
      </c>
      <c r="C917" s="105" t="s">
        <v>3567</v>
      </c>
      <c r="D917" s="106">
        <v>1</v>
      </c>
      <c r="E917" s="106" t="s">
        <v>3568</v>
      </c>
      <c r="F917" s="105" t="s">
        <v>3564</v>
      </c>
      <c r="G917" s="555">
        <v>20000000</v>
      </c>
      <c r="H917" s="104" t="s">
        <v>3524</v>
      </c>
      <c r="I917" s="104" t="s">
        <v>3530</v>
      </c>
      <c r="J917" s="636">
        <v>10000000</v>
      </c>
    </row>
    <row r="918" spans="1:10" ht="45">
      <c r="A918" s="637" t="s">
        <v>2621</v>
      </c>
      <c r="B918" s="105" t="s">
        <v>3569</v>
      </c>
      <c r="C918" s="105" t="s">
        <v>3570</v>
      </c>
      <c r="D918" s="104">
        <v>4.91</v>
      </c>
      <c r="E918" s="104" t="s">
        <v>3515</v>
      </c>
      <c r="F918" s="104" t="s">
        <v>3571</v>
      </c>
      <c r="G918" s="555">
        <v>25000000</v>
      </c>
      <c r="H918" s="104" t="s">
        <v>3524</v>
      </c>
      <c r="I918" s="104" t="s">
        <v>3572</v>
      </c>
      <c r="J918" s="636">
        <v>35000000</v>
      </c>
    </row>
    <row r="919" spans="1:10" ht="90">
      <c r="A919" s="637" t="s">
        <v>2621</v>
      </c>
      <c r="B919" s="105" t="s">
        <v>3573</v>
      </c>
      <c r="C919" s="105" t="s">
        <v>3574</v>
      </c>
      <c r="D919" s="104">
        <v>4.8</v>
      </c>
      <c r="E919" s="104">
        <v>4.68</v>
      </c>
      <c r="F919" s="104" t="s">
        <v>3575</v>
      </c>
      <c r="G919" s="555">
        <v>40000000</v>
      </c>
      <c r="H919" s="104" t="s">
        <v>3524</v>
      </c>
      <c r="I919" s="104" t="s">
        <v>3576</v>
      </c>
      <c r="J919" s="636">
        <v>120000000</v>
      </c>
    </row>
    <row r="920" spans="1:10" ht="45">
      <c r="A920" s="635" t="s">
        <v>421</v>
      </c>
      <c r="B920" s="105" t="s">
        <v>3577</v>
      </c>
      <c r="C920" s="105" t="s">
        <v>3578</v>
      </c>
      <c r="D920" s="106" t="s">
        <v>2956</v>
      </c>
      <c r="E920" s="106" t="s">
        <v>3579</v>
      </c>
      <c r="F920" s="105" t="s">
        <v>3516</v>
      </c>
      <c r="G920" s="555">
        <v>500000</v>
      </c>
      <c r="H920" s="104" t="s">
        <v>3517</v>
      </c>
      <c r="I920" s="104" t="s">
        <v>3518</v>
      </c>
      <c r="J920" s="636">
        <v>1000000</v>
      </c>
    </row>
    <row r="921" spans="1:10" ht="45">
      <c r="A921" s="635" t="s">
        <v>421</v>
      </c>
      <c r="B921" s="105" t="s">
        <v>3580</v>
      </c>
      <c r="C921" s="105" t="s">
        <v>3581</v>
      </c>
      <c r="D921" s="106" t="s">
        <v>3582</v>
      </c>
      <c r="E921" s="106" t="s">
        <v>3583</v>
      </c>
      <c r="F921" s="105" t="s">
        <v>3584</v>
      </c>
      <c r="G921" s="555">
        <v>500000</v>
      </c>
      <c r="H921" s="104" t="s">
        <v>3517</v>
      </c>
      <c r="I921" s="104" t="s">
        <v>3518</v>
      </c>
      <c r="J921" s="636">
        <v>500000</v>
      </c>
    </row>
    <row r="922" spans="1:10" ht="75">
      <c r="A922" s="637" t="s">
        <v>421</v>
      </c>
      <c r="B922" s="105" t="s">
        <v>3585</v>
      </c>
      <c r="C922" s="105" t="s">
        <v>3586</v>
      </c>
      <c r="D922" s="104" t="s">
        <v>3587</v>
      </c>
      <c r="E922" s="104" t="s">
        <v>3588</v>
      </c>
      <c r="F922" s="104" t="s">
        <v>3589</v>
      </c>
      <c r="G922" s="555">
        <v>10000000</v>
      </c>
      <c r="H922" s="104" t="s">
        <v>3517</v>
      </c>
      <c r="I922" s="104" t="s">
        <v>3590</v>
      </c>
      <c r="J922" s="636">
        <v>18000000</v>
      </c>
    </row>
    <row r="923" spans="1:10" ht="51">
      <c r="A923" s="637" t="s">
        <v>421</v>
      </c>
      <c r="B923" s="105" t="s">
        <v>3591</v>
      </c>
      <c r="C923" s="569" t="s">
        <v>3592</v>
      </c>
      <c r="D923" s="569">
        <v>4.82</v>
      </c>
      <c r="E923" s="569">
        <v>5.88</v>
      </c>
      <c r="F923" s="104" t="s">
        <v>3523</v>
      </c>
      <c r="G923" s="555">
        <v>10000000</v>
      </c>
      <c r="H923" s="569"/>
      <c r="I923" s="49" t="s">
        <v>3593</v>
      </c>
      <c r="J923" s="636">
        <v>18000000</v>
      </c>
    </row>
    <row r="924" spans="1:10" ht="45">
      <c r="A924" s="637" t="s">
        <v>421</v>
      </c>
      <c r="B924" s="105" t="s">
        <v>3594</v>
      </c>
      <c r="C924" s="105" t="s">
        <v>3595</v>
      </c>
      <c r="D924" s="106" t="s">
        <v>3596</v>
      </c>
      <c r="E924" s="106" t="s">
        <v>3597</v>
      </c>
      <c r="F924" s="105" t="s">
        <v>3598</v>
      </c>
      <c r="G924" s="555">
        <v>2000000</v>
      </c>
      <c r="H924" s="104" t="s">
        <v>3517</v>
      </c>
      <c r="I924" s="104" t="s">
        <v>3599</v>
      </c>
      <c r="J924" s="636">
        <v>10000000</v>
      </c>
    </row>
    <row r="925" spans="1:10" ht="45">
      <c r="A925" s="637" t="s">
        <v>3525</v>
      </c>
      <c r="B925" s="105" t="s">
        <v>3600</v>
      </c>
      <c r="C925" s="105" t="s">
        <v>3601</v>
      </c>
      <c r="D925" s="106">
        <v>2.4</v>
      </c>
      <c r="E925" s="106" t="s">
        <v>3602</v>
      </c>
      <c r="F925" s="105" t="s">
        <v>3529</v>
      </c>
      <c r="G925" s="555">
        <v>10000000</v>
      </c>
      <c r="H925" s="104" t="s">
        <v>3524</v>
      </c>
      <c r="I925" s="104" t="s">
        <v>3603</v>
      </c>
      <c r="J925" s="636">
        <v>30000000</v>
      </c>
    </row>
    <row r="926" spans="1:10" ht="45">
      <c r="A926" s="27" t="s">
        <v>3525</v>
      </c>
      <c r="B926" s="105" t="s">
        <v>3604</v>
      </c>
      <c r="C926" s="105" t="s">
        <v>3605</v>
      </c>
      <c r="D926" s="106">
        <v>0.88</v>
      </c>
      <c r="E926" s="106" t="s">
        <v>3606</v>
      </c>
      <c r="F926" s="105" t="s">
        <v>3529</v>
      </c>
      <c r="G926" s="555">
        <v>8800000</v>
      </c>
      <c r="H926" s="104" t="s">
        <v>3524</v>
      </c>
      <c r="I926" s="104" t="s">
        <v>3607</v>
      </c>
      <c r="J926" s="636">
        <v>35000000</v>
      </c>
    </row>
    <row r="927" spans="1:10" ht="45">
      <c r="A927" s="635" t="s">
        <v>421</v>
      </c>
      <c r="B927" s="105" t="s">
        <v>3608</v>
      </c>
      <c r="C927" s="105" t="s">
        <v>3609</v>
      </c>
      <c r="D927" s="106" t="s">
        <v>3610</v>
      </c>
      <c r="E927" s="106" t="s">
        <v>3568</v>
      </c>
      <c r="F927" s="105" t="s">
        <v>3516</v>
      </c>
      <c r="G927" s="555">
        <v>3000000</v>
      </c>
      <c r="H927" s="104" t="s">
        <v>3517</v>
      </c>
      <c r="I927" s="104" t="s">
        <v>3518</v>
      </c>
      <c r="J927" s="636">
        <v>8000000</v>
      </c>
    </row>
    <row r="928" spans="1:10" ht="60">
      <c r="A928" s="637" t="s">
        <v>19</v>
      </c>
      <c r="B928" s="105" t="s">
        <v>3611</v>
      </c>
      <c r="C928" s="105" t="s">
        <v>3612</v>
      </c>
      <c r="D928" s="104">
        <v>1.9</v>
      </c>
      <c r="E928" s="104" t="s">
        <v>3613</v>
      </c>
      <c r="F928" s="104" t="s">
        <v>3614</v>
      </c>
      <c r="G928" s="555">
        <v>30000000</v>
      </c>
      <c r="H928" s="104" t="s">
        <v>3524</v>
      </c>
      <c r="I928" s="104" t="s">
        <v>3615</v>
      </c>
      <c r="J928" s="636">
        <v>35000000</v>
      </c>
    </row>
    <row r="929" spans="1:10" ht="30">
      <c r="A929" s="635" t="s">
        <v>19</v>
      </c>
      <c r="B929" s="105" t="s">
        <v>3616</v>
      </c>
      <c r="C929" s="105" t="s">
        <v>3617</v>
      </c>
      <c r="D929" s="106">
        <v>3.5</v>
      </c>
      <c r="E929" s="106" t="s">
        <v>3618</v>
      </c>
      <c r="F929" s="105" t="s">
        <v>3619</v>
      </c>
      <c r="G929" s="555">
        <v>5000000</v>
      </c>
      <c r="H929" s="104" t="s">
        <v>3620</v>
      </c>
      <c r="I929" s="104" t="s">
        <v>3518</v>
      </c>
      <c r="J929" s="636">
        <v>10000000</v>
      </c>
    </row>
    <row r="930" spans="1:10" ht="45">
      <c r="A930" s="635" t="s">
        <v>19</v>
      </c>
      <c r="B930" s="105" t="s">
        <v>3621</v>
      </c>
      <c r="C930" s="105" t="s">
        <v>3622</v>
      </c>
      <c r="D930" s="106">
        <v>3.52</v>
      </c>
      <c r="E930" s="106" t="s">
        <v>3623</v>
      </c>
      <c r="F930" s="105" t="s">
        <v>3624</v>
      </c>
      <c r="G930" s="555">
        <v>20000000</v>
      </c>
      <c r="H930" s="104" t="s">
        <v>3620</v>
      </c>
      <c r="I930" s="104" t="s">
        <v>3625</v>
      </c>
      <c r="J930" s="636">
        <v>25000000</v>
      </c>
    </row>
    <row r="931" spans="1:10" ht="75">
      <c r="A931" s="637" t="s">
        <v>19</v>
      </c>
      <c r="B931" s="105" t="s">
        <v>3626</v>
      </c>
      <c r="C931" s="105" t="s">
        <v>3627</v>
      </c>
      <c r="D931" s="104">
        <v>4.8499999999999996</v>
      </c>
      <c r="E931" s="104" t="s">
        <v>3628</v>
      </c>
      <c r="F931" s="104" t="s">
        <v>3629</v>
      </c>
      <c r="G931" s="555">
        <v>4000000</v>
      </c>
      <c r="H931" s="104" t="s">
        <v>3524</v>
      </c>
      <c r="I931" s="104" t="s">
        <v>3630</v>
      </c>
      <c r="J931" s="636">
        <v>5000000</v>
      </c>
    </row>
    <row r="932" spans="1:10" ht="60">
      <c r="A932" s="637" t="s">
        <v>1262</v>
      </c>
      <c r="B932" s="584" t="s">
        <v>3631</v>
      </c>
      <c r="C932" s="105" t="s">
        <v>3632</v>
      </c>
      <c r="D932" s="104">
        <v>4.55</v>
      </c>
      <c r="E932" s="104" t="s">
        <v>3633</v>
      </c>
      <c r="F932" s="104" t="s">
        <v>3634</v>
      </c>
      <c r="G932" s="555">
        <v>350000000</v>
      </c>
      <c r="H932" s="104" t="s">
        <v>3524</v>
      </c>
      <c r="I932" s="104" t="s">
        <v>3635</v>
      </c>
      <c r="J932" s="636">
        <v>350000000</v>
      </c>
    </row>
    <row r="933" spans="1:10" ht="60">
      <c r="A933" s="637" t="s">
        <v>3636</v>
      </c>
      <c r="B933" s="584" t="s">
        <v>3637</v>
      </c>
      <c r="C933" s="105" t="s">
        <v>3638</v>
      </c>
      <c r="D933" s="104">
        <v>4.5</v>
      </c>
      <c r="E933" s="104">
        <v>5</v>
      </c>
      <c r="F933" s="104" t="s">
        <v>3634</v>
      </c>
      <c r="G933" s="555">
        <v>100000000</v>
      </c>
      <c r="H933" s="104" t="s">
        <v>3524</v>
      </c>
      <c r="I933" s="104" t="s">
        <v>3639</v>
      </c>
      <c r="J933" s="636">
        <v>130000000</v>
      </c>
    </row>
    <row r="934" spans="1:10" ht="45">
      <c r="A934" s="637" t="s">
        <v>3636</v>
      </c>
      <c r="B934" s="584" t="s">
        <v>3640</v>
      </c>
      <c r="C934" s="105" t="s">
        <v>3641</v>
      </c>
      <c r="D934" s="104">
        <v>2.2999999999999998</v>
      </c>
      <c r="E934" s="104">
        <v>5.2</v>
      </c>
      <c r="F934" s="104" t="s">
        <v>3642</v>
      </c>
      <c r="G934" s="555">
        <v>25000000</v>
      </c>
      <c r="H934" s="104" t="s">
        <v>3517</v>
      </c>
      <c r="I934" s="104" t="s">
        <v>3643</v>
      </c>
      <c r="J934" s="636">
        <v>35000000</v>
      </c>
    </row>
    <row r="935" spans="1:10" ht="30">
      <c r="A935" s="637" t="s">
        <v>1262</v>
      </c>
      <c r="B935" s="584" t="s">
        <v>3644</v>
      </c>
      <c r="C935" s="105" t="s">
        <v>3645</v>
      </c>
      <c r="D935" s="104">
        <v>1.4</v>
      </c>
      <c r="E935" s="104">
        <v>4.26</v>
      </c>
      <c r="F935" s="104" t="s">
        <v>3646</v>
      </c>
      <c r="G935" s="555">
        <v>5000000</v>
      </c>
      <c r="H935" s="104" t="s">
        <v>3517</v>
      </c>
      <c r="I935" s="104" t="s">
        <v>3599</v>
      </c>
      <c r="J935" s="636">
        <v>14000000</v>
      </c>
    </row>
    <row r="936" spans="1:10" ht="60">
      <c r="A936" s="27" t="s">
        <v>3636</v>
      </c>
      <c r="B936" s="105" t="s">
        <v>3647</v>
      </c>
      <c r="C936" s="105" t="s">
        <v>3648</v>
      </c>
      <c r="D936" s="104">
        <v>4.6500000000000004</v>
      </c>
      <c r="E936" s="104">
        <v>5.66</v>
      </c>
      <c r="F936" s="104" t="s">
        <v>3634</v>
      </c>
      <c r="G936" s="73">
        <v>30000000</v>
      </c>
      <c r="H936" s="569" t="s">
        <v>3620</v>
      </c>
      <c r="I936" s="104" t="s">
        <v>3649</v>
      </c>
      <c r="J936" s="636">
        <v>30000000</v>
      </c>
    </row>
    <row r="937" spans="1:10" ht="30">
      <c r="A937" s="27" t="s">
        <v>3636</v>
      </c>
      <c r="B937" s="105" t="s">
        <v>3650</v>
      </c>
      <c r="C937" s="105" t="s">
        <v>3651</v>
      </c>
      <c r="D937" s="569">
        <v>0.53</v>
      </c>
      <c r="E937" s="569">
        <v>5.4</v>
      </c>
      <c r="F937" s="569" t="s">
        <v>3624</v>
      </c>
      <c r="G937" s="73">
        <v>3000000</v>
      </c>
      <c r="H937" s="569" t="s">
        <v>3652</v>
      </c>
      <c r="I937" s="104" t="s">
        <v>3599</v>
      </c>
      <c r="J937" s="636">
        <v>3000000</v>
      </c>
    </row>
    <row r="938" spans="1:10" ht="75">
      <c r="A938" s="637" t="s">
        <v>2621</v>
      </c>
      <c r="B938" s="105" t="s">
        <v>3653</v>
      </c>
      <c r="C938" s="105" t="s">
        <v>3654</v>
      </c>
      <c r="D938" s="104">
        <v>2.1</v>
      </c>
      <c r="E938" s="104" t="s">
        <v>3655</v>
      </c>
      <c r="F938" s="104" t="s">
        <v>3656</v>
      </c>
      <c r="G938" s="555">
        <v>10000000</v>
      </c>
      <c r="H938" s="104" t="s">
        <v>3524</v>
      </c>
      <c r="I938" s="104" t="s">
        <v>3657</v>
      </c>
      <c r="J938" s="636">
        <v>16000000</v>
      </c>
    </row>
    <row r="939" spans="1:10" ht="30">
      <c r="A939" s="637" t="s">
        <v>2621</v>
      </c>
      <c r="B939" s="105" t="s">
        <v>3658</v>
      </c>
      <c r="C939" s="105" t="s">
        <v>3659</v>
      </c>
      <c r="D939" s="104">
        <v>1</v>
      </c>
      <c r="E939" s="104" t="s">
        <v>3660</v>
      </c>
      <c r="F939" s="104" t="s">
        <v>3661</v>
      </c>
      <c r="G939" s="555">
        <v>2000000</v>
      </c>
      <c r="H939" s="104" t="s">
        <v>3517</v>
      </c>
      <c r="I939" s="104" t="s">
        <v>3662</v>
      </c>
      <c r="J939" s="636">
        <v>3000000</v>
      </c>
    </row>
    <row r="940" spans="1:10" ht="45">
      <c r="A940" s="637" t="s">
        <v>19</v>
      </c>
      <c r="B940" s="105" t="s">
        <v>3663</v>
      </c>
      <c r="C940" s="105" t="s">
        <v>3664</v>
      </c>
      <c r="D940" s="104">
        <v>2.2200000000000002</v>
      </c>
      <c r="E940" s="104">
        <v>6</v>
      </c>
      <c r="F940" s="104" t="s">
        <v>3656</v>
      </c>
      <c r="G940" s="555">
        <v>2000000</v>
      </c>
      <c r="H940" s="104" t="s">
        <v>3517</v>
      </c>
      <c r="I940" s="104" t="s">
        <v>3665</v>
      </c>
      <c r="J940" s="636">
        <v>12000000</v>
      </c>
    </row>
    <row r="941" spans="1:10" ht="45">
      <c r="A941" s="635" t="s">
        <v>19</v>
      </c>
      <c r="B941" s="105" t="s">
        <v>3621</v>
      </c>
      <c r="C941" s="105" t="s">
        <v>3622</v>
      </c>
      <c r="D941" s="106">
        <v>3.52</v>
      </c>
      <c r="E941" s="106" t="s">
        <v>3623</v>
      </c>
      <c r="F941" s="105" t="s">
        <v>3624</v>
      </c>
      <c r="G941" s="555">
        <v>20000000</v>
      </c>
      <c r="H941" s="104" t="s">
        <v>3620</v>
      </c>
      <c r="I941" s="104" t="s">
        <v>3625</v>
      </c>
      <c r="J941" s="636">
        <v>19500000</v>
      </c>
    </row>
    <row r="942" spans="1:10" ht="90">
      <c r="A942" s="637" t="s">
        <v>3666</v>
      </c>
      <c r="B942" s="105" t="s">
        <v>3667</v>
      </c>
      <c r="C942" s="105" t="s">
        <v>3668</v>
      </c>
      <c r="D942" s="104">
        <v>0.56000000000000005</v>
      </c>
      <c r="E942" s="104" t="s">
        <v>3588</v>
      </c>
      <c r="F942" s="104" t="s">
        <v>3669</v>
      </c>
      <c r="G942" s="555">
        <v>30000000</v>
      </c>
      <c r="H942" s="104" t="s">
        <v>3524</v>
      </c>
      <c r="I942" s="107" t="s">
        <v>3670</v>
      </c>
      <c r="J942" s="636">
        <v>34000000</v>
      </c>
    </row>
    <row r="943" spans="1:10" ht="33.75">
      <c r="A943" s="22">
        <v>0</v>
      </c>
      <c r="B943" s="26">
        <v>0</v>
      </c>
      <c r="C943" s="569" t="s">
        <v>23942</v>
      </c>
      <c r="D943" s="569">
        <v>6.2350000000000003</v>
      </c>
      <c r="E943" s="569">
        <v>0</v>
      </c>
      <c r="F943" s="569" t="s">
        <v>23564</v>
      </c>
      <c r="G943" s="73">
        <v>0</v>
      </c>
      <c r="H943" s="569">
        <v>1</v>
      </c>
      <c r="I943" s="569" t="s">
        <v>23565</v>
      </c>
      <c r="J943" s="531">
        <v>5387500</v>
      </c>
    </row>
    <row r="944" spans="1:10" ht="15.75">
      <c r="A944" s="1013" t="s">
        <v>189</v>
      </c>
      <c r="B944" s="1014"/>
      <c r="C944" s="1014"/>
      <c r="D944" s="1014"/>
      <c r="E944" s="1014"/>
      <c r="F944" s="1014"/>
      <c r="G944" s="550">
        <f>SUM(G904:G943)</f>
        <v>946000000</v>
      </c>
      <c r="H944" s="564"/>
      <c r="I944" s="564"/>
      <c r="J944" s="626">
        <f>SUM(J904:J943)</f>
        <v>1373387500</v>
      </c>
    </row>
    <row r="945" spans="1:10" ht="15.75">
      <c r="A945" s="1013" t="s">
        <v>23610</v>
      </c>
      <c r="B945" s="1014"/>
      <c r="C945" s="1014"/>
      <c r="D945" s="1014"/>
      <c r="E945" s="1014"/>
      <c r="F945" s="1014"/>
      <c r="G945" s="1014"/>
      <c r="H945" s="1014"/>
      <c r="I945" s="1014"/>
      <c r="J945" s="1015"/>
    </row>
    <row r="946" spans="1:10" ht="45">
      <c r="A946" s="22" t="s">
        <v>23575</v>
      </c>
      <c r="B946" s="26" t="s">
        <v>23575</v>
      </c>
      <c r="C946" s="569" t="s">
        <v>23576</v>
      </c>
      <c r="D946" s="569">
        <v>7.0650000000000004</v>
      </c>
      <c r="E946" s="569">
        <v>6</v>
      </c>
      <c r="F946" s="569" t="s">
        <v>23577</v>
      </c>
      <c r="G946" s="73">
        <v>0</v>
      </c>
      <c r="H946" s="569">
        <v>1</v>
      </c>
      <c r="I946" s="569" t="s">
        <v>23578</v>
      </c>
      <c r="J946" s="531">
        <v>150000</v>
      </c>
    </row>
    <row r="947" spans="1:10" ht="56.25">
      <c r="A947" s="22" t="s">
        <v>23575</v>
      </c>
      <c r="B947" s="26" t="s">
        <v>23579</v>
      </c>
      <c r="C947" s="569" t="s">
        <v>23580</v>
      </c>
      <c r="D947" s="569">
        <v>11.414999999999999</v>
      </c>
      <c r="E947" s="569">
        <v>6.2</v>
      </c>
      <c r="F947" s="569" t="s">
        <v>23577</v>
      </c>
      <c r="G947" s="73">
        <v>0</v>
      </c>
      <c r="H947" s="569">
        <v>2</v>
      </c>
      <c r="I947" s="569" t="s">
        <v>23581</v>
      </c>
      <c r="J947" s="531">
        <v>75000</v>
      </c>
    </row>
    <row r="948" spans="1:10" ht="33.75">
      <c r="A948" s="22" t="s">
        <v>9798</v>
      </c>
      <c r="B948" s="26">
        <v>0</v>
      </c>
      <c r="C948" s="569" t="s">
        <v>23582</v>
      </c>
      <c r="D948" s="569">
        <v>4.585</v>
      </c>
      <c r="E948" s="569">
        <v>8</v>
      </c>
      <c r="F948" s="569" t="s">
        <v>23583</v>
      </c>
      <c r="G948" s="73">
        <v>1200000</v>
      </c>
      <c r="H948" s="569">
        <v>1</v>
      </c>
      <c r="I948" s="569" t="s">
        <v>23584</v>
      </c>
      <c r="J948" s="531">
        <v>1200000</v>
      </c>
    </row>
    <row r="949" spans="1:10" ht="33.75">
      <c r="A949" s="22" t="s">
        <v>2079</v>
      </c>
      <c r="B949" s="26" t="s">
        <v>2079</v>
      </c>
      <c r="C949" s="569" t="s">
        <v>23585</v>
      </c>
      <c r="D949" s="569">
        <v>6.7649999999999997</v>
      </c>
      <c r="E949" s="569">
        <v>4</v>
      </c>
      <c r="F949" s="569" t="s">
        <v>23586</v>
      </c>
      <c r="G949" s="73">
        <v>450000</v>
      </c>
      <c r="H949" s="569">
        <v>1</v>
      </c>
      <c r="I949" s="569" t="s">
        <v>23584</v>
      </c>
      <c r="J949" s="531">
        <v>450000</v>
      </c>
    </row>
    <row r="950" spans="1:10" ht="45">
      <c r="A950" s="22" t="s">
        <v>4425</v>
      </c>
      <c r="B950" s="26" t="s">
        <v>4824</v>
      </c>
      <c r="C950" s="569" t="s">
        <v>23587</v>
      </c>
      <c r="D950" s="569">
        <v>3.4249999999999998</v>
      </c>
      <c r="E950" s="569">
        <v>8</v>
      </c>
      <c r="F950" s="569" t="s">
        <v>23583</v>
      </c>
      <c r="G950" s="73">
        <v>450000</v>
      </c>
      <c r="H950" s="569">
        <v>1</v>
      </c>
      <c r="I950" s="569" t="s">
        <v>23584</v>
      </c>
      <c r="J950" s="531">
        <v>500000</v>
      </c>
    </row>
    <row r="951" spans="1:10" ht="45">
      <c r="A951" s="22" t="s">
        <v>2079</v>
      </c>
      <c r="B951" s="26" t="s">
        <v>2079</v>
      </c>
      <c r="C951" s="569" t="s">
        <v>23588</v>
      </c>
      <c r="D951" s="569">
        <v>6.7649999999999997</v>
      </c>
      <c r="E951" s="569">
        <v>3</v>
      </c>
      <c r="F951" s="569" t="s">
        <v>23586</v>
      </c>
      <c r="G951" s="73">
        <v>250000</v>
      </c>
      <c r="H951" s="569">
        <v>1</v>
      </c>
      <c r="I951" s="569" t="s">
        <v>23584</v>
      </c>
      <c r="J951" s="531">
        <v>250000</v>
      </c>
    </row>
    <row r="952" spans="1:10" ht="78.75">
      <c r="A952" s="22" t="s">
        <v>1658</v>
      </c>
      <c r="B952" s="26" t="s">
        <v>23589</v>
      </c>
      <c r="C952" s="569" t="s">
        <v>23590</v>
      </c>
      <c r="D952" s="569">
        <v>3.74</v>
      </c>
      <c r="E952" s="569">
        <v>15</v>
      </c>
      <c r="F952" s="569" t="s">
        <v>23591</v>
      </c>
      <c r="G952" s="73" t="s">
        <v>23592</v>
      </c>
      <c r="H952" s="569">
        <v>1</v>
      </c>
      <c r="I952" s="569" t="s">
        <v>23593</v>
      </c>
      <c r="J952" s="531">
        <v>0</v>
      </c>
    </row>
    <row r="953" spans="1:10" ht="45">
      <c r="A953" s="22" t="s">
        <v>23594</v>
      </c>
      <c r="B953" s="26" t="s">
        <v>5944</v>
      </c>
      <c r="C953" s="569" t="s">
        <v>23595</v>
      </c>
      <c r="D953" s="569">
        <v>1.9</v>
      </c>
      <c r="E953" s="569">
        <v>5</v>
      </c>
      <c r="F953" s="569" t="s">
        <v>23596</v>
      </c>
      <c r="G953" s="73">
        <v>250000</v>
      </c>
      <c r="H953" s="569">
        <v>1</v>
      </c>
      <c r="I953" s="569" t="s">
        <v>23584</v>
      </c>
      <c r="J953" s="531">
        <v>250000</v>
      </c>
    </row>
    <row r="954" spans="1:10" ht="45">
      <c r="A954" s="22" t="s">
        <v>3955</v>
      </c>
      <c r="B954" s="26" t="s">
        <v>2080</v>
      </c>
      <c r="C954" s="569" t="s">
        <v>23597</v>
      </c>
      <c r="D954" s="569">
        <v>3.105</v>
      </c>
      <c r="E954" s="569">
        <v>10</v>
      </c>
      <c r="F954" s="569" t="s">
        <v>23583</v>
      </c>
      <c r="G954" s="73">
        <v>1500000</v>
      </c>
      <c r="H954" s="569">
        <v>1</v>
      </c>
      <c r="I954" s="569" t="s">
        <v>23584</v>
      </c>
      <c r="J954" s="531">
        <v>1500000</v>
      </c>
    </row>
    <row r="955" spans="1:10" ht="45">
      <c r="A955" s="22" t="s">
        <v>3955</v>
      </c>
      <c r="B955" s="26" t="s">
        <v>1870</v>
      </c>
      <c r="C955" s="569" t="s">
        <v>23598</v>
      </c>
      <c r="D955" s="569">
        <v>5.19</v>
      </c>
      <c r="E955" s="569">
        <v>5</v>
      </c>
      <c r="F955" s="569" t="s">
        <v>23596</v>
      </c>
      <c r="G955" s="73">
        <v>250000</v>
      </c>
      <c r="H955" s="569">
        <v>1</v>
      </c>
      <c r="I955" s="569" t="s">
        <v>23584</v>
      </c>
      <c r="J955" s="531">
        <v>250000</v>
      </c>
    </row>
    <row r="956" spans="1:10" ht="45">
      <c r="A956" s="22" t="s">
        <v>19</v>
      </c>
      <c r="B956" s="26" t="s">
        <v>19</v>
      </c>
      <c r="C956" s="569" t="s">
        <v>23599</v>
      </c>
      <c r="D956" s="569">
        <v>9</v>
      </c>
      <c r="E956" s="569">
        <v>4</v>
      </c>
      <c r="F956" s="569" t="s">
        <v>23596</v>
      </c>
      <c r="G956" s="73">
        <v>250000</v>
      </c>
      <c r="H956" s="569">
        <v>1</v>
      </c>
      <c r="I956" s="569" t="s">
        <v>23584</v>
      </c>
      <c r="J956" s="531">
        <v>250000</v>
      </c>
    </row>
    <row r="957" spans="1:10" ht="45">
      <c r="A957" s="22" t="s">
        <v>23600</v>
      </c>
      <c r="B957" s="26" t="s">
        <v>23600</v>
      </c>
      <c r="C957" s="569" t="s">
        <v>23601</v>
      </c>
      <c r="D957" s="569">
        <v>9</v>
      </c>
      <c r="E957" s="569">
        <v>5</v>
      </c>
      <c r="F957" s="569" t="s">
        <v>23596</v>
      </c>
      <c r="G957" s="73">
        <v>200000</v>
      </c>
      <c r="H957" s="569">
        <v>1</v>
      </c>
      <c r="I957" s="569" t="s">
        <v>23584</v>
      </c>
      <c r="J957" s="531">
        <v>200000</v>
      </c>
    </row>
    <row r="958" spans="1:10" ht="45">
      <c r="A958" s="22" t="s">
        <v>3955</v>
      </c>
      <c r="B958" s="26" t="s">
        <v>2080</v>
      </c>
      <c r="C958" s="569" t="s">
        <v>23602</v>
      </c>
      <c r="D958" s="569">
        <v>3.71</v>
      </c>
      <c r="E958" s="569">
        <v>15</v>
      </c>
      <c r="F958" s="569" t="s">
        <v>23596</v>
      </c>
      <c r="G958" s="73">
        <v>250000</v>
      </c>
      <c r="H958" s="569">
        <v>1</v>
      </c>
      <c r="I958" s="569" t="s">
        <v>23584</v>
      </c>
      <c r="J958" s="531">
        <v>250000</v>
      </c>
    </row>
    <row r="959" spans="1:10" ht="45">
      <c r="A959" s="22">
        <v>0</v>
      </c>
      <c r="B959" s="26" t="s">
        <v>4038</v>
      </c>
      <c r="C959" s="569" t="s">
        <v>23603</v>
      </c>
      <c r="D959" s="569">
        <v>10.305</v>
      </c>
      <c r="E959" s="569">
        <v>6</v>
      </c>
      <c r="F959" s="569" t="s">
        <v>23604</v>
      </c>
      <c r="G959" s="73">
        <v>500000</v>
      </c>
      <c r="H959" s="569">
        <v>1</v>
      </c>
      <c r="I959" s="569" t="s">
        <v>23605</v>
      </c>
      <c r="J959" s="531">
        <v>500000</v>
      </c>
    </row>
    <row r="960" spans="1:10" ht="33.75">
      <c r="A960" s="22" t="s">
        <v>107</v>
      </c>
      <c r="B960" s="26" t="s">
        <v>23606</v>
      </c>
      <c r="C960" s="569" t="s">
        <v>23607</v>
      </c>
      <c r="D960" s="569">
        <v>12.11</v>
      </c>
      <c r="E960" s="569">
        <v>0</v>
      </c>
      <c r="F960" s="569" t="s">
        <v>23608</v>
      </c>
      <c r="G960" s="73">
        <v>0</v>
      </c>
      <c r="H960" s="569">
        <v>0</v>
      </c>
      <c r="I960" s="569" t="s">
        <v>23609</v>
      </c>
      <c r="J960" s="531">
        <v>0</v>
      </c>
    </row>
    <row r="961" spans="1:10" ht="22.5">
      <c r="A961" s="27" t="s">
        <v>19</v>
      </c>
      <c r="B961" s="300" t="s">
        <v>25181</v>
      </c>
      <c r="C961" s="569" t="s">
        <v>25182</v>
      </c>
      <c r="D961" s="569">
        <v>3</v>
      </c>
      <c r="E961" s="569">
        <v>7</v>
      </c>
      <c r="F961" s="569" t="s">
        <v>25183</v>
      </c>
      <c r="G961" s="73">
        <v>200000000</v>
      </c>
      <c r="H961" s="569" t="s">
        <v>31</v>
      </c>
      <c r="I961" s="569" t="s">
        <v>25184</v>
      </c>
      <c r="J961" s="531">
        <v>250000000</v>
      </c>
    </row>
    <row r="962" spans="1:10" ht="33.75">
      <c r="A962" s="27" t="s">
        <v>3955</v>
      </c>
      <c r="B962" s="300" t="s">
        <v>25185</v>
      </c>
      <c r="C962" s="569" t="s">
        <v>25186</v>
      </c>
      <c r="D962" s="569">
        <v>0.3</v>
      </c>
      <c r="E962" s="569">
        <v>7</v>
      </c>
      <c r="F962" s="569" t="s">
        <v>25183</v>
      </c>
      <c r="G962" s="73">
        <v>300000000</v>
      </c>
      <c r="H962" s="569" t="s">
        <v>31</v>
      </c>
      <c r="I962" s="569" t="s">
        <v>25187</v>
      </c>
      <c r="J962" s="531">
        <v>300000000</v>
      </c>
    </row>
    <row r="963" spans="1:10" ht="15.75">
      <c r="A963" s="1013" t="s">
        <v>189</v>
      </c>
      <c r="B963" s="1014"/>
      <c r="C963" s="1014"/>
      <c r="D963" s="1014"/>
      <c r="E963" s="1014"/>
      <c r="F963" s="1014"/>
      <c r="G963" s="550">
        <f>SUM(G946:G960)</f>
        <v>5550000</v>
      </c>
      <c r="H963" s="564"/>
      <c r="I963" s="564"/>
      <c r="J963" s="626">
        <f>SUM(J946:J962)</f>
        <v>555825000</v>
      </c>
    </row>
    <row r="964" spans="1:10" ht="15.75">
      <c r="A964" s="1013" t="s">
        <v>6416</v>
      </c>
      <c r="B964" s="1014"/>
      <c r="C964" s="1014"/>
      <c r="D964" s="1014"/>
      <c r="E964" s="1014"/>
      <c r="F964" s="1014"/>
      <c r="G964" s="1014"/>
      <c r="H964" s="1014"/>
      <c r="I964" s="1014"/>
      <c r="J964" s="1015"/>
    </row>
    <row r="965" spans="1:10" ht="102">
      <c r="A965" s="638" t="s">
        <v>6417</v>
      </c>
      <c r="B965" s="284" t="s">
        <v>6418</v>
      </c>
      <c r="C965" s="284" t="s">
        <v>6419</v>
      </c>
      <c r="D965" s="284">
        <v>3.72</v>
      </c>
      <c r="E965" s="284">
        <v>5</v>
      </c>
      <c r="F965" s="284" t="s">
        <v>6420</v>
      </c>
      <c r="G965" s="401">
        <v>20000000</v>
      </c>
      <c r="H965" s="284" t="s">
        <v>1628</v>
      </c>
      <c r="I965" s="284" t="s">
        <v>6421</v>
      </c>
      <c r="J965" s="639">
        <v>89188000</v>
      </c>
    </row>
    <row r="966" spans="1:10" ht="114.75">
      <c r="A966" s="638" t="s">
        <v>6417</v>
      </c>
      <c r="B966" s="284" t="s">
        <v>6422</v>
      </c>
      <c r="C966" s="284" t="s">
        <v>6423</v>
      </c>
      <c r="D966" s="284">
        <v>4.6399999999999997</v>
      </c>
      <c r="E966" s="284">
        <v>5</v>
      </c>
      <c r="F966" s="284" t="s">
        <v>6424</v>
      </c>
      <c r="G966" s="401">
        <v>15000000</v>
      </c>
      <c r="H966" s="284" t="s">
        <v>1635</v>
      </c>
      <c r="I966" s="284" t="s">
        <v>6425</v>
      </c>
      <c r="J966" s="639">
        <v>69200000</v>
      </c>
    </row>
    <row r="967" spans="1:10" ht="114.75">
      <c r="A967" s="638" t="s">
        <v>6417</v>
      </c>
      <c r="B967" s="284" t="s">
        <v>6426</v>
      </c>
      <c r="C967" s="284" t="s">
        <v>6427</v>
      </c>
      <c r="D967" s="284">
        <v>7.22</v>
      </c>
      <c r="E967" s="284">
        <v>5</v>
      </c>
      <c r="F967" s="284" t="s">
        <v>6428</v>
      </c>
      <c r="G967" s="401">
        <v>15000000</v>
      </c>
      <c r="H967" s="284" t="s">
        <v>1635</v>
      </c>
      <c r="I967" s="284" t="s">
        <v>6429</v>
      </c>
      <c r="J967" s="639">
        <v>80650000</v>
      </c>
    </row>
    <row r="968" spans="1:10" ht="114.75">
      <c r="A968" s="638" t="s">
        <v>6417</v>
      </c>
      <c r="B968" s="284" t="s">
        <v>6430</v>
      </c>
      <c r="C968" s="284" t="s">
        <v>6431</v>
      </c>
      <c r="D968" s="284">
        <v>2.73</v>
      </c>
      <c r="E968" s="284">
        <v>5</v>
      </c>
      <c r="F968" s="284" t="s">
        <v>6432</v>
      </c>
      <c r="G968" s="401">
        <v>10000000</v>
      </c>
      <c r="H968" s="284" t="s">
        <v>1635</v>
      </c>
      <c r="I968" s="284" t="s">
        <v>6429</v>
      </c>
      <c r="J968" s="639">
        <v>63017000</v>
      </c>
    </row>
    <row r="969" spans="1:10" ht="114.75">
      <c r="A969" s="638" t="s">
        <v>6417</v>
      </c>
      <c r="B969" s="284" t="s">
        <v>6433</v>
      </c>
      <c r="C969" s="284" t="s">
        <v>6434</v>
      </c>
      <c r="D969" s="284">
        <v>0.57999999999999996</v>
      </c>
      <c r="E969" s="284">
        <v>5</v>
      </c>
      <c r="F969" s="284" t="s">
        <v>6435</v>
      </c>
      <c r="G969" s="401">
        <v>2000000</v>
      </c>
      <c r="H969" s="284" t="s">
        <v>1635</v>
      </c>
      <c r="I969" s="284" t="s">
        <v>6429</v>
      </c>
      <c r="J969" s="639">
        <v>13782000</v>
      </c>
    </row>
    <row r="970" spans="1:10" ht="114.75">
      <c r="A970" s="638" t="s">
        <v>6417</v>
      </c>
      <c r="B970" s="284" t="s">
        <v>6436</v>
      </c>
      <c r="C970" s="284" t="s">
        <v>6437</v>
      </c>
      <c r="D970" s="284">
        <v>1.82</v>
      </c>
      <c r="E970" s="284">
        <v>5</v>
      </c>
      <c r="F970" s="284" t="s">
        <v>6438</v>
      </c>
      <c r="G970" s="401">
        <v>8000000</v>
      </c>
      <c r="H970" s="284" t="s">
        <v>1635</v>
      </c>
      <c r="I970" s="284" t="s">
        <v>6429</v>
      </c>
      <c r="J970" s="639">
        <v>42178000</v>
      </c>
    </row>
    <row r="971" spans="1:10" ht="114.75">
      <c r="A971" s="638" t="s">
        <v>6417</v>
      </c>
      <c r="B971" s="284" t="s">
        <v>6439</v>
      </c>
      <c r="C971" s="284" t="s">
        <v>6440</v>
      </c>
      <c r="D971" s="284">
        <v>2.4700000000000002</v>
      </c>
      <c r="E971" s="284">
        <v>5</v>
      </c>
      <c r="F971" s="284" t="s">
        <v>6441</v>
      </c>
      <c r="G971" s="401">
        <v>9000000</v>
      </c>
      <c r="H971" s="284" t="s">
        <v>1635</v>
      </c>
      <c r="I971" s="284" t="s">
        <v>6429</v>
      </c>
      <c r="J971" s="639">
        <v>57063000</v>
      </c>
    </row>
    <row r="972" spans="1:10" ht="114.75">
      <c r="A972" s="638" t="s">
        <v>6417</v>
      </c>
      <c r="B972" s="284" t="s">
        <v>6442</v>
      </c>
      <c r="C972" s="284" t="s">
        <v>6443</v>
      </c>
      <c r="D972" s="284">
        <v>1.35</v>
      </c>
      <c r="E972" s="284">
        <v>5</v>
      </c>
      <c r="F972" s="284" t="s">
        <v>6441</v>
      </c>
      <c r="G972" s="401">
        <v>7500000</v>
      </c>
      <c r="H972" s="284" t="s">
        <v>1635</v>
      </c>
      <c r="I972" s="284" t="s">
        <v>6429</v>
      </c>
      <c r="J972" s="639">
        <v>31415000</v>
      </c>
    </row>
    <row r="973" spans="1:10" ht="15.75">
      <c r="A973" s="1013" t="s">
        <v>6444</v>
      </c>
      <c r="B973" s="1014"/>
      <c r="C973" s="1014"/>
      <c r="D973" s="1014"/>
      <c r="E973" s="1014"/>
      <c r="F973" s="1014"/>
      <c r="G973" s="550">
        <f>SUM(G965:G972)</f>
        <v>86500000</v>
      </c>
      <c r="H973" s="564"/>
      <c r="I973" s="564"/>
      <c r="J973" s="626">
        <f>SUM(J965:J972)</f>
        <v>446493000</v>
      </c>
    </row>
    <row r="974" spans="1:10" ht="15.75">
      <c r="A974" s="1013" t="s">
        <v>9997</v>
      </c>
      <c r="B974" s="1014"/>
      <c r="C974" s="1014"/>
      <c r="D974" s="1014"/>
      <c r="E974" s="1014"/>
      <c r="F974" s="1014"/>
      <c r="G974" s="1014"/>
      <c r="H974" s="1014"/>
      <c r="I974" s="1014"/>
      <c r="J974" s="1015"/>
    </row>
    <row r="975" spans="1:10" ht="45">
      <c r="A975" s="22" t="s">
        <v>19485</v>
      </c>
      <c r="B975" s="26" t="s">
        <v>24451</v>
      </c>
      <c r="C975" s="569" t="s">
        <v>24452</v>
      </c>
      <c r="D975" s="569">
        <v>18.664999999999999</v>
      </c>
      <c r="E975" s="569">
        <v>0</v>
      </c>
      <c r="F975" s="569" t="s">
        <v>23954</v>
      </c>
      <c r="G975" s="73">
        <v>0</v>
      </c>
      <c r="H975" s="569">
        <v>1</v>
      </c>
      <c r="I975" s="569" t="s">
        <v>24453</v>
      </c>
      <c r="J975" s="531">
        <v>2552000000</v>
      </c>
    </row>
    <row r="976" spans="1:10" ht="33.75">
      <c r="A976" s="22">
        <v>0</v>
      </c>
      <c r="B976" s="26" t="s">
        <v>24454</v>
      </c>
      <c r="C976" s="569" t="s">
        <v>24455</v>
      </c>
      <c r="D976" s="569">
        <v>18.664999999999999</v>
      </c>
      <c r="E976" s="569">
        <v>0</v>
      </c>
      <c r="F976" s="569" t="s">
        <v>23954</v>
      </c>
      <c r="G976" s="73">
        <v>0</v>
      </c>
      <c r="H976" s="569">
        <v>1</v>
      </c>
      <c r="I976" s="569" t="s">
        <v>24456</v>
      </c>
      <c r="J976" s="531">
        <v>80000000</v>
      </c>
    </row>
    <row r="977" spans="1:10" ht="33.75">
      <c r="A977" s="22">
        <v>0</v>
      </c>
      <c r="B977" s="26" t="s">
        <v>24454</v>
      </c>
      <c r="C977" s="569" t="s">
        <v>24457</v>
      </c>
      <c r="D977" s="569">
        <v>18.664999999999999</v>
      </c>
      <c r="E977" s="569">
        <v>0</v>
      </c>
      <c r="F977" s="569" t="s">
        <v>24458</v>
      </c>
      <c r="G977" s="73">
        <v>0</v>
      </c>
      <c r="H977" s="569">
        <v>1</v>
      </c>
      <c r="I977" s="569" t="s">
        <v>24459</v>
      </c>
      <c r="J977" s="531">
        <v>300000000</v>
      </c>
    </row>
    <row r="978" spans="1:10" ht="33.75">
      <c r="A978" s="22">
        <v>0</v>
      </c>
      <c r="B978" s="26" t="s">
        <v>24454</v>
      </c>
      <c r="C978" s="569" t="s">
        <v>24460</v>
      </c>
      <c r="D978" s="569">
        <v>18.664999999999999</v>
      </c>
      <c r="E978" s="569">
        <v>0</v>
      </c>
      <c r="F978" s="569" t="s">
        <v>23954</v>
      </c>
      <c r="G978" s="73">
        <v>0</v>
      </c>
      <c r="H978" s="569">
        <v>1</v>
      </c>
      <c r="I978" s="569" t="s">
        <v>24461</v>
      </c>
      <c r="J978" s="531">
        <v>812000000</v>
      </c>
    </row>
    <row r="979" spans="1:10" ht="45">
      <c r="A979" s="22">
        <v>0</v>
      </c>
      <c r="B979" s="26" t="s">
        <v>24454</v>
      </c>
      <c r="C979" s="569" t="s">
        <v>24462</v>
      </c>
      <c r="D979" s="569">
        <v>18.664999999999999</v>
      </c>
      <c r="E979" s="569">
        <v>0</v>
      </c>
      <c r="F979" s="569" t="s">
        <v>23954</v>
      </c>
      <c r="G979" s="73">
        <v>0</v>
      </c>
      <c r="H979" s="569">
        <v>1</v>
      </c>
      <c r="I979" s="569" t="s">
        <v>24463</v>
      </c>
      <c r="J979" s="531">
        <v>150000000</v>
      </c>
    </row>
    <row r="980" spans="1:10" ht="45">
      <c r="A980" s="22">
        <v>0</v>
      </c>
      <c r="B980" s="26" t="s">
        <v>24464</v>
      </c>
      <c r="C980" s="569" t="s">
        <v>24465</v>
      </c>
      <c r="D980" s="569">
        <v>18.664999999999999</v>
      </c>
      <c r="E980" s="569">
        <v>0</v>
      </c>
      <c r="F980" s="569" t="s">
        <v>24466</v>
      </c>
      <c r="G980" s="73">
        <v>0</v>
      </c>
      <c r="H980" s="569">
        <v>1</v>
      </c>
      <c r="I980" s="569" t="s">
        <v>24467</v>
      </c>
      <c r="J980" s="531">
        <v>15000000</v>
      </c>
    </row>
    <row r="981" spans="1:10" ht="45">
      <c r="A981" s="22">
        <v>0</v>
      </c>
      <c r="B981" s="26" t="s">
        <v>24464</v>
      </c>
      <c r="C981" s="569" t="s">
        <v>24468</v>
      </c>
      <c r="D981" s="569">
        <v>18.664999999999999</v>
      </c>
      <c r="E981" s="569">
        <v>0</v>
      </c>
      <c r="F981" s="569" t="s">
        <v>24466</v>
      </c>
      <c r="G981" s="73">
        <v>0</v>
      </c>
      <c r="H981" s="569">
        <v>1</v>
      </c>
      <c r="I981" s="569" t="s">
        <v>24467</v>
      </c>
      <c r="J981" s="531">
        <v>6500000</v>
      </c>
    </row>
    <row r="982" spans="1:10" ht="56.25">
      <c r="A982" s="22">
        <v>0</v>
      </c>
      <c r="B982" s="26" t="s">
        <v>24469</v>
      </c>
      <c r="C982" s="569" t="s">
        <v>24470</v>
      </c>
      <c r="D982" s="569">
        <v>18.664999999999999</v>
      </c>
      <c r="E982" s="569">
        <v>0</v>
      </c>
      <c r="F982" s="569" t="s">
        <v>24471</v>
      </c>
      <c r="G982" s="73">
        <v>0</v>
      </c>
      <c r="H982" s="569">
        <v>1</v>
      </c>
      <c r="I982" s="569" t="s">
        <v>24472</v>
      </c>
      <c r="J982" s="531">
        <v>230000000</v>
      </c>
    </row>
    <row r="983" spans="1:10" ht="45">
      <c r="A983" s="22" t="s">
        <v>19485</v>
      </c>
      <c r="B983" s="26" t="s">
        <v>19485</v>
      </c>
      <c r="C983" s="569" t="s">
        <v>24473</v>
      </c>
      <c r="D983" s="569">
        <v>18.664999999999999</v>
      </c>
      <c r="E983" s="569">
        <v>0</v>
      </c>
      <c r="F983" s="569" t="s">
        <v>23954</v>
      </c>
      <c r="G983" s="73">
        <v>0</v>
      </c>
      <c r="H983" s="569">
        <v>1</v>
      </c>
      <c r="I983" s="569" t="s">
        <v>24474</v>
      </c>
      <c r="J983" s="531">
        <v>94000000</v>
      </c>
    </row>
    <row r="984" spans="1:10" ht="45">
      <c r="A984" s="22" t="s">
        <v>1658</v>
      </c>
      <c r="B984" s="26" t="s">
        <v>24475</v>
      </c>
      <c r="C984" s="569" t="s">
        <v>24476</v>
      </c>
      <c r="D984" s="569">
        <v>8.0350000000000001</v>
      </c>
      <c r="E984" s="569">
        <v>3</v>
      </c>
      <c r="F984" s="569" t="s">
        <v>23586</v>
      </c>
      <c r="G984" s="73">
        <v>121180.52559999998</v>
      </c>
      <c r="H984" s="569">
        <v>1</v>
      </c>
      <c r="I984" s="569" t="s">
        <v>23584</v>
      </c>
      <c r="J984" s="531">
        <v>121180.52559999998</v>
      </c>
    </row>
    <row r="985" spans="1:10" ht="45">
      <c r="A985" s="22" t="s">
        <v>1127</v>
      </c>
      <c r="B985" s="26" t="s">
        <v>24477</v>
      </c>
      <c r="C985" s="569" t="s">
        <v>24478</v>
      </c>
      <c r="D985" s="569">
        <v>10.805</v>
      </c>
      <c r="E985" s="569">
        <v>2</v>
      </c>
      <c r="F985" s="569" t="s">
        <v>23586</v>
      </c>
      <c r="G985" s="73">
        <v>30295.131399999995</v>
      </c>
      <c r="H985" s="569">
        <v>1</v>
      </c>
      <c r="I985" s="569" t="s">
        <v>23584</v>
      </c>
      <c r="J985" s="531">
        <v>30295.131399999995</v>
      </c>
    </row>
    <row r="986" spans="1:10" ht="45">
      <c r="A986" s="22" t="s">
        <v>938</v>
      </c>
      <c r="B986" s="26" t="s">
        <v>24479</v>
      </c>
      <c r="C986" s="569" t="s">
        <v>24480</v>
      </c>
      <c r="D986" s="569">
        <v>3.5750000000000002</v>
      </c>
      <c r="E986" s="569">
        <v>2</v>
      </c>
      <c r="F986" s="569" t="s">
        <v>23586</v>
      </c>
      <c r="G986" s="73">
        <v>30295.131399999995</v>
      </c>
      <c r="H986" s="569">
        <v>1</v>
      </c>
      <c r="I986" s="569" t="s">
        <v>23584</v>
      </c>
      <c r="J986" s="531">
        <v>30295.131399999995</v>
      </c>
    </row>
    <row r="987" spans="1:10" ht="45">
      <c r="A987" s="22" t="s">
        <v>24481</v>
      </c>
      <c r="B987" s="26" t="s">
        <v>1658</v>
      </c>
      <c r="C987" s="569" t="s">
        <v>24482</v>
      </c>
      <c r="D987" s="569">
        <v>8.0350000000000001</v>
      </c>
      <c r="E987" s="569">
        <v>3</v>
      </c>
      <c r="F987" s="569" t="s">
        <v>23586</v>
      </c>
      <c r="G987" s="73">
        <v>240000</v>
      </c>
      <c r="H987" s="569">
        <v>1</v>
      </c>
      <c r="I987" s="569" t="s">
        <v>23584</v>
      </c>
      <c r="J987" s="531">
        <v>632886.18999999994</v>
      </c>
    </row>
    <row r="988" spans="1:10" ht="45">
      <c r="A988" s="22" t="s">
        <v>24481</v>
      </c>
      <c r="B988" s="26" t="s">
        <v>24475</v>
      </c>
      <c r="C988" s="569" t="s">
        <v>24483</v>
      </c>
      <c r="D988" s="569">
        <v>8.0350000000000001</v>
      </c>
      <c r="E988" s="569">
        <v>4</v>
      </c>
      <c r="F988" s="569" t="s">
        <v>23586</v>
      </c>
      <c r="G988" s="73">
        <v>450000</v>
      </c>
      <c r="H988" s="569">
        <v>1</v>
      </c>
      <c r="I988" s="569" t="s">
        <v>23584</v>
      </c>
      <c r="J988" s="531">
        <v>889156.35</v>
      </c>
    </row>
    <row r="989" spans="1:10" ht="45">
      <c r="A989" s="22" t="s">
        <v>24481</v>
      </c>
      <c r="B989" s="26" t="s">
        <v>24475</v>
      </c>
      <c r="C989" s="569" t="s">
        <v>24484</v>
      </c>
      <c r="D989" s="569">
        <v>8.0350000000000001</v>
      </c>
      <c r="E989" s="569">
        <v>4</v>
      </c>
      <c r="F989" s="569" t="s">
        <v>23586</v>
      </c>
      <c r="G989" s="73">
        <v>250000</v>
      </c>
      <c r="H989" s="569">
        <v>1</v>
      </c>
      <c r="I989" s="569" t="s">
        <v>23584</v>
      </c>
      <c r="J989" s="531">
        <v>509500.08</v>
      </c>
    </row>
    <row r="990" spans="1:10" ht="45">
      <c r="A990" s="22" t="s">
        <v>24481</v>
      </c>
      <c r="B990" s="26" t="s">
        <v>24475</v>
      </c>
      <c r="C990" s="569" t="s">
        <v>24485</v>
      </c>
      <c r="D990" s="569">
        <v>8.0350000000000001</v>
      </c>
      <c r="E990" s="569">
        <v>7</v>
      </c>
      <c r="F990" s="569" t="s">
        <v>23623</v>
      </c>
      <c r="G990" s="73">
        <v>1200000</v>
      </c>
      <c r="H990" s="569">
        <v>2</v>
      </c>
      <c r="I990" s="569" t="s">
        <v>23584</v>
      </c>
      <c r="J990" s="531">
        <v>2686002.84</v>
      </c>
    </row>
    <row r="991" spans="1:10" ht="45">
      <c r="A991" s="22" t="s">
        <v>891</v>
      </c>
      <c r="B991" s="26" t="s">
        <v>836</v>
      </c>
      <c r="C991" s="569" t="s">
        <v>24486</v>
      </c>
      <c r="D991" s="569">
        <v>29.58</v>
      </c>
      <c r="E991" s="569">
        <v>6</v>
      </c>
      <c r="F991" s="569" t="s">
        <v>24487</v>
      </c>
      <c r="G991" s="73">
        <v>80000</v>
      </c>
      <c r="H991" s="569">
        <v>1</v>
      </c>
      <c r="I991" s="569" t="s">
        <v>24488</v>
      </c>
      <c r="J991" s="531">
        <v>85000</v>
      </c>
    </row>
    <row r="992" spans="1:10" ht="45">
      <c r="A992" s="22" t="s">
        <v>891</v>
      </c>
      <c r="B992" s="26" t="s">
        <v>891</v>
      </c>
      <c r="C992" s="569" t="s">
        <v>24489</v>
      </c>
      <c r="D992" s="569">
        <v>8.83</v>
      </c>
      <c r="E992" s="569">
        <v>1</v>
      </c>
      <c r="F992" s="569" t="s">
        <v>24070</v>
      </c>
      <c r="G992" s="73">
        <v>60000</v>
      </c>
      <c r="H992" s="569">
        <v>3</v>
      </c>
      <c r="I992" s="569" t="s">
        <v>23584</v>
      </c>
      <c r="J992" s="531">
        <v>60000</v>
      </c>
    </row>
    <row r="993" spans="1:10" ht="45">
      <c r="A993" s="22" t="s">
        <v>24490</v>
      </c>
      <c r="B993" s="26" t="s">
        <v>1674</v>
      </c>
      <c r="C993" s="569" t="s">
        <v>24491</v>
      </c>
      <c r="D993" s="569">
        <v>3.67</v>
      </c>
      <c r="E993" s="569">
        <v>1</v>
      </c>
      <c r="F993" s="569" t="s">
        <v>24070</v>
      </c>
      <c r="G993" s="73">
        <v>80000</v>
      </c>
      <c r="H993" s="569">
        <v>3</v>
      </c>
      <c r="I993" s="569" t="s">
        <v>23584</v>
      </c>
      <c r="J993" s="531">
        <v>171912.26</v>
      </c>
    </row>
    <row r="994" spans="1:10" ht="33.75">
      <c r="A994" s="22" t="s">
        <v>1127</v>
      </c>
      <c r="B994" s="26" t="s">
        <v>24492</v>
      </c>
      <c r="C994" s="569" t="s">
        <v>24493</v>
      </c>
      <c r="D994" s="569">
        <v>10.805</v>
      </c>
      <c r="E994" s="569">
        <v>5</v>
      </c>
      <c r="F994" s="569" t="s">
        <v>23623</v>
      </c>
      <c r="G994" s="73">
        <v>250000</v>
      </c>
      <c r="H994" s="569">
        <v>1</v>
      </c>
      <c r="I994" s="569" t="s">
        <v>23584</v>
      </c>
      <c r="J994" s="531">
        <v>95603.31</v>
      </c>
    </row>
    <row r="995" spans="1:10" ht="45">
      <c r="A995" s="22" t="s">
        <v>23713</v>
      </c>
      <c r="B995" s="26" t="s">
        <v>24479</v>
      </c>
      <c r="C995" s="569" t="s">
        <v>24494</v>
      </c>
      <c r="D995" s="569">
        <v>9.16</v>
      </c>
      <c r="E995" s="569">
        <v>4</v>
      </c>
      <c r="F995" s="569" t="s">
        <v>23623</v>
      </c>
      <c r="G995" s="73">
        <v>60000</v>
      </c>
      <c r="H995" s="569">
        <v>3</v>
      </c>
      <c r="I995" s="569" t="s">
        <v>23584</v>
      </c>
      <c r="J995" s="531">
        <v>60000</v>
      </c>
    </row>
    <row r="996" spans="1:10" ht="45">
      <c r="A996" s="22" t="s">
        <v>23713</v>
      </c>
      <c r="B996" s="26" t="s">
        <v>23650</v>
      </c>
      <c r="C996" s="569" t="s">
        <v>24495</v>
      </c>
      <c r="D996" s="569">
        <v>9.16</v>
      </c>
      <c r="E996" s="569">
        <v>3</v>
      </c>
      <c r="F996" s="569" t="s">
        <v>24070</v>
      </c>
      <c r="G996" s="73">
        <v>60000</v>
      </c>
      <c r="H996" s="569">
        <v>3</v>
      </c>
      <c r="I996" s="569" t="s">
        <v>23584</v>
      </c>
      <c r="J996" s="531">
        <v>224079.13</v>
      </c>
    </row>
    <row r="997" spans="1:10" ht="45">
      <c r="A997" s="22" t="s">
        <v>891</v>
      </c>
      <c r="B997" s="26" t="s">
        <v>836</v>
      </c>
      <c r="C997" s="569" t="s">
        <v>24496</v>
      </c>
      <c r="D997" s="569">
        <v>29.58</v>
      </c>
      <c r="E997" s="569">
        <v>4</v>
      </c>
      <c r="F997" s="569" t="s">
        <v>24487</v>
      </c>
      <c r="G997" s="73">
        <v>80000</v>
      </c>
      <c r="H997" s="569">
        <v>1</v>
      </c>
      <c r="I997" s="569" t="s">
        <v>24488</v>
      </c>
      <c r="J997" s="531">
        <v>80000</v>
      </c>
    </row>
    <row r="998" spans="1:10" ht="45">
      <c r="A998" s="22" t="s">
        <v>891</v>
      </c>
      <c r="B998" s="26" t="s">
        <v>836</v>
      </c>
      <c r="C998" s="569" t="s">
        <v>24497</v>
      </c>
      <c r="D998" s="569">
        <v>29.58</v>
      </c>
      <c r="E998" s="569">
        <v>4</v>
      </c>
      <c r="F998" s="569" t="s">
        <v>24487</v>
      </c>
      <c r="G998" s="73">
        <v>80000</v>
      </c>
      <c r="H998" s="569">
        <v>1</v>
      </c>
      <c r="I998" s="569" t="s">
        <v>24488</v>
      </c>
      <c r="J998" s="531">
        <v>80000</v>
      </c>
    </row>
    <row r="999" spans="1:10" ht="45">
      <c r="A999" s="22" t="s">
        <v>891</v>
      </c>
      <c r="B999" s="26" t="s">
        <v>24498</v>
      </c>
      <c r="C999" s="569" t="s">
        <v>24499</v>
      </c>
      <c r="D999" s="569">
        <v>29.58</v>
      </c>
      <c r="E999" s="569">
        <v>5</v>
      </c>
      <c r="F999" s="569" t="s">
        <v>24487</v>
      </c>
      <c r="G999" s="73">
        <v>80000</v>
      </c>
      <c r="H999" s="569">
        <v>1</v>
      </c>
      <c r="I999" s="569" t="s">
        <v>24488</v>
      </c>
      <c r="J999" s="531">
        <v>80000</v>
      </c>
    </row>
    <row r="1000" spans="1:10" ht="45">
      <c r="A1000" s="22" t="s">
        <v>891</v>
      </c>
      <c r="B1000" s="26" t="s">
        <v>24498</v>
      </c>
      <c r="C1000" s="569" t="s">
        <v>24500</v>
      </c>
      <c r="D1000" s="569">
        <v>29.58</v>
      </c>
      <c r="E1000" s="569">
        <v>6</v>
      </c>
      <c r="F1000" s="569" t="s">
        <v>24487</v>
      </c>
      <c r="G1000" s="73">
        <v>80000</v>
      </c>
      <c r="H1000" s="569">
        <v>1</v>
      </c>
      <c r="I1000" s="569" t="s">
        <v>24488</v>
      </c>
      <c r="J1000" s="531">
        <v>80000</v>
      </c>
    </row>
    <row r="1001" spans="1:10" ht="45">
      <c r="A1001" s="22" t="s">
        <v>891</v>
      </c>
      <c r="B1001" s="26" t="s">
        <v>24498</v>
      </c>
      <c r="C1001" s="569" t="s">
        <v>24501</v>
      </c>
      <c r="D1001" s="569">
        <v>29.58</v>
      </c>
      <c r="E1001" s="569">
        <v>6</v>
      </c>
      <c r="F1001" s="569" t="s">
        <v>24487</v>
      </c>
      <c r="G1001" s="73">
        <v>80000</v>
      </c>
      <c r="H1001" s="569">
        <v>1</v>
      </c>
      <c r="I1001" s="569" t="s">
        <v>24488</v>
      </c>
      <c r="J1001" s="531">
        <v>80000</v>
      </c>
    </row>
    <row r="1002" spans="1:10" ht="45">
      <c r="A1002" s="22" t="s">
        <v>891</v>
      </c>
      <c r="B1002" s="26" t="s">
        <v>24498</v>
      </c>
      <c r="C1002" s="569" t="s">
        <v>24502</v>
      </c>
      <c r="D1002" s="569">
        <v>29.58</v>
      </c>
      <c r="E1002" s="569">
        <v>6</v>
      </c>
      <c r="F1002" s="569" t="s">
        <v>24487</v>
      </c>
      <c r="G1002" s="73">
        <v>80000</v>
      </c>
      <c r="H1002" s="569">
        <v>1</v>
      </c>
      <c r="I1002" s="569" t="s">
        <v>24488</v>
      </c>
      <c r="J1002" s="531">
        <v>80000</v>
      </c>
    </row>
    <row r="1003" spans="1:10" ht="45">
      <c r="A1003" s="22" t="s">
        <v>24490</v>
      </c>
      <c r="B1003" s="26" t="s">
        <v>1674</v>
      </c>
      <c r="C1003" s="569" t="s">
        <v>24503</v>
      </c>
      <c r="D1003" s="569">
        <v>3.67</v>
      </c>
      <c r="E1003" s="569">
        <v>5</v>
      </c>
      <c r="F1003" s="569" t="s">
        <v>23623</v>
      </c>
      <c r="G1003" s="73">
        <v>250000</v>
      </c>
      <c r="H1003" s="569">
        <v>1</v>
      </c>
      <c r="I1003" s="569" t="s">
        <v>23584</v>
      </c>
      <c r="J1003" s="531">
        <v>159317.01</v>
      </c>
    </row>
    <row r="1004" spans="1:10" ht="45">
      <c r="A1004" s="22" t="s">
        <v>1127</v>
      </c>
      <c r="B1004" s="26" t="s">
        <v>24492</v>
      </c>
      <c r="C1004" s="569" t="s">
        <v>24504</v>
      </c>
      <c r="D1004" s="569">
        <v>10.805</v>
      </c>
      <c r="E1004" s="569">
        <v>5</v>
      </c>
      <c r="F1004" s="569" t="s">
        <v>23623</v>
      </c>
      <c r="G1004" s="73">
        <v>120000</v>
      </c>
      <c r="H1004" s="569">
        <v>1</v>
      </c>
      <c r="I1004" s="569" t="s">
        <v>23584</v>
      </c>
      <c r="J1004" s="531">
        <v>136295.32999999999</v>
      </c>
    </row>
    <row r="1005" spans="1:10" ht="33.75">
      <c r="A1005" s="22" t="s">
        <v>24505</v>
      </c>
      <c r="B1005" s="26" t="s">
        <v>24506</v>
      </c>
      <c r="C1005" s="569" t="s">
        <v>24507</v>
      </c>
      <c r="D1005" s="569">
        <v>4.17</v>
      </c>
      <c r="E1005" s="569">
        <v>4</v>
      </c>
      <c r="F1005" s="569" t="s">
        <v>23623</v>
      </c>
      <c r="G1005" s="73">
        <v>120000</v>
      </c>
      <c r="H1005" s="569">
        <v>1</v>
      </c>
      <c r="I1005" s="569" t="s">
        <v>23584</v>
      </c>
      <c r="J1005" s="531">
        <v>120001</v>
      </c>
    </row>
    <row r="1006" spans="1:10" ht="33.75">
      <c r="A1006" s="22" t="s">
        <v>24505</v>
      </c>
      <c r="B1006" s="26" t="s">
        <v>24506</v>
      </c>
      <c r="C1006" s="569" t="s">
        <v>24508</v>
      </c>
      <c r="D1006" s="569">
        <v>4.17</v>
      </c>
      <c r="E1006" s="569">
        <v>4</v>
      </c>
      <c r="F1006" s="569" t="s">
        <v>23623</v>
      </c>
      <c r="G1006" s="73">
        <v>120000</v>
      </c>
      <c r="H1006" s="569">
        <v>1</v>
      </c>
      <c r="I1006" s="569" t="s">
        <v>23584</v>
      </c>
      <c r="J1006" s="531">
        <v>120001</v>
      </c>
    </row>
    <row r="1007" spans="1:10" ht="45">
      <c r="A1007" s="22" t="s">
        <v>24492</v>
      </c>
      <c r="B1007" s="26" t="s">
        <v>24506</v>
      </c>
      <c r="C1007" s="569" t="s">
        <v>24509</v>
      </c>
      <c r="D1007" s="569">
        <v>4.17</v>
      </c>
      <c r="E1007" s="569">
        <v>7</v>
      </c>
      <c r="F1007" s="569" t="s">
        <v>24510</v>
      </c>
      <c r="G1007" s="73">
        <v>1800000</v>
      </c>
      <c r="H1007" s="569">
        <v>1</v>
      </c>
      <c r="I1007" s="569" t="s">
        <v>24511</v>
      </c>
      <c r="J1007" s="531">
        <v>1800000</v>
      </c>
    </row>
    <row r="1008" spans="1:10" ht="33.75">
      <c r="A1008" s="22" t="s">
        <v>1112</v>
      </c>
      <c r="B1008" s="26" t="s">
        <v>1112</v>
      </c>
      <c r="C1008" s="569" t="s">
        <v>24512</v>
      </c>
      <c r="D1008" s="569">
        <v>4.5650000000000004</v>
      </c>
      <c r="E1008" s="569">
        <v>0</v>
      </c>
      <c r="F1008" s="569" t="s">
        <v>24513</v>
      </c>
      <c r="G1008" s="73">
        <v>0</v>
      </c>
      <c r="H1008" s="569">
        <v>0</v>
      </c>
      <c r="I1008" s="569" t="s">
        <v>23609</v>
      </c>
      <c r="J1008" s="531">
        <v>454272</v>
      </c>
    </row>
    <row r="1009" spans="1:10" ht="33.75">
      <c r="A1009" s="22" t="s">
        <v>1112</v>
      </c>
      <c r="B1009" s="26" t="s">
        <v>1112</v>
      </c>
      <c r="C1009" s="569" t="s">
        <v>24514</v>
      </c>
      <c r="D1009" s="569">
        <v>4.5650000000000004</v>
      </c>
      <c r="E1009" s="569">
        <v>0</v>
      </c>
      <c r="F1009" s="569" t="s">
        <v>23608</v>
      </c>
      <c r="G1009" s="73">
        <v>0</v>
      </c>
      <c r="H1009" s="569">
        <v>0</v>
      </c>
      <c r="I1009" s="569" t="s">
        <v>23609</v>
      </c>
      <c r="J1009" s="531">
        <v>454272</v>
      </c>
    </row>
    <row r="1010" spans="1:10" ht="33.75">
      <c r="A1010" s="22" t="s">
        <v>1764</v>
      </c>
      <c r="B1010" s="26" t="s">
        <v>1764</v>
      </c>
      <c r="C1010" s="569" t="s">
        <v>24515</v>
      </c>
      <c r="D1010" s="569">
        <v>18.664999999999999</v>
      </c>
      <c r="E1010" s="569">
        <v>0</v>
      </c>
      <c r="F1010" s="569" t="s">
        <v>23608</v>
      </c>
      <c r="G1010" s="73">
        <v>0</v>
      </c>
      <c r="H1010" s="569">
        <v>0</v>
      </c>
      <c r="I1010" s="569" t="s">
        <v>23609</v>
      </c>
      <c r="J1010" s="531">
        <v>3833990.55</v>
      </c>
    </row>
    <row r="1011" spans="1:10" ht="33.75">
      <c r="A1011" s="22" t="s">
        <v>1764</v>
      </c>
      <c r="B1011" s="26" t="s">
        <v>1764</v>
      </c>
      <c r="C1011" s="569" t="s">
        <v>24516</v>
      </c>
      <c r="D1011" s="569">
        <v>18.664999999999999</v>
      </c>
      <c r="E1011" s="569">
        <v>0</v>
      </c>
      <c r="F1011" s="569" t="s">
        <v>23608</v>
      </c>
      <c r="G1011" s="73">
        <v>0</v>
      </c>
      <c r="H1011" s="569">
        <v>0</v>
      </c>
      <c r="I1011" s="569" t="s">
        <v>23609</v>
      </c>
      <c r="J1011" s="531">
        <v>715478.4</v>
      </c>
    </row>
    <row r="1012" spans="1:10" ht="33.75">
      <c r="A1012" s="22" t="s">
        <v>1764</v>
      </c>
      <c r="B1012" s="26" t="s">
        <v>1764</v>
      </c>
      <c r="C1012" s="569" t="s">
        <v>24517</v>
      </c>
      <c r="D1012" s="569">
        <v>18.664999999999999</v>
      </c>
      <c r="E1012" s="569">
        <v>0</v>
      </c>
      <c r="F1012" s="569" t="s">
        <v>23996</v>
      </c>
      <c r="G1012" s="73">
        <v>0</v>
      </c>
      <c r="H1012" s="569">
        <v>0</v>
      </c>
      <c r="I1012" s="569">
        <v>0</v>
      </c>
      <c r="J1012" s="531">
        <v>715478.4</v>
      </c>
    </row>
    <row r="1013" spans="1:10" ht="33.75">
      <c r="A1013" s="22" t="s">
        <v>1764</v>
      </c>
      <c r="B1013" s="26" t="s">
        <v>1764</v>
      </c>
      <c r="C1013" s="569" t="s">
        <v>24518</v>
      </c>
      <c r="D1013" s="569">
        <v>18.664999999999999</v>
      </c>
      <c r="E1013" s="569">
        <v>0</v>
      </c>
      <c r="F1013" s="569" t="s">
        <v>24519</v>
      </c>
      <c r="G1013" s="73">
        <v>0</v>
      </c>
      <c r="H1013" s="569">
        <v>0</v>
      </c>
      <c r="I1013" s="569" t="s">
        <v>24520</v>
      </c>
      <c r="J1013" s="531">
        <v>0</v>
      </c>
    </row>
    <row r="1014" spans="1:10" ht="15.75">
      <c r="A1014" s="1013" t="s">
        <v>189</v>
      </c>
      <c r="B1014" s="1014"/>
      <c r="C1014" s="1014"/>
      <c r="D1014" s="1014"/>
      <c r="E1014" s="1014"/>
      <c r="F1014" s="1014"/>
      <c r="G1014" s="550">
        <f>SUM(G975:G1013)</f>
        <v>5801770.7884</v>
      </c>
      <c r="H1014" s="564"/>
      <c r="I1014" s="564"/>
      <c r="J1014" s="626">
        <f>SUM(J975:J1013)</f>
        <v>4254085016.638401</v>
      </c>
    </row>
    <row r="1015" spans="1:10" ht="15.75">
      <c r="A1015" s="1013" t="s">
        <v>6445</v>
      </c>
      <c r="B1015" s="1014"/>
      <c r="C1015" s="1014"/>
      <c r="D1015" s="1014"/>
      <c r="E1015" s="1014"/>
      <c r="F1015" s="1014"/>
      <c r="G1015" s="1014"/>
      <c r="H1015" s="1014"/>
      <c r="I1015" s="1014"/>
      <c r="J1015" s="1015"/>
    </row>
    <row r="1016" spans="1:10" ht="127.5">
      <c r="A1016" s="638" t="s">
        <v>6446</v>
      </c>
      <c r="B1016" s="284" t="s">
        <v>6447</v>
      </c>
      <c r="C1016" s="284" t="s">
        <v>6448</v>
      </c>
      <c r="D1016" s="284">
        <v>60</v>
      </c>
      <c r="E1016" s="284">
        <v>4</v>
      </c>
      <c r="F1016" s="284" t="s">
        <v>6449</v>
      </c>
      <c r="G1016" s="401">
        <f>(D1016*E1016)*155000</f>
        <v>37200000</v>
      </c>
      <c r="H1016" s="284" t="s">
        <v>30</v>
      </c>
      <c r="I1016" s="284" t="s">
        <v>6450</v>
      </c>
      <c r="J1016" s="639">
        <v>10377360</v>
      </c>
    </row>
    <row r="1017" spans="1:10" ht="114.75">
      <c r="A1017" s="638" t="s">
        <v>6451</v>
      </c>
      <c r="B1017" s="284" t="s">
        <v>6452</v>
      </c>
      <c r="C1017" s="284" t="s">
        <v>6453</v>
      </c>
      <c r="D1017" s="284">
        <v>50</v>
      </c>
      <c r="E1017" s="284">
        <v>4</v>
      </c>
      <c r="F1017" s="284" t="s">
        <v>6454</v>
      </c>
      <c r="G1017" s="401">
        <f>(D1017*E1017)*155000</f>
        <v>31000000</v>
      </c>
      <c r="H1017" s="284" t="s">
        <v>30</v>
      </c>
      <c r="I1017" s="284" t="s">
        <v>6455</v>
      </c>
      <c r="J1017" s="639">
        <v>154425000</v>
      </c>
    </row>
    <row r="1018" spans="1:10" ht="45">
      <c r="A1018" s="22" t="s">
        <v>84</v>
      </c>
      <c r="B1018" s="26" t="s">
        <v>84</v>
      </c>
      <c r="C1018" s="569" t="s">
        <v>23924</v>
      </c>
      <c r="D1018" s="569">
        <v>7.06</v>
      </c>
      <c r="E1018" s="569">
        <v>0</v>
      </c>
      <c r="F1018" s="569" t="s">
        <v>23608</v>
      </c>
      <c r="G1018" s="73">
        <v>0</v>
      </c>
      <c r="H1018" s="569">
        <v>0</v>
      </c>
      <c r="I1018" s="569" t="s">
        <v>23609</v>
      </c>
      <c r="J1018" s="531">
        <v>454272</v>
      </c>
    </row>
    <row r="1019" spans="1:10" ht="33.75">
      <c r="A1019" s="22" t="s">
        <v>84</v>
      </c>
      <c r="B1019" s="26" t="s">
        <v>84</v>
      </c>
      <c r="C1019" s="569" t="s">
        <v>23925</v>
      </c>
      <c r="D1019" s="569">
        <v>4.3499999999999996</v>
      </c>
      <c r="E1019" s="569">
        <v>0</v>
      </c>
      <c r="F1019" s="569" t="s">
        <v>23608</v>
      </c>
      <c r="G1019" s="73">
        <v>0</v>
      </c>
      <c r="H1019" s="569">
        <v>0</v>
      </c>
      <c r="I1019" s="569" t="s">
        <v>23609</v>
      </c>
      <c r="J1019" s="531">
        <v>715478.4</v>
      </c>
    </row>
    <row r="1020" spans="1:10">
      <c r="A1020" s="640"/>
      <c r="B1020" s="377"/>
      <c r="C1020" s="377"/>
      <c r="D1020" s="377"/>
      <c r="E1020" s="272"/>
      <c r="F1020" s="377"/>
      <c r="G1020" s="493"/>
      <c r="H1020" s="377"/>
      <c r="I1020" s="377"/>
      <c r="J1020" s="641"/>
    </row>
    <row r="1021" spans="1:10" ht="15.75">
      <c r="A1021" s="1013" t="s">
        <v>6444</v>
      </c>
      <c r="B1021" s="1014"/>
      <c r="C1021" s="1014"/>
      <c r="D1021" s="1014"/>
      <c r="E1021" s="1014"/>
      <c r="F1021" s="1014"/>
      <c r="G1021" s="550">
        <f>SUM(G1016:G1020)</f>
        <v>68200000</v>
      </c>
      <c r="H1021" s="564"/>
      <c r="I1021" s="564"/>
      <c r="J1021" s="626">
        <f>SUM(J1016:J1020)</f>
        <v>165972110.40000001</v>
      </c>
    </row>
    <row r="1022" spans="1:10" ht="15.75">
      <c r="A1022" s="1013" t="s">
        <v>6456</v>
      </c>
      <c r="B1022" s="1014"/>
      <c r="C1022" s="1014"/>
      <c r="D1022" s="1014"/>
      <c r="E1022" s="1014"/>
      <c r="F1022" s="1014"/>
      <c r="G1022" s="1014"/>
      <c r="H1022" s="1014"/>
      <c r="I1022" s="1014"/>
      <c r="J1022" s="1015"/>
    </row>
    <row r="1023" spans="1:10" ht="33.75">
      <c r="A1023" s="22" t="s">
        <v>23637</v>
      </c>
      <c r="B1023" s="26" t="s">
        <v>23637</v>
      </c>
      <c r="C1023" s="569" t="s">
        <v>24439</v>
      </c>
      <c r="D1023" s="569">
        <v>3.9950000000000001</v>
      </c>
      <c r="E1023" s="569">
        <v>6.5</v>
      </c>
      <c r="F1023" s="569" t="s">
        <v>23890</v>
      </c>
      <c r="G1023" s="73">
        <v>2000000</v>
      </c>
      <c r="H1023" s="569">
        <v>1</v>
      </c>
      <c r="I1023" s="569" t="s">
        <v>24440</v>
      </c>
      <c r="J1023" s="531">
        <v>4000000</v>
      </c>
    </row>
    <row r="1024" spans="1:10" ht="33.75">
      <c r="A1024" s="22" t="s">
        <v>23637</v>
      </c>
      <c r="B1024" s="26" t="s">
        <v>23637</v>
      </c>
      <c r="C1024" s="569" t="s">
        <v>24441</v>
      </c>
      <c r="D1024" s="569">
        <v>8.2200000000000006</v>
      </c>
      <c r="E1024" s="569">
        <v>6.5</v>
      </c>
      <c r="F1024" s="569" t="s">
        <v>23890</v>
      </c>
      <c r="G1024" s="73">
        <v>1000000</v>
      </c>
      <c r="H1024" s="569">
        <v>1</v>
      </c>
      <c r="I1024" s="569" t="s">
        <v>24440</v>
      </c>
      <c r="J1024" s="531">
        <v>2000000</v>
      </c>
    </row>
    <row r="1025" spans="1:10" ht="33.75">
      <c r="A1025" s="22" t="s">
        <v>24442</v>
      </c>
      <c r="B1025" s="26" t="s">
        <v>24442</v>
      </c>
      <c r="C1025" s="569" t="s">
        <v>24443</v>
      </c>
      <c r="D1025" s="569">
        <v>3.9950000000000001</v>
      </c>
      <c r="E1025" s="569">
        <v>0</v>
      </c>
      <c r="F1025" s="569" t="s">
        <v>23868</v>
      </c>
      <c r="G1025" s="73" t="s">
        <v>3307</v>
      </c>
      <c r="H1025" s="569">
        <v>2</v>
      </c>
      <c r="I1025" s="569" t="s">
        <v>23869</v>
      </c>
      <c r="J1025" s="531">
        <v>208000</v>
      </c>
    </row>
    <row r="1026" spans="1:10" ht="56.25">
      <c r="A1026" s="22" t="s">
        <v>24444</v>
      </c>
      <c r="B1026" s="26" t="s">
        <v>24445</v>
      </c>
      <c r="C1026" s="569" t="s">
        <v>24446</v>
      </c>
      <c r="D1026" s="569">
        <v>3.9950000000000001</v>
      </c>
      <c r="E1026" s="569">
        <v>0</v>
      </c>
      <c r="F1026" s="569" t="s">
        <v>23890</v>
      </c>
      <c r="G1026" s="73">
        <v>1250000</v>
      </c>
      <c r="H1026" s="569">
        <v>0</v>
      </c>
      <c r="I1026" s="569" t="s">
        <v>24101</v>
      </c>
      <c r="J1026" s="531">
        <v>2000000</v>
      </c>
    </row>
    <row r="1027" spans="1:10" ht="56.25">
      <c r="A1027" s="22" t="s">
        <v>23637</v>
      </c>
      <c r="B1027" s="26" t="s">
        <v>24447</v>
      </c>
      <c r="C1027" s="569" t="s">
        <v>24448</v>
      </c>
      <c r="D1027" s="569">
        <v>3.9950000000000001</v>
      </c>
      <c r="E1027" s="569">
        <v>0</v>
      </c>
      <c r="F1027" s="569" t="s">
        <v>23890</v>
      </c>
      <c r="G1027" s="73">
        <v>0</v>
      </c>
      <c r="H1027" s="569">
        <v>0</v>
      </c>
      <c r="I1027" s="569" t="s">
        <v>23891</v>
      </c>
      <c r="J1027" s="531">
        <v>500000</v>
      </c>
    </row>
    <row r="1028" spans="1:10" ht="56.25">
      <c r="A1028" s="22" t="s">
        <v>23637</v>
      </c>
      <c r="B1028" s="26" t="s">
        <v>23637</v>
      </c>
      <c r="C1028" s="569" t="s">
        <v>24449</v>
      </c>
      <c r="D1028" s="569">
        <v>3.9950000000000001</v>
      </c>
      <c r="E1028" s="569">
        <v>0</v>
      </c>
      <c r="F1028" s="569" t="s">
        <v>24450</v>
      </c>
      <c r="G1028" s="73">
        <v>0</v>
      </c>
      <c r="H1028" s="569">
        <v>1</v>
      </c>
      <c r="I1028" s="569">
        <v>0</v>
      </c>
      <c r="J1028" s="531">
        <v>60000000</v>
      </c>
    </row>
    <row r="1029" spans="1:10" ht="15.75">
      <c r="A1029" s="1013" t="s">
        <v>6444</v>
      </c>
      <c r="B1029" s="1014"/>
      <c r="C1029" s="1014"/>
      <c r="D1029" s="1014"/>
      <c r="E1029" s="1014"/>
      <c r="F1029" s="1014"/>
      <c r="G1029" s="550">
        <f>SUM(G1023:G1028)</f>
        <v>4250000</v>
      </c>
      <c r="H1029" s="564"/>
      <c r="I1029" s="564"/>
      <c r="J1029" s="626">
        <f>SUM(J1023:J1028)</f>
        <v>68708000</v>
      </c>
    </row>
    <row r="1030" spans="1:10" ht="15.75">
      <c r="A1030" s="1013" t="s">
        <v>6457</v>
      </c>
      <c r="B1030" s="1014"/>
      <c r="C1030" s="1014"/>
      <c r="D1030" s="1014"/>
      <c r="E1030" s="1014"/>
      <c r="F1030" s="1014"/>
      <c r="G1030" s="1014"/>
      <c r="H1030" s="1014"/>
      <c r="I1030" s="1014"/>
      <c r="J1030" s="1015"/>
    </row>
    <row r="1031" spans="1:10" ht="33.75">
      <c r="A1031" s="22" t="s">
        <v>3961</v>
      </c>
      <c r="B1031" s="26" t="s">
        <v>23637</v>
      </c>
      <c r="C1031" s="569" t="s">
        <v>23638</v>
      </c>
      <c r="D1031" s="569">
        <v>9.34</v>
      </c>
      <c r="E1031" s="569">
        <v>4</v>
      </c>
      <c r="F1031" s="569" t="s">
        <v>23586</v>
      </c>
      <c r="G1031" s="73">
        <v>450000</v>
      </c>
      <c r="H1031" s="569">
        <v>1</v>
      </c>
      <c r="I1031" s="569" t="s">
        <v>23584</v>
      </c>
      <c r="J1031" s="531">
        <v>450000</v>
      </c>
    </row>
    <row r="1032" spans="1:10" ht="45">
      <c r="A1032" s="22" t="s">
        <v>23639</v>
      </c>
      <c r="B1032" s="26" t="s">
        <v>23640</v>
      </c>
      <c r="C1032" s="569" t="s">
        <v>23641</v>
      </c>
      <c r="D1032" s="569">
        <v>9.34</v>
      </c>
      <c r="E1032" s="569">
        <v>9</v>
      </c>
      <c r="F1032" s="569" t="s">
        <v>23583</v>
      </c>
      <c r="G1032" s="73">
        <v>650000</v>
      </c>
      <c r="H1032" s="569">
        <v>1</v>
      </c>
      <c r="I1032" s="569" t="s">
        <v>23584</v>
      </c>
      <c r="J1032" s="531">
        <v>650000</v>
      </c>
    </row>
    <row r="1033" spans="1:10" ht="45">
      <c r="A1033" s="22" t="s">
        <v>4026</v>
      </c>
      <c r="B1033" s="26">
        <v>0</v>
      </c>
      <c r="C1033" s="569" t="s">
        <v>23642</v>
      </c>
      <c r="D1033" s="569">
        <v>2.9049999999999998</v>
      </c>
      <c r="E1033" s="569">
        <v>7</v>
      </c>
      <c r="F1033" s="569" t="s">
        <v>23583</v>
      </c>
      <c r="G1033" s="73">
        <v>650000</v>
      </c>
      <c r="H1033" s="569">
        <v>1</v>
      </c>
      <c r="I1033" s="569" t="s">
        <v>23584</v>
      </c>
      <c r="J1033" s="531">
        <v>650000</v>
      </c>
    </row>
    <row r="1034" spans="1:10" ht="45">
      <c r="A1034" s="22" t="s">
        <v>23643</v>
      </c>
      <c r="B1034" s="26" t="s">
        <v>4824</v>
      </c>
      <c r="C1034" s="569" t="s">
        <v>23644</v>
      </c>
      <c r="D1034" s="569">
        <v>4.5599999999999996</v>
      </c>
      <c r="E1034" s="569">
        <v>5</v>
      </c>
      <c r="F1034" s="569" t="s">
        <v>23596</v>
      </c>
      <c r="G1034" s="73">
        <v>250000</v>
      </c>
      <c r="H1034" s="569">
        <v>1</v>
      </c>
      <c r="I1034" s="569" t="s">
        <v>23584</v>
      </c>
      <c r="J1034" s="531">
        <v>250000</v>
      </c>
    </row>
    <row r="1035" spans="1:10" ht="45">
      <c r="A1035" s="22" t="s">
        <v>23643</v>
      </c>
      <c r="B1035" s="26" t="s">
        <v>4824</v>
      </c>
      <c r="C1035" s="569" t="s">
        <v>23645</v>
      </c>
      <c r="D1035" s="569">
        <v>4.5599999999999996</v>
      </c>
      <c r="E1035" s="569">
        <v>5</v>
      </c>
      <c r="F1035" s="569" t="s">
        <v>23596</v>
      </c>
      <c r="G1035" s="73">
        <v>250000</v>
      </c>
      <c r="H1035" s="569">
        <v>1</v>
      </c>
      <c r="I1035" s="569" t="s">
        <v>23584</v>
      </c>
      <c r="J1035" s="531">
        <v>250000</v>
      </c>
    </row>
    <row r="1036" spans="1:10" ht="45">
      <c r="A1036" s="22" t="s">
        <v>23646</v>
      </c>
      <c r="B1036" s="26" t="s">
        <v>4824</v>
      </c>
      <c r="C1036" s="569" t="s">
        <v>23647</v>
      </c>
      <c r="D1036" s="569">
        <v>2.37</v>
      </c>
      <c r="E1036" s="569">
        <v>30</v>
      </c>
      <c r="F1036" s="569" t="s">
        <v>23648</v>
      </c>
      <c r="G1036" s="73" t="s">
        <v>4801</v>
      </c>
      <c r="H1036" s="569">
        <v>1</v>
      </c>
      <c r="I1036" s="569" t="s">
        <v>23649</v>
      </c>
      <c r="J1036" s="531" t="s">
        <v>4801</v>
      </c>
    </row>
    <row r="1037" spans="1:10" ht="45">
      <c r="A1037" s="22" t="s">
        <v>4026</v>
      </c>
      <c r="B1037" s="26" t="s">
        <v>23650</v>
      </c>
      <c r="C1037" s="569" t="s">
        <v>23651</v>
      </c>
      <c r="D1037" s="569">
        <v>2.9049999999999998</v>
      </c>
      <c r="E1037" s="569">
        <v>20</v>
      </c>
      <c r="F1037" s="569" t="s">
        <v>23586</v>
      </c>
      <c r="G1037" s="73">
        <v>250000</v>
      </c>
      <c r="H1037" s="569">
        <v>1</v>
      </c>
      <c r="I1037" s="569" t="s">
        <v>23584</v>
      </c>
      <c r="J1037" s="531">
        <v>250000</v>
      </c>
    </row>
    <row r="1038" spans="1:10" ht="45">
      <c r="A1038" s="22" t="s">
        <v>23639</v>
      </c>
      <c r="B1038" s="26" t="s">
        <v>23640</v>
      </c>
      <c r="C1038" s="569" t="s">
        <v>23652</v>
      </c>
      <c r="D1038" s="569">
        <v>9.34</v>
      </c>
      <c r="E1038" s="569">
        <v>10</v>
      </c>
      <c r="F1038" s="569" t="s">
        <v>23586</v>
      </c>
      <c r="G1038" s="73">
        <v>450000</v>
      </c>
      <c r="H1038" s="569">
        <v>1</v>
      </c>
      <c r="I1038" s="569" t="s">
        <v>23653</v>
      </c>
      <c r="J1038" s="531">
        <v>450000</v>
      </c>
    </row>
    <row r="1039" spans="1:10" ht="45">
      <c r="A1039" s="22" t="s">
        <v>4026</v>
      </c>
      <c r="B1039" s="26" t="s">
        <v>23650</v>
      </c>
      <c r="C1039" s="569" t="s">
        <v>23654</v>
      </c>
      <c r="D1039" s="569">
        <v>6.19</v>
      </c>
      <c r="E1039" s="569">
        <v>5</v>
      </c>
      <c r="F1039" s="569" t="s">
        <v>23655</v>
      </c>
      <c r="G1039" s="73">
        <v>45000</v>
      </c>
      <c r="H1039" s="569">
        <v>1</v>
      </c>
      <c r="I1039" s="569" t="s">
        <v>23656</v>
      </c>
      <c r="J1039" s="531">
        <v>45000</v>
      </c>
    </row>
    <row r="1040" spans="1:10">
      <c r="A1040" s="22">
        <v>0</v>
      </c>
      <c r="B1040" s="26">
        <v>0</v>
      </c>
      <c r="C1040" s="569" t="s">
        <v>23657</v>
      </c>
      <c r="D1040" s="569">
        <v>6.19</v>
      </c>
      <c r="E1040" s="569">
        <v>0</v>
      </c>
      <c r="F1040" s="569">
        <v>0</v>
      </c>
      <c r="G1040" s="73">
        <v>0</v>
      </c>
      <c r="H1040" s="569">
        <v>0</v>
      </c>
      <c r="I1040" s="569">
        <v>0</v>
      </c>
      <c r="J1040" s="531">
        <v>0</v>
      </c>
    </row>
    <row r="1041" spans="1:10">
      <c r="A1041" s="640"/>
      <c r="B1041" s="377"/>
      <c r="C1041" s="377"/>
      <c r="D1041" s="377"/>
      <c r="E1041" s="272"/>
      <c r="F1041" s="377"/>
      <c r="G1041" s="493"/>
      <c r="H1041" s="377"/>
      <c r="I1041" s="377"/>
      <c r="J1041" s="641"/>
    </row>
    <row r="1042" spans="1:10" ht="15.75">
      <c r="A1042" s="1013" t="s">
        <v>6444</v>
      </c>
      <c r="B1042" s="1014"/>
      <c r="C1042" s="1014"/>
      <c r="D1042" s="1014"/>
      <c r="E1042" s="1014"/>
      <c r="F1042" s="1014"/>
      <c r="G1042" s="550">
        <f>SUM(G1031:G1041)</f>
        <v>2995000</v>
      </c>
      <c r="H1042" s="564"/>
      <c r="I1042" s="564"/>
      <c r="J1042" s="626">
        <f>SUM(J1031:J1041)</f>
        <v>2995000</v>
      </c>
    </row>
    <row r="1043" spans="1:10" ht="15.75">
      <c r="A1043" s="1013" t="s">
        <v>6458</v>
      </c>
      <c r="B1043" s="1014"/>
      <c r="C1043" s="1014"/>
      <c r="D1043" s="1014"/>
      <c r="E1043" s="1014"/>
      <c r="F1043" s="1014"/>
      <c r="G1043" s="1014"/>
      <c r="H1043" s="1014"/>
      <c r="I1043" s="1014"/>
      <c r="J1043" s="1015"/>
    </row>
    <row r="1044" spans="1:10" ht="51">
      <c r="A1044" s="638" t="s">
        <v>938</v>
      </c>
      <c r="B1044" s="377" t="s">
        <v>6459</v>
      </c>
      <c r="C1044" s="377" t="s">
        <v>6460</v>
      </c>
      <c r="D1044" s="377">
        <v>1</v>
      </c>
      <c r="E1044" s="272">
        <v>5</v>
      </c>
      <c r="F1044" s="377" t="s">
        <v>6461</v>
      </c>
      <c r="G1044" s="493">
        <v>6000000</v>
      </c>
      <c r="H1044" s="377" t="s">
        <v>4572</v>
      </c>
      <c r="I1044" s="377" t="s">
        <v>6462</v>
      </c>
      <c r="J1044" s="641">
        <v>17300000</v>
      </c>
    </row>
    <row r="1045" spans="1:10">
      <c r="A1045" s="638" t="s">
        <v>4161</v>
      </c>
      <c r="B1045" s="377" t="s">
        <v>3476</v>
      </c>
      <c r="C1045" s="377" t="s">
        <v>6463</v>
      </c>
      <c r="D1045" s="377"/>
      <c r="E1045" s="272"/>
      <c r="F1045" s="377" t="s">
        <v>6464</v>
      </c>
      <c r="G1045" s="493">
        <v>500000</v>
      </c>
      <c r="H1045" s="377" t="s">
        <v>6465</v>
      </c>
      <c r="I1045" s="377" t="s">
        <v>6466</v>
      </c>
      <c r="J1045" s="641">
        <v>1700000</v>
      </c>
    </row>
    <row r="1046" spans="1:10">
      <c r="A1046" s="638" t="s">
        <v>4161</v>
      </c>
      <c r="B1046" s="377" t="s">
        <v>6467</v>
      </c>
      <c r="C1046" s="377" t="s">
        <v>6468</v>
      </c>
      <c r="D1046" s="377"/>
      <c r="E1046" s="272"/>
      <c r="F1046" s="377" t="s">
        <v>6464</v>
      </c>
      <c r="G1046" s="493">
        <v>650000</v>
      </c>
      <c r="H1046" s="377" t="s">
        <v>6465</v>
      </c>
      <c r="I1046" s="377" t="s">
        <v>6466</v>
      </c>
      <c r="J1046" s="641">
        <v>2125000</v>
      </c>
    </row>
    <row r="1047" spans="1:10">
      <c r="A1047" s="638" t="s">
        <v>4161</v>
      </c>
      <c r="B1047" s="377" t="s">
        <v>6469</v>
      </c>
      <c r="C1047" s="377" t="s">
        <v>6470</v>
      </c>
      <c r="D1047" s="377"/>
      <c r="E1047" s="272"/>
      <c r="F1047" s="377" t="s">
        <v>6464</v>
      </c>
      <c r="G1047" s="493">
        <v>500000</v>
      </c>
      <c r="H1047" s="377" t="s">
        <v>6465</v>
      </c>
      <c r="I1047" s="377" t="s">
        <v>6466</v>
      </c>
      <c r="J1047" s="641">
        <v>1700000</v>
      </c>
    </row>
    <row r="1048" spans="1:10">
      <c r="A1048" s="638" t="s">
        <v>4161</v>
      </c>
      <c r="B1048" s="377" t="s">
        <v>6471</v>
      </c>
      <c r="C1048" s="377" t="s">
        <v>6472</v>
      </c>
      <c r="D1048" s="377"/>
      <c r="E1048" s="272"/>
      <c r="F1048" s="377" t="s">
        <v>6464</v>
      </c>
      <c r="G1048" s="493">
        <v>700000</v>
      </c>
      <c r="H1048" s="377" t="s">
        <v>6465</v>
      </c>
      <c r="I1048" s="377" t="s">
        <v>6466</v>
      </c>
      <c r="J1048" s="641">
        <v>2550000</v>
      </c>
    </row>
    <row r="1049" spans="1:10">
      <c r="A1049" s="638" t="s">
        <v>6473</v>
      </c>
      <c r="B1049" s="377" t="s">
        <v>6474</v>
      </c>
      <c r="C1049" s="377" t="s">
        <v>6475</v>
      </c>
      <c r="D1049" s="377"/>
      <c r="E1049" s="272"/>
      <c r="F1049" s="377" t="s">
        <v>6464</v>
      </c>
      <c r="G1049" s="493">
        <v>650000</v>
      </c>
      <c r="H1049" s="377" t="s">
        <v>6465</v>
      </c>
      <c r="I1049" s="377" t="s">
        <v>6466</v>
      </c>
      <c r="J1049" s="641">
        <v>2125000</v>
      </c>
    </row>
    <row r="1050" spans="1:10">
      <c r="A1050" s="638" t="s">
        <v>1137</v>
      </c>
      <c r="B1050" s="377" t="s">
        <v>6476</v>
      </c>
      <c r="C1050" s="377" t="s">
        <v>6477</v>
      </c>
      <c r="D1050" s="377"/>
      <c r="E1050" s="272"/>
      <c r="F1050" s="377" t="s">
        <v>6464</v>
      </c>
      <c r="G1050" s="493">
        <v>400000</v>
      </c>
      <c r="H1050" s="377" t="s">
        <v>6465</v>
      </c>
      <c r="I1050" s="377" t="s">
        <v>6466</v>
      </c>
      <c r="J1050" s="641">
        <v>1700000</v>
      </c>
    </row>
    <row r="1051" spans="1:10" ht="51">
      <c r="A1051" s="638" t="s">
        <v>6478</v>
      </c>
      <c r="B1051" s="377" t="s">
        <v>2654</v>
      </c>
      <c r="C1051" s="377" t="s">
        <v>6479</v>
      </c>
      <c r="D1051" s="377">
        <v>2.8</v>
      </c>
      <c r="E1051" s="272">
        <v>5</v>
      </c>
      <c r="F1051" s="377" t="s">
        <v>6461</v>
      </c>
      <c r="G1051" s="493">
        <v>30000000</v>
      </c>
      <c r="H1051" s="377" t="s">
        <v>4572</v>
      </c>
      <c r="I1051" s="377" t="s">
        <v>6462</v>
      </c>
      <c r="J1051" s="641">
        <v>48335000</v>
      </c>
    </row>
    <row r="1052" spans="1:10" ht="51">
      <c r="A1052" s="638" t="s">
        <v>6478</v>
      </c>
      <c r="B1052" s="377" t="s">
        <v>6480</v>
      </c>
      <c r="C1052" s="377" t="s">
        <v>6481</v>
      </c>
      <c r="D1052" s="377">
        <v>3.5</v>
      </c>
      <c r="E1052" s="272">
        <v>5</v>
      </c>
      <c r="F1052" s="377" t="s">
        <v>6461</v>
      </c>
      <c r="G1052" s="493">
        <v>37000000</v>
      </c>
      <c r="H1052" s="377" t="s">
        <v>4572</v>
      </c>
      <c r="I1052" s="377" t="s">
        <v>6462</v>
      </c>
      <c r="J1052" s="641">
        <v>60430000</v>
      </c>
    </row>
    <row r="1053" spans="1:10" ht="51">
      <c r="A1053" s="638" t="s">
        <v>6478</v>
      </c>
      <c r="B1053" s="377" t="s">
        <v>6482</v>
      </c>
      <c r="C1053" s="377" t="s">
        <v>6483</v>
      </c>
      <c r="D1053" s="377">
        <v>2</v>
      </c>
      <c r="E1053" s="272">
        <v>5</v>
      </c>
      <c r="F1053" s="377" t="s">
        <v>6461</v>
      </c>
      <c r="G1053" s="493">
        <v>20000000</v>
      </c>
      <c r="H1053" s="377" t="s">
        <v>4572</v>
      </c>
      <c r="I1053" s="377" t="s">
        <v>6462</v>
      </c>
      <c r="J1053" s="641">
        <v>34525000</v>
      </c>
    </row>
    <row r="1054" spans="1:10" ht="51">
      <c r="A1054" s="638" t="s">
        <v>6478</v>
      </c>
      <c r="B1054" s="377" t="s">
        <v>6484</v>
      </c>
      <c r="C1054" s="377" t="s">
        <v>6485</v>
      </c>
      <c r="D1054" s="377">
        <v>1.6</v>
      </c>
      <c r="E1054" s="272">
        <v>5</v>
      </c>
      <c r="F1054" s="377" t="s">
        <v>6461</v>
      </c>
      <c r="G1054" s="493">
        <v>15000000</v>
      </c>
      <c r="H1054" s="377" t="s">
        <v>4572</v>
      </c>
      <c r="I1054" s="377" t="s">
        <v>6462</v>
      </c>
      <c r="J1054" s="641">
        <v>27620000</v>
      </c>
    </row>
    <row r="1055" spans="1:10" ht="51">
      <c r="A1055" s="638" t="s">
        <v>6478</v>
      </c>
      <c r="B1055" s="377" t="s">
        <v>6486</v>
      </c>
      <c r="C1055" s="377" t="s">
        <v>6487</v>
      </c>
      <c r="D1055" s="377">
        <v>0.9</v>
      </c>
      <c r="E1055" s="272">
        <v>5</v>
      </c>
      <c r="F1055" s="377" t="s">
        <v>6461</v>
      </c>
      <c r="G1055" s="493">
        <v>9000000</v>
      </c>
      <c r="H1055" s="377" t="s">
        <v>4572</v>
      </c>
      <c r="I1055" s="377" t="s">
        <v>6462</v>
      </c>
      <c r="J1055" s="641">
        <v>15540000</v>
      </c>
    </row>
    <row r="1056" spans="1:10">
      <c r="A1056" s="638" t="s">
        <v>1137</v>
      </c>
      <c r="B1056" s="377" t="s">
        <v>6488</v>
      </c>
      <c r="C1056" s="377" t="s">
        <v>6489</v>
      </c>
      <c r="D1056" s="377"/>
      <c r="E1056" s="272"/>
      <c r="F1056" s="377" t="s">
        <v>6464</v>
      </c>
      <c r="G1056" s="493">
        <v>1000000</v>
      </c>
      <c r="H1056" s="377" t="s">
        <v>6465</v>
      </c>
      <c r="I1056" s="377" t="s">
        <v>6466</v>
      </c>
      <c r="J1056" s="641">
        <v>3400000</v>
      </c>
    </row>
    <row r="1057" spans="1:10">
      <c r="A1057" s="638" t="s">
        <v>6478</v>
      </c>
      <c r="B1057" s="377" t="s">
        <v>6490</v>
      </c>
      <c r="C1057" s="377" t="s">
        <v>6491</v>
      </c>
      <c r="D1057" s="377"/>
      <c r="E1057" s="272"/>
      <c r="F1057" s="377" t="s">
        <v>6464</v>
      </c>
      <c r="G1057" s="493">
        <v>400000</v>
      </c>
      <c r="H1057" s="377" t="s">
        <v>6465</v>
      </c>
      <c r="I1057" s="377" t="s">
        <v>6466</v>
      </c>
      <c r="J1057" s="641">
        <v>1700000</v>
      </c>
    </row>
    <row r="1058" spans="1:10">
      <c r="A1058" s="638" t="s">
        <v>938</v>
      </c>
      <c r="B1058" s="377" t="s">
        <v>6492</v>
      </c>
      <c r="C1058" s="377" t="s">
        <v>6493</v>
      </c>
      <c r="D1058" s="377"/>
      <c r="E1058" s="272"/>
      <c r="F1058" s="377" t="s">
        <v>6464</v>
      </c>
      <c r="G1058" s="493">
        <v>400000</v>
      </c>
      <c r="H1058" s="377" t="s">
        <v>6465</v>
      </c>
      <c r="I1058" s="377" t="s">
        <v>6466</v>
      </c>
      <c r="J1058" s="641">
        <v>1700000</v>
      </c>
    </row>
    <row r="1059" spans="1:10">
      <c r="A1059" s="638" t="s">
        <v>938</v>
      </c>
      <c r="B1059" s="377" t="s">
        <v>6494</v>
      </c>
      <c r="C1059" s="377" t="s">
        <v>6495</v>
      </c>
      <c r="D1059" s="377"/>
      <c r="E1059" s="272"/>
      <c r="F1059" s="377" t="s">
        <v>6464</v>
      </c>
      <c r="G1059" s="493">
        <v>400000</v>
      </c>
      <c r="H1059" s="377" t="s">
        <v>6465</v>
      </c>
      <c r="I1059" s="377" t="s">
        <v>6466</v>
      </c>
      <c r="J1059" s="641">
        <v>1700000</v>
      </c>
    </row>
    <row r="1060" spans="1:10">
      <c r="A1060" s="638" t="s">
        <v>938</v>
      </c>
      <c r="B1060" s="377" t="s">
        <v>6496</v>
      </c>
      <c r="C1060" s="377" t="s">
        <v>6497</v>
      </c>
      <c r="D1060" s="377"/>
      <c r="E1060" s="272"/>
      <c r="F1060" s="377" t="s">
        <v>6464</v>
      </c>
      <c r="G1060" s="493">
        <v>400000</v>
      </c>
      <c r="H1060" s="377" t="s">
        <v>6465</v>
      </c>
      <c r="I1060" s="377" t="s">
        <v>6466</v>
      </c>
      <c r="J1060" s="641">
        <v>1700000</v>
      </c>
    </row>
    <row r="1061" spans="1:10" ht="51">
      <c r="A1061" s="638" t="s">
        <v>1137</v>
      </c>
      <c r="B1061" s="377" t="s">
        <v>6498</v>
      </c>
      <c r="C1061" s="377" t="s">
        <v>6499</v>
      </c>
      <c r="D1061" s="377">
        <v>1.2</v>
      </c>
      <c r="E1061" s="272">
        <v>5</v>
      </c>
      <c r="F1061" s="377" t="s">
        <v>6461</v>
      </c>
      <c r="G1061" s="493">
        <v>9000000</v>
      </c>
      <c r="H1061" s="377" t="s">
        <v>4572</v>
      </c>
      <c r="I1061" s="377" t="s">
        <v>6462</v>
      </c>
      <c r="J1061" s="641">
        <v>20715000</v>
      </c>
    </row>
    <row r="1062" spans="1:10" ht="51">
      <c r="A1062" s="638" t="s">
        <v>3145</v>
      </c>
      <c r="B1062" s="377" t="s">
        <v>6500</v>
      </c>
      <c r="C1062" s="377" t="s">
        <v>6501</v>
      </c>
      <c r="D1062" s="377">
        <v>1.4</v>
      </c>
      <c r="E1062" s="272">
        <v>5</v>
      </c>
      <c r="F1062" s="377" t="s">
        <v>6461</v>
      </c>
      <c r="G1062" s="493">
        <v>110000000</v>
      </c>
      <c r="H1062" s="377" t="s">
        <v>4572</v>
      </c>
      <c r="I1062" s="377" t="s">
        <v>6462</v>
      </c>
      <c r="J1062" s="641">
        <v>24175000</v>
      </c>
    </row>
    <row r="1063" spans="1:10" ht="51">
      <c r="A1063" s="638" t="s">
        <v>4161</v>
      </c>
      <c r="B1063" s="377" t="s">
        <v>6502</v>
      </c>
      <c r="C1063" s="377" t="s">
        <v>6503</v>
      </c>
      <c r="D1063" s="377">
        <v>0.6</v>
      </c>
      <c r="E1063" s="272">
        <v>5</v>
      </c>
      <c r="F1063" s="377" t="s">
        <v>6461</v>
      </c>
      <c r="G1063" s="493">
        <v>5000000</v>
      </c>
      <c r="H1063" s="377" t="s">
        <v>4572</v>
      </c>
      <c r="I1063" s="377" t="s">
        <v>6462</v>
      </c>
      <c r="J1063" s="641">
        <v>10395000</v>
      </c>
    </row>
    <row r="1064" spans="1:10" ht="51">
      <c r="A1064" s="638" t="s">
        <v>938</v>
      </c>
      <c r="B1064" s="377" t="s">
        <v>6504</v>
      </c>
      <c r="C1064" s="377" t="s">
        <v>6505</v>
      </c>
      <c r="D1064" s="377">
        <v>0.4</v>
      </c>
      <c r="E1064" s="272">
        <v>5</v>
      </c>
      <c r="F1064" s="377" t="s">
        <v>6461</v>
      </c>
      <c r="G1064" s="493">
        <v>3000000</v>
      </c>
      <c r="H1064" s="377" t="s">
        <v>4572</v>
      </c>
      <c r="I1064" s="377" t="s">
        <v>6462</v>
      </c>
      <c r="J1064" s="641">
        <v>6905000</v>
      </c>
    </row>
    <row r="1065" spans="1:10" ht="51">
      <c r="A1065" s="638" t="s">
        <v>1846</v>
      </c>
      <c r="B1065" s="377" t="s">
        <v>6506</v>
      </c>
      <c r="C1065" s="377" t="s">
        <v>6507</v>
      </c>
      <c r="D1065" s="377">
        <v>0.7</v>
      </c>
      <c r="E1065" s="272">
        <v>5</v>
      </c>
      <c r="F1065" s="377" t="s">
        <v>6461</v>
      </c>
      <c r="G1065" s="493">
        <v>6000000</v>
      </c>
      <c r="H1065" s="377" t="s">
        <v>4572</v>
      </c>
      <c r="I1065" s="377" t="s">
        <v>6462</v>
      </c>
      <c r="J1065" s="641">
        <v>12095000</v>
      </c>
    </row>
    <row r="1066" spans="1:10" ht="51">
      <c r="A1066" s="638" t="s">
        <v>6478</v>
      </c>
      <c r="B1066" s="377" t="s">
        <v>6508</v>
      </c>
      <c r="C1066" s="377" t="s">
        <v>6509</v>
      </c>
      <c r="D1066" s="377">
        <v>1</v>
      </c>
      <c r="E1066" s="272">
        <v>5</v>
      </c>
      <c r="F1066" s="377" t="s">
        <v>6461</v>
      </c>
      <c r="G1066" s="493">
        <v>7000000</v>
      </c>
      <c r="H1066" s="377" t="s">
        <v>4572</v>
      </c>
      <c r="I1066" s="377" t="s">
        <v>6462</v>
      </c>
      <c r="J1066" s="641">
        <v>17300000</v>
      </c>
    </row>
    <row r="1067" spans="1:10" ht="51">
      <c r="A1067" s="638" t="s">
        <v>6473</v>
      </c>
      <c r="B1067" s="377" t="s">
        <v>6510</v>
      </c>
      <c r="C1067" s="377" t="s">
        <v>6511</v>
      </c>
      <c r="D1067" s="377">
        <v>0.9</v>
      </c>
      <c r="E1067" s="272">
        <v>5</v>
      </c>
      <c r="F1067" s="377" t="s">
        <v>6461</v>
      </c>
      <c r="G1067" s="493">
        <v>9000000</v>
      </c>
      <c r="H1067" s="377" t="s">
        <v>4572</v>
      </c>
      <c r="I1067" s="377" t="s">
        <v>6462</v>
      </c>
      <c r="J1067" s="641">
        <v>15540000</v>
      </c>
    </row>
    <row r="1068" spans="1:10" ht="51">
      <c r="A1068" s="638" t="s">
        <v>6473</v>
      </c>
      <c r="B1068" s="377" t="s">
        <v>6512</v>
      </c>
      <c r="C1068" s="377" t="s">
        <v>6513</v>
      </c>
      <c r="D1068" s="377">
        <v>2.5</v>
      </c>
      <c r="E1068" s="272">
        <v>5</v>
      </c>
      <c r="F1068" s="377" t="s">
        <v>6461</v>
      </c>
      <c r="G1068" s="493">
        <v>25000000</v>
      </c>
      <c r="H1068" s="377" t="s">
        <v>4572</v>
      </c>
      <c r="I1068" s="377" t="s">
        <v>6462</v>
      </c>
      <c r="J1068" s="641">
        <v>43160000</v>
      </c>
    </row>
    <row r="1069" spans="1:10" ht="51">
      <c r="A1069" s="640" t="s">
        <v>6473</v>
      </c>
      <c r="B1069" s="377" t="s">
        <v>6514</v>
      </c>
      <c r="C1069" s="377" t="s">
        <v>6515</v>
      </c>
      <c r="D1069" s="377">
        <v>1.9</v>
      </c>
      <c r="E1069" s="272">
        <v>5</v>
      </c>
      <c r="F1069" s="377" t="s">
        <v>6461</v>
      </c>
      <c r="G1069" s="493">
        <v>15000000</v>
      </c>
      <c r="H1069" s="377" t="s">
        <v>4572</v>
      </c>
      <c r="I1069" s="377" t="s">
        <v>6462</v>
      </c>
      <c r="J1069" s="641">
        <v>32810000</v>
      </c>
    </row>
    <row r="1070" spans="1:10" ht="51">
      <c r="A1070" s="640" t="s">
        <v>6473</v>
      </c>
      <c r="B1070" s="377" t="s">
        <v>6516</v>
      </c>
      <c r="C1070" s="377" t="s">
        <v>6517</v>
      </c>
      <c r="D1070" s="377">
        <v>2.9</v>
      </c>
      <c r="E1070" s="272">
        <v>5</v>
      </c>
      <c r="F1070" s="377" t="s">
        <v>6461</v>
      </c>
      <c r="G1070" s="493">
        <v>30000000</v>
      </c>
      <c r="H1070" s="377" t="s">
        <v>4572</v>
      </c>
      <c r="I1070" s="377" t="s">
        <v>6462</v>
      </c>
      <c r="J1070" s="641">
        <v>50065000</v>
      </c>
    </row>
    <row r="1071" spans="1:10" ht="51">
      <c r="A1071" s="640" t="s">
        <v>6478</v>
      </c>
      <c r="B1071" s="377" t="s">
        <v>6518</v>
      </c>
      <c r="C1071" s="377" t="s">
        <v>6519</v>
      </c>
      <c r="D1071" s="377">
        <v>2.25</v>
      </c>
      <c r="E1071" s="272">
        <v>5</v>
      </c>
      <c r="F1071" s="377" t="s">
        <v>6461</v>
      </c>
      <c r="G1071" s="493">
        <v>25000000</v>
      </c>
      <c r="H1071" s="377" t="s">
        <v>4572</v>
      </c>
      <c r="I1071" s="377" t="s">
        <v>6462</v>
      </c>
      <c r="J1071" s="641">
        <v>38850000</v>
      </c>
    </row>
    <row r="1072" spans="1:10" ht="51">
      <c r="A1072" s="640" t="s">
        <v>1846</v>
      </c>
      <c r="B1072" s="377" t="s">
        <v>6520</v>
      </c>
      <c r="C1072" s="377" t="s">
        <v>6521</v>
      </c>
      <c r="D1072" s="377">
        <v>0.98</v>
      </c>
      <c r="E1072" s="272">
        <v>5</v>
      </c>
      <c r="F1072" s="377" t="s">
        <v>6461</v>
      </c>
      <c r="G1072" s="493">
        <v>6500000</v>
      </c>
      <c r="H1072" s="377" t="s">
        <v>4572</v>
      </c>
      <c r="I1072" s="377" t="s">
        <v>6462</v>
      </c>
      <c r="J1072" s="641">
        <v>16921000</v>
      </c>
    </row>
    <row r="1073" spans="1:10" ht="45">
      <c r="A1073" s="22" t="s">
        <v>4161</v>
      </c>
      <c r="B1073" s="26" t="s">
        <v>2807</v>
      </c>
      <c r="C1073" s="569" t="s">
        <v>23995</v>
      </c>
      <c r="D1073" s="569">
        <v>6.0650000000000004</v>
      </c>
      <c r="E1073" s="569">
        <v>0</v>
      </c>
      <c r="F1073" s="569" t="s">
        <v>23996</v>
      </c>
      <c r="G1073" s="73">
        <v>0</v>
      </c>
      <c r="H1073" s="569">
        <v>0</v>
      </c>
      <c r="I1073" s="569">
        <v>0</v>
      </c>
      <c r="J1073" s="531">
        <v>1529227</v>
      </c>
    </row>
    <row r="1074" spans="1:10" ht="45">
      <c r="A1074" s="22" t="s">
        <v>23997</v>
      </c>
      <c r="B1074" s="26" t="s">
        <v>3666</v>
      </c>
      <c r="C1074" s="569" t="s">
        <v>23998</v>
      </c>
      <c r="D1074" s="569">
        <v>4.625</v>
      </c>
      <c r="E1074" s="569">
        <v>0</v>
      </c>
      <c r="F1074" s="569" t="s">
        <v>23608</v>
      </c>
      <c r="G1074" s="73">
        <v>0</v>
      </c>
      <c r="H1074" s="569">
        <v>0</v>
      </c>
      <c r="I1074" s="569" t="s">
        <v>23609</v>
      </c>
      <c r="J1074" s="531">
        <v>819228.75</v>
      </c>
    </row>
    <row r="1075" spans="1:10">
      <c r="A1075" s="22">
        <v>0</v>
      </c>
      <c r="B1075" s="26">
        <v>0</v>
      </c>
      <c r="C1075" s="569" t="s">
        <v>23999</v>
      </c>
      <c r="D1075" s="569">
        <v>5.96</v>
      </c>
      <c r="E1075" s="569">
        <v>0</v>
      </c>
      <c r="F1075" s="569" t="s">
        <v>23608</v>
      </c>
      <c r="G1075" s="73">
        <v>0</v>
      </c>
      <c r="H1075" s="569">
        <v>0</v>
      </c>
      <c r="I1075" s="569" t="s">
        <v>23609</v>
      </c>
      <c r="J1075" s="531">
        <v>0</v>
      </c>
    </row>
    <row r="1076" spans="1:10" ht="33.75">
      <c r="A1076" s="22" t="s">
        <v>4161</v>
      </c>
      <c r="B1076" s="26" t="s">
        <v>4161</v>
      </c>
      <c r="C1076" s="569" t="s">
        <v>24000</v>
      </c>
      <c r="D1076" s="569">
        <v>1.26</v>
      </c>
      <c r="E1076" s="569">
        <v>0</v>
      </c>
      <c r="F1076" s="569" t="s">
        <v>24001</v>
      </c>
      <c r="G1076" s="73">
        <v>0</v>
      </c>
      <c r="H1076" s="569">
        <v>0</v>
      </c>
      <c r="I1076" s="569" t="s">
        <v>24002</v>
      </c>
      <c r="J1076" s="531">
        <v>22606000</v>
      </c>
    </row>
    <row r="1077" spans="1:10" ht="33.75">
      <c r="A1077" s="22" t="s">
        <v>4161</v>
      </c>
      <c r="B1077" s="26" t="s">
        <v>4161</v>
      </c>
      <c r="C1077" s="569" t="s">
        <v>24003</v>
      </c>
      <c r="D1077" s="569">
        <v>6.2949999999999999</v>
      </c>
      <c r="E1077" s="569">
        <v>0</v>
      </c>
      <c r="F1077" s="569" t="s">
        <v>24004</v>
      </c>
      <c r="G1077" s="73">
        <v>0</v>
      </c>
      <c r="H1077" s="569">
        <v>0</v>
      </c>
      <c r="I1077" s="569" t="s">
        <v>23609</v>
      </c>
      <c r="J1077" s="531">
        <v>546152</v>
      </c>
    </row>
    <row r="1078" spans="1:10" ht="33.75">
      <c r="A1078" s="22">
        <v>0</v>
      </c>
      <c r="B1078" s="26" t="s">
        <v>24005</v>
      </c>
      <c r="C1078" s="569" t="s">
        <v>24006</v>
      </c>
      <c r="D1078" s="569">
        <v>7.99</v>
      </c>
      <c r="E1078" s="569">
        <v>0</v>
      </c>
      <c r="F1078" s="569" t="s">
        <v>23608</v>
      </c>
      <c r="G1078" s="73">
        <v>0</v>
      </c>
      <c r="H1078" s="569">
        <v>0</v>
      </c>
      <c r="I1078" s="569" t="s">
        <v>23609</v>
      </c>
      <c r="J1078" s="531">
        <v>170352</v>
      </c>
    </row>
    <row r="1079" spans="1:10" ht="56.25">
      <c r="A1079" s="22" t="s">
        <v>4161</v>
      </c>
      <c r="B1079" s="26" t="s">
        <v>4161</v>
      </c>
      <c r="C1079" s="569" t="s">
        <v>24007</v>
      </c>
      <c r="D1079" s="569">
        <v>5.96</v>
      </c>
      <c r="E1079" s="569">
        <v>0</v>
      </c>
      <c r="F1079" s="569" t="s">
        <v>23608</v>
      </c>
      <c r="G1079" s="73">
        <v>0</v>
      </c>
      <c r="H1079" s="569">
        <v>0</v>
      </c>
      <c r="I1079" s="569" t="s">
        <v>23609</v>
      </c>
      <c r="J1079" s="531">
        <v>170352</v>
      </c>
    </row>
    <row r="1080" spans="1:10">
      <c r="A1080" s="22">
        <v>0</v>
      </c>
      <c r="B1080" s="26">
        <v>0</v>
      </c>
      <c r="C1080" s="569" t="s">
        <v>24008</v>
      </c>
      <c r="D1080" s="569">
        <v>15.545</v>
      </c>
      <c r="E1080" s="569">
        <v>0</v>
      </c>
      <c r="F1080" s="569" t="s">
        <v>23608</v>
      </c>
      <c r="G1080" s="73">
        <v>0</v>
      </c>
      <c r="H1080" s="569">
        <v>0</v>
      </c>
      <c r="I1080" s="569" t="s">
        <v>23629</v>
      </c>
      <c r="J1080" s="531">
        <v>709800</v>
      </c>
    </row>
    <row r="1081" spans="1:10">
      <c r="A1081" s="640"/>
      <c r="B1081" s="377"/>
      <c r="C1081" s="377"/>
      <c r="D1081" s="377"/>
      <c r="E1081" s="272"/>
      <c r="F1081" s="377"/>
      <c r="G1081" s="493"/>
      <c r="H1081" s="377"/>
      <c r="I1081" s="377"/>
      <c r="J1081" s="641"/>
    </row>
    <row r="1082" spans="1:10" ht="15.75">
      <c r="A1082" s="1013" t="s">
        <v>6444</v>
      </c>
      <c r="B1082" s="1014"/>
      <c r="C1082" s="1014"/>
      <c r="D1082" s="1014"/>
      <c r="E1082" s="1014"/>
      <c r="F1082" s="1014"/>
      <c r="G1082" s="550">
        <f>SUM(G1044:G1081)</f>
        <v>373500000</v>
      </c>
      <c r="H1082" s="564"/>
      <c r="I1082" s="564"/>
      <c r="J1082" s="626">
        <f>SUM(J1044:J1081)</f>
        <v>541332111.75</v>
      </c>
    </row>
    <row r="1083" spans="1:10" ht="15.75">
      <c r="A1083" s="1013" t="s">
        <v>6522</v>
      </c>
      <c r="B1083" s="1014"/>
      <c r="C1083" s="1014"/>
      <c r="D1083" s="1014"/>
      <c r="E1083" s="1014"/>
      <c r="F1083" s="1014"/>
      <c r="G1083" s="1014"/>
      <c r="H1083" s="1014"/>
      <c r="I1083" s="1014"/>
      <c r="J1083" s="1015"/>
    </row>
    <row r="1084" spans="1:10" ht="38.25">
      <c r="A1084" s="638" t="s">
        <v>4203</v>
      </c>
      <c r="B1084" s="284" t="s">
        <v>6523</v>
      </c>
      <c r="C1084" s="284" t="s">
        <v>6524</v>
      </c>
      <c r="D1084" s="284"/>
      <c r="E1084" s="284"/>
      <c r="F1084" s="284" t="s">
        <v>6525</v>
      </c>
      <c r="G1084" s="401">
        <v>40000000</v>
      </c>
      <c r="H1084" s="284"/>
      <c r="I1084" s="284" t="s">
        <v>6526</v>
      </c>
      <c r="J1084" s="639">
        <v>40000000</v>
      </c>
    </row>
    <row r="1085" spans="1:10" ht="38.25">
      <c r="A1085" s="638" t="s">
        <v>6527</v>
      </c>
      <c r="B1085" s="284" t="s">
        <v>6528</v>
      </c>
      <c r="C1085" s="284" t="s">
        <v>6524</v>
      </c>
      <c r="D1085" s="284"/>
      <c r="E1085" s="284"/>
      <c r="F1085" s="284" t="s">
        <v>6529</v>
      </c>
      <c r="G1085" s="401">
        <v>40000000</v>
      </c>
      <c r="H1085" s="284"/>
      <c r="I1085" s="284" t="s">
        <v>6526</v>
      </c>
      <c r="J1085" s="639">
        <v>40000000</v>
      </c>
    </row>
    <row r="1086" spans="1:10" ht="51">
      <c r="A1086" s="638" t="s">
        <v>6530</v>
      </c>
      <c r="B1086" s="284" t="s">
        <v>6531</v>
      </c>
      <c r="C1086" s="284" t="s">
        <v>6532</v>
      </c>
      <c r="D1086" s="284"/>
      <c r="E1086" s="284"/>
      <c r="F1086" s="284" t="s">
        <v>6533</v>
      </c>
      <c r="G1086" s="401"/>
      <c r="H1086" s="284"/>
      <c r="I1086" s="284" t="s">
        <v>6534</v>
      </c>
      <c r="J1086" s="639"/>
    </row>
    <row r="1087" spans="1:10" ht="38.25">
      <c r="A1087" s="638" t="s">
        <v>6530</v>
      </c>
      <c r="B1087" s="284" t="s">
        <v>6535</v>
      </c>
      <c r="C1087" s="284" t="s">
        <v>6536</v>
      </c>
      <c r="D1087" s="284"/>
      <c r="E1087" s="284"/>
      <c r="F1087" s="284" t="s">
        <v>6537</v>
      </c>
      <c r="G1087" s="401"/>
      <c r="H1087" s="284"/>
      <c r="I1087" s="284" t="s">
        <v>6534</v>
      </c>
      <c r="J1087" s="639"/>
    </row>
    <row r="1088" spans="1:10" ht="25.5">
      <c r="A1088" s="638" t="s">
        <v>6530</v>
      </c>
      <c r="B1088" s="284" t="s">
        <v>6538</v>
      </c>
      <c r="C1088" s="284" t="s">
        <v>6539</v>
      </c>
      <c r="D1088" s="284"/>
      <c r="E1088" s="284"/>
      <c r="F1088" s="284" t="s">
        <v>6540</v>
      </c>
      <c r="G1088" s="401"/>
      <c r="H1088" s="284"/>
      <c r="I1088" s="284" t="s">
        <v>3307</v>
      </c>
      <c r="J1088" s="639"/>
    </row>
    <row r="1089" spans="1:10">
      <c r="A1089" s="638" t="s">
        <v>6541</v>
      </c>
      <c r="B1089" s="284" t="s">
        <v>6542</v>
      </c>
      <c r="C1089" s="284" t="s">
        <v>6543</v>
      </c>
      <c r="D1089" s="284"/>
      <c r="E1089" s="284"/>
      <c r="F1089" s="284" t="s">
        <v>6540</v>
      </c>
      <c r="G1089" s="401"/>
      <c r="H1089" s="284"/>
      <c r="I1089" s="284" t="s">
        <v>3307</v>
      </c>
      <c r="J1089" s="639"/>
    </row>
    <row r="1090" spans="1:10" ht="25.5">
      <c r="A1090" s="638" t="s">
        <v>6530</v>
      </c>
      <c r="B1090" s="284" t="s">
        <v>6544</v>
      </c>
      <c r="C1090" s="284" t="s">
        <v>6545</v>
      </c>
      <c r="D1090" s="284"/>
      <c r="E1090" s="284"/>
      <c r="F1090" s="284" t="s">
        <v>6546</v>
      </c>
      <c r="G1090" s="401"/>
      <c r="H1090" s="284"/>
      <c r="I1090" s="284" t="s">
        <v>3307</v>
      </c>
      <c r="J1090" s="639"/>
    </row>
    <row r="1091" spans="1:10" ht="38.25">
      <c r="A1091" s="638" t="s">
        <v>6547</v>
      </c>
      <c r="B1091" s="284" t="s">
        <v>6548</v>
      </c>
      <c r="C1091" s="284" t="s">
        <v>6549</v>
      </c>
      <c r="D1091" s="284"/>
      <c r="E1091" s="284"/>
      <c r="F1091" s="284" t="s">
        <v>6546</v>
      </c>
      <c r="G1091" s="401">
        <v>25000000</v>
      </c>
      <c r="H1091" s="284"/>
      <c r="I1091" s="284" t="s">
        <v>6550</v>
      </c>
      <c r="J1091" s="639">
        <v>25000000</v>
      </c>
    </row>
    <row r="1092" spans="1:10" ht="38.25">
      <c r="A1092" s="638" t="s">
        <v>4203</v>
      </c>
      <c r="B1092" s="284" t="s">
        <v>6551</v>
      </c>
      <c r="C1092" s="284" t="s">
        <v>6552</v>
      </c>
      <c r="D1092" s="284"/>
      <c r="E1092" s="284"/>
      <c r="F1092" s="284" t="s">
        <v>6546</v>
      </c>
      <c r="G1092" s="401">
        <v>40000000</v>
      </c>
      <c r="H1092" s="284"/>
      <c r="I1092" s="284" t="s">
        <v>6553</v>
      </c>
      <c r="J1092" s="639">
        <v>40000000</v>
      </c>
    </row>
    <row r="1093" spans="1:10" ht="25.5">
      <c r="A1093" s="638" t="s">
        <v>6554</v>
      </c>
      <c r="B1093" s="284" t="s">
        <v>6555</v>
      </c>
      <c r="C1093" s="284" t="s">
        <v>6532</v>
      </c>
      <c r="D1093" s="284"/>
      <c r="E1093" s="284"/>
      <c r="F1093" s="284" t="s">
        <v>6546</v>
      </c>
      <c r="G1093" s="401"/>
      <c r="H1093" s="284"/>
      <c r="I1093" s="284" t="s">
        <v>3307</v>
      </c>
      <c r="J1093" s="639"/>
    </row>
    <row r="1094" spans="1:10" ht="25.5">
      <c r="A1094" s="638" t="s">
        <v>6556</v>
      </c>
      <c r="B1094" s="284"/>
      <c r="C1094" s="284" t="s">
        <v>6532</v>
      </c>
      <c r="D1094" s="284"/>
      <c r="E1094" s="284"/>
      <c r="F1094" s="284" t="s">
        <v>6546</v>
      </c>
      <c r="G1094" s="401"/>
      <c r="H1094" s="284"/>
      <c r="I1094" s="284" t="s">
        <v>3307</v>
      </c>
      <c r="J1094" s="639"/>
    </row>
    <row r="1095" spans="1:10" ht="51">
      <c r="A1095" s="638" t="s">
        <v>4203</v>
      </c>
      <c r="B1095" s="284" t="s">
        <v>6557</v>
      </c>
      <c r="C1095" s="284" t="s">
        <v>6558</v>
      </c>
      <c r="D1095" s="284"/>
      <c r="E1095" s="284"/>
      <c r="F1095" s="284" t="s">
        <v>6559</v>
      </c>
      <c r="G1095" s="401">
        <v>10000000</v>
      </c>
      <c r="H1095" s="284"/>
      <c r="I1095" s="284" t="s">
        <v>6560</v>
      </c>
      <c r="J1095" s="639">
        <v>10000000</v>
      </c>
    </row>
    <row r="1096" spans="1:10" ht="51">
      <c r="A1096" s="638" t="s">
        <v>6527</v>
      </c>
      <c r="B1096" s="284" t="s">
        <v>6561</v>
      </c>
      <c r="C1096" s="284" t="s">
        <v>6562</v>
      </c>
      <c r="D1096" s="284"/>
      <c r="E1096" s="284"/>
      <c r="F1096" s="284" t="s">
        <v>6559</v>
      </c>
      <c r="G1096" s="401">
        <v>20000000</v>
      </c>
      <c r="H1096" s="284"/>
      <c r="I1096" s="284" t="s">
        <v>6563</v>
      </c>
      <c r="J1096" s="639">
        <v>20000000</v>
      </c>
    </row>
    <row r="1097" spans="1:10" ht="38.25">
      <c r="A1097" s="638" t="s">
        <v>6530</v>
      </c>
      <c r="B1097" s="284" t="s">
        <v>6564</v>
      </c>
      <c r="C1097" s="284" t="s">
        <v>6532</v>
      </c>
      <c r="D1097" s="284"/>
      <c r="E1097" s="284"/>
      <c r="F1097" s="284" t="s">
        <v>6565</v>
      </c>
      <c r="G1097" s="401"/>
      <c r="H1097" s="284"/>
      <c r="I1097" s="284" t="s">
        <v>6566</v>
      </c>
      <c r="J1097" s="639"/>
    </row>
    <row r="1098" spans="1:10" ht="25.5">
      <c r="A1098" s="638" t="s">
        <v>6567</v>
      </c>
      <c r="B1098" s="284" t="s">
        <v>6568</v>
      </c>
      <c r="C1098" s="273">
        <v>20700400</v>
      </c>
      <c r="D1098" s="284"/>
      <c r="E1098" s="284"/>
      <c r="F1098" s="274" t="s">
        <v>6569</v>
      </c>
      <c r="G1098" s="401">
        <v>12000000</v>
      </c>
      <c r="H1098" s="284"/>
      <c r="I1098" s="274" t="s">
        <v>6570</v>
      </c>
      <c r="J1098" s="639">
        <v>12000000</v>
      </c>
    </row>
    <row r="1099" spans="1:10" ht="38.25">
      <c r="A1099" s="638" t="s">
        <v>6567</v>
      </c>
      <c r="B1099" s="284" t="s">
        <v>6568</v>
      </c>
      <c r="C1099" s="273">
        <v>20700400</v>
      </c>
      <c r="D1099" s="284"/>
      <c r="E1099" s="284"/>
      <c r="F1099" s="284" t="s">
        <v>387</v>
      </c>
      <c r="G1099" s="401">
        <f>40*100000</f>
        <v>4000000</v>
      </c>
      <c r="H1099" s="284"/>
      <c r="I1099" s="284" t="s">
        <v>6571</v>
      </c>
      <c r="J1099" s="639">
        <f>40*100000</f>
        <v>4000000</v>
      </c>
    </row>
    <row r="1100" spans="1:10" ht="38.25">
      <c r="A1100" s="638" t="s">
        <v>6567</v>
      </c>
      <c r="B1100" s="284" t="s">
        <v>6568</v>
      </c>
      <c r="C1100" s="284" t="s">
        <v>6532</v>
      </c>
      <c r="D1100" s="284"/>
      <c r="E1100" s="284"/>
      <c r="F1100" s="284" t="s">
        <v>387</v>
      </c>
      <c r="G1100" s="401" t="s">
        <v>3307</v>
      </c>
      <c r="H1100" s="284"/>
      <c r="I1100" s="284" t="s">
        <v>6572</v>
      </c>
      <c r="J1100" s="639" t="s">
        <v>3307</v>
      </c>
    </row>
    <row r="1101" spans="1:10" ht="38.25">
      <c r="A1101" s="638" t="s">
        <v>6547</v>
      </c>
      <c r="B1101" s="284" t="s">
        <v>6573</v>
      </c>
      <c r="C1101" s="284">
        <v>20702200</v>
      </c>
      <c r="D1101" s="284"/>
      <c r="E1101" s="284"/>
      <c r="F1101" s="284" t="s">
        <v>6574</v>
      </c>
      <c r="G1101" s="401">
        <v>20000000</v>
      </c>
      <c r="H1101" s="284"/>
      <c r="I1101" s="284" t="s">
        <v>6575</v>
      </c>
      <c r="J1101" s="639">
        <v>20000000</v>
      </c>
    </row>
    <row r="1102" spans="1:10" ht="51">
      <c r="A1102" s="638" t="s">
        <v>6541</v>
      </c>
      <c r="B1102" s="284" t="s">
        <v>6576</v>
      </c>
      <c r="C1102" s="284">
        <v>207023</v>
      </c>
      <c r="D1102" s="284"/>
      <c r="E1102" s="284"/>
      <c r="F1102" s="284" t="s">
        <v>387</v>
      </c>
      <c r="G1102" s="401">
        <v>50000000</v>
      </c>
      <c r="H1102" s="284"/>
      <c r="I1102" s="284" t="s">
        <v>6577</v>
      </c>
      <c r="J1102" s="639">
        <v>50000000</v>
      </c>
    </row>
    <row r="1103" spans="1:10" ht="51">
      <c r="A1103" s="638" t="s">
        <v>6541</v>
      </c>
      <c r="B1103" s="284" t="s">
        <v>6578</v>
      </c>
      <c r="C1103" s="284">
        <v>20708700</v>
      </c>
      <c r="D1103" s="284"/>
      <c r="E1103" s="284"/>
      <c r="F1103" s="284" t="s">
        <v>387</v>
      </c>
      <c r="G1103" s="401">
        <v>30000000</v>
      </c>
      <c r="H1103" s="284"/>
      <c r="I1103" s="284" t="s">
        <v>6579</v>
      </c>
      <c r="J1103" s="639">
        <v>30000000</v>
      </c>
    </row>
    <row r="1104" spans="1:10" ht="51">
      <c r="A1104" s="638" t="s">
        <v>6541</v>
      </c>
      <c r="B1104" s="284" t="s">
        <v>6580</v>
      </c>
      <c r="C1104" s="284">
        <v>20706000</v>
      </c>
      <c r="D1104" s="284"/>
      <c r="E1104" s="284"/>
      <c r="F1104" s="284" t="s">
        <v>6581</v>
      </c>
      <c r="G1104" s="401">
        <v>30000000</v>
      </c>
      <c r="H1104" s="284"/>
      <c r="I1104" s="284" t="s">
        <v>6582</v>
      </c>
      <c r="J1104" s="639">
        <v>30000000</v>
      </c>
    </row>
    <row r="1105" spans="1:10" ht="38.25">
      <c r="A1105" s="638" t="s">
        <v>6541</v>
      </c>
      <c r="B1105" s="284" t="s">
        <v>6583</v>
      </c>
      <c r="C1105" s="284">
        <v>20705900</v>
      </c>
      <c r="D1105" s="284"/>
      <c r="E1105" s="284"/>
      <c r="F1105" s="284" t="s">
        <v>6584</v>
      </c>
      <c r="G1105" s="401">
        <v>20000000</v>
      </c>
      <c r="H1105" s="284"/>
      <c r="I1105" s="284" t="s">
        <v>6575</v>
      </c>
      <c r="J1105" s="639">
        <v>20000000</v>
      </c>
    </row>
    <row r="1106" spans="1:10" ht="38.25">
      <c r="A1106" s="638" t="s">
        <v>6541</v>
      </c>
      <c r="B1106" s="284" t="s">
        <v>6585</v>
      </c>
      <c r="C1106" s="284">
        <v>20703000</v>
      </c>
      <c r="D1106" s="284"/>
      <c r="E1106" s="284"/>
      <c r="F1106" s="284" t="s">
        <v>6586</v>
      </c>
      <c r="G1106" s="401">
        <v>12000000</v>
      </c>
      <c r="H1106" s="284"/>
      <c r="I1106" s="284" t="s">
        <v>6587</v>
      </c>
      <c r="J1106" s="639">
        <v>12000000</v>
      </c>
    </row>
    <row r="1107" spans="1:10" ht="63.75">
      <c r="A1107" s="638" t="s">
        <v>6541</v>
      </c>
      <c r="B1107" s="284" t="s">
        <v>6588</v>
      </c>
      <c r="C1107" s="284">
        <v>20705000</v>
      </c>
      <c r="D1107" s="284"/>
      <c r="E1107" s="284"/>
      <c r="F1107" s="284" t="s">
        <v>6586</v>
      </c>
      <c r="G1107" s="401">
        <v>85000000</v>
      </c>
      <c r="H1107" s="284"/>
      <c r="I1107" s="284" t="s">
        <v>6589</v>
      </c>
      <c r="J1107" s="639">
        <v>85000000</v>
      </c>
    </row>
    <row r="1108" spans="1:10" ht="38.25">
      <c r="A1108" s="638" t="s">
        <v>6541</v>
      </c>
      <c r="B1108" s="284" t="s">
        <v>6590</v>
      </c>
      <c r="C1108" s="284">
        <v>20703100</v>
      </c>
      <c r="D1108" s="284"/>
      <c r="E1108" s="284"/>
      <c r="F1108" s="284" t="s">
        <v>6586</v>
      </c>
      <c r="G1108" s="401">
        <v>8000000</v>
      </c>
      <c r="H1108" s="284"/>
      <c r="I1108" s="284" t="s">
        <v>6591</v>
      </c>
      <c r="J1108" s="639">
        <v>8000000</v>
      </c>
    </row>
    <row r="1109" spans="1:10" ht="38.25">
      <c r="A1109" s="638" t="s">
        <v>4203</v>
      </c>
      <c r="B1109" s="284" t="s">
        <v>6592</v>
      </c>
      <c r="C1109" s="284">
        <v>20703300</v>
      </c>
      <c r="D1109" s="284"/>
      <c r="E1109" s="284"/>
      <c r="F1109" s="284" t="s">
        <v>387</v>
      </c>
      <c r="G1109" s="401">
        <v>20000000</v>
      </c>
      <c r="H1109" s="284"/>
      <c r="I1109" s="284" t="s">
        <v>6593</v>
      </c>
      <c r="J1109" s="639">
        <v>20000000</v>
      </c>
    </row>
    <row r="1110" spans="1:10">
      <c r="A1110" s="638" t="s">
        <v>4203</v>
      </c>
      <c r="B1110" s="284" t="s">
        <v>6594</v>
      </c>
      <c r="C1110" s="284">
        <v>20712800</v>
      </c>
      <c r="D1110" s="284"/>
      <c r="E1110" s="284"/>
      <c r="F1110" s="284" t="s">
        <v>387</v>
      </c>
      <c r="G1110" s="401"/>
      <c r="H1110" s="284"/>
      <c r="I1110" s="284"/>
      <c r="J1110" s="639"/>
    </row>
    <row r="1111" spans="1:10" ht="38.25">
      <c r="A1111" s="638" t="s">
        <v>4203</v>
      </c>
      <c r="B1111" s="284" t="s">
        <v>6595</v>
      </c>
      <c r="C1111" s="284">
        <v>20712800</v>
      </c>
      <c r="D1111" s="284"/>
      <c r="E1111" s="284"/>
      <c r="F1111" s="284" t="s">
        <v>387</v>
      </c>
      <c r="G1111" s="401">
        <v>20000000</v>
      </c>
      <c r="H1111" s="284"/>
      <c r="I1111" s="284" t="s">
        <v>6596</v>
      </c>
      <c r="J1111" s="639">
        <v>20000000</v>
      </c>
    </row>
    <row r="1112" spans="1:10" ht="38.25">
      <c r="A1112" s="638" t="s">
        <v>4203</v>
      </c>
      <c r="B1112" s="284" t="s">
        <v>6597</v>
      </c>
      <c r="C1112" s="284">
        <v>20703200</v>
      </c>
      <c r="D1112" s="284"/>
      <c r="E1112" s="284"/>
      <c r="F1112" s="284" t="s">
        <v>6586</v>
      </c>
      <c r="G1112" s="401">
        <v>15000000</v>
      </c>
      <c r="H1112" s="284"/>
      <c r="I1112" s="284" t="s">
        <v>6598</v>
      </c>
      <c r="J1112" s="639">
        <v>15000000</v>
      </c>
    </row>
    <row r="1113" spans="1:10" ht="38.25">
      <c r="A1113" s="638" t="s">
        <v>4203</v>
      </c>
      <c r="B1113" s="284" t="s">
        <v>6599</v>
      </c>
      <c r="C1113" s="284">
        <v>20703600</v>
      </c>
      <c r="D1113" s="284"/>
      <c r="E1113" s="284"/>
      <c r="F1113" s="284" t="s">
        <v>6586</v>
      </c>
      <c r="G1113" s="401">
        <v>35000000</v>
      </c>
      <c r="H1113" s="284"/>
      <c r="I1113" s="284" t="s">
        <v>6600</v>
      </c>
      <c r="J1113" s="639">
        <v>35000000</v>
      </c>
    </row>
    <row r="1114" spans="1:10" ht="38.25">
      <c r="A1114" s="638" t="s">
        <v>6530</v>
      </c>
      <c r="B1114" s="284" t="s">
        <v>6601</v>
      </c>
      <c r="C1114" s="284">
        <v>20702500</v>
      </c>
      <c r="D1114" s="284"/>
      <c r="E1114" s="284"/>
      <c r="F1114" s="284" t="s">
        <v>387</v>
      </c>
      <c r="G1114" s="401">
        <v>20000000</v>
      </c>
      <c r="H1114" s="284"/>
      <c r="I1114" s="284" t="s">
        <v>6602</v>
      </c>
      <c r="J1114" s="639">
        <v>20000000</v>
      </c>
    </row>
    <row r="1115" spans="1:10" ht="38.25">
      <c r="A1115" s="638" t="s">
        <v>6530</v>
      </c>
      <c r="B1115" s="284" t="s">
        <v>6603</v>
      </c>
      <c r="C1115" s="284">
        <v>20702500</v>
      </c>
      <c r="D1115" s="284"/>
      <c r="E1115" s="284"/>
      <c r="F1115" s="284" t="s">
        <v>387</v>
      </c>
      <c r="G1115" s="401">
        <v>30000000</v>
      </c>
      <c r="H1115" s="284"/>
      <c r="I1115" s="284" t="s">
        <v>6604</v>
      </c>
      <c r="J1115" s="639">
        <v>30000000</v>
      </c>
    </row>
    <row r="1116" spans="1:10" ht="38.25">
      <c r="A1116" s="638" t="s">
        <v>6530</v>
      </c>
      <c r="B1116" s="284" t="s">
        <v>6605</v>
      </c>
      <c r="C1116" s="284">
        <v>20702500</v>
      </c>
      <c r="D1116" s="284"/>
      <c r="E1116" s="284"/>
      <c r="F1116" s="284" t="s">
        <v>387</v>
      </c>
      <c r="G1116" s="401">
        <v>10000000</v>
      </c>
      <c r="H1116" s="284"/>
      <c r="I1116" s="284" t="s">
        <v>6606</v>
      </c>
      <c r="J1116" s="639">
        <v>10000000</v>
      </c>
    </row>
    <row r="1117" spans="1:10" ht="38.25">
      <c r="A1117" s="638" t="s">
        <v>6530</v>
      </c>
      <c r="B1117" s="284" t="s">
        <v>6607</v>
      </c>
      <c r="C1117" s="284">
        <v>20713300</v>
      </c>
      <c r="D1117" s="284"/>
      <c r="E1117" s="284"/>
      <c r="F1117" s="284" t="s">
        <v>6608</v>
      </c>
      <c r="G1117" s="401">
        <v>10000000</v>
      </c>
      <c r="H1117" s="284"/>
      <c r="I1117" s="284" t="s">
        <v>6609</v>
      </c>
      <c r="J1117" s="639">
        <v>10000000</v>
      </c>
    </row>
    <row r="1118" spans="1:10" ht="51">
      <c r="A1118" s="638" t="s">
        <v>6530</v>
      </c>
      <c r="B1118" s="284" t="s">
        <v>6610</v>
      </c>
      <c r="C1118" s="284">
        <v>20703900</v>
      </c>
      <c r="D1118" s="284"/>
      <c r="E1118" s="284"/>
      <c r="F1118" s="284" t="s">
        <v>6608</v>
      </c>
      <c r="G1118" s="401">
        <v>55000000</v>
      </c>
      <c r="H1118" s="284"/>
      <c r="I1118" s="284" t="s">
        <v>6611</v>
      </c>
      <c r="J1118" s="639">
        <v>55000000</v>
      </c>
    </row>
    <row r="1119" spans="1:10" ht="38.25">
      <c r="A1119" s="638" t="s">
        <v>6530</v>
      </c>
      <c r="B1119" s="284" t="s">
        <v>6612</v>
      </c>
      <c r="C1119" s="284">
        <v>20700900</v>
      </c>
      <c r="D1119" s="284"/>
      <c r="E1119" s="284"/>
      <c r="F1119" s="284" t="s">
        <v>387</v>
      </c>
      <c r="G1119" s="401">
        <v>20000000</v>
      </c>
      <c r="H1119" s="284"/>
      <c r="I1119" s="284" t="s">
        <v>6613</v>
      </c>
      <c r="J1119" s="639">
        <v>20000000</v>
      </c>
    </row>
    <row r="1120" spans="1:10" ht="38.25">
      <c r="A1120" s="638" t="s">
        <v>6614</v>
      </c>
      <c r="B1120" s="284" t="s">
        <v>6615</v>
      </c>
      <c r="C1120" s="284">
        <v>20700900</v>
      </c>
      <c r="D1120" s="284"/>
      <c r="E1120" s="284"/>
      <c r="F1120" s="284" t="s">
        <v>6586</v>
      </c>
      <c r="G1120" s="401">
        <v>15000000</v>
      </c>
      <c r="H1120" s="284"/>
      <c r="I1120" s="284" t="s">
        <v>6616</v>
      </c>
      <c r="J1120" s="639">
        <v>15000000</v>
      </c>
    </row>
    <row r="1121" spans="1:10" ht="38.25">
      <c r="A1121" s="638" t="s">
        <v>6614</v>
      </c>
      <c r="B1121" s="284" t="s">
        <v>6617</v>
      </c>
      <c r="C1121" s="284">
        <v>20714000</v>
      </c>
      <c r="D1121" s="284"/>
      <c r="E1121" s="284"/>
      <c r="F1121" s="284" t="s">
        <v>6586</v>
      </c>
      <c r="G1121" s="401">
        <v>7000000</v>
      </c>
      <c r="H1121" s="284"/>
      <c r="I1121" s="284" t="s">
        <v>6618</v>
      </c>
      <c r="J1121" s="639">
        <v>7000000</v>
      </c>
    </row>
    <row r="1122" spans="1:10" ht="45">
      <c r="A1122" s="22" t="s">
        <v>6264</v>
      </c>
      <c r="B1122" s="26" t="s">
        <v>5944</v>
      </c>
      <c r="C1122" s="569" t="s">
        <v>24068</v>
      </c>
      <c r="D1122" s="569">
        <v>3.61</v>
      </c>
      <c r="E1122" s="569">
        <v>5</v>
      </c>
      <c r="F1122" s="569" t="s">
        <v>23623</v>
      </c>
      <c r="G1122" s="73">
        <v>250000</v>
      </c>
      <c r="H1122" s="569">
        <v>1</v>
      </c>
      <c r="I1122" s="569" t="s">
        <v>23584</v>
      </c>
      <c r="J1122" s="531">
        <v>250000</v>
      </c>
    </row>
    <row r="1123" spans="1:10" ht="45">
      <c r="A1123" s="22" t="s">
        <v>6264</v>
      </c>
      <c r="B1123" s="26" t="s">
        <v>5944</v>
      </c>
      <c r="C1123" s="569" t="s">
        <v>24069</v>
      </c>
      <c r="D1123" s="569">
        <v>3.61</v>
      </c>
      <c r="E1123" s="569">
        <v>3</v>
      </c>
      <c r="F1123" s="569" t="s">
        <v>24070</v>
      </c>
      <c r="G1123" s="73">
        <v>60000</v>
      </c>
      <c r="H1123" s="569">
        <v>3</v>
      </c>
      <c r="I1123" s="569" t="s">
        <v>23584</v>
      </c>
      <c r="J1123" s="531">
        <v>60000</v>
      </c>
    </row>
    <row r="1124" spans="1:10" ht="45">
      <c r="A1124" s="22" t="s">
        <v>6264</v>
      </c>
      <c r="B1124" s="26" t="s">
        <v>5944</v>
      </c>
      <c r="C1124" s="569" t="s">
        <v>24071</v>
      </c>
      <c r="D1124" s="569">
        <v>3.61</v>
      </c>
      <c r="E1124" s="569">
        <v>3</v>
      </c>
      <c r="F1124" s="569" t="s">
        <v>24070</v>
      </c>
      <c r="G1124" s="73">
        <v>60000</v>
      </c>
      <c r="H1124" s="569">
        <v>3</v>
      </c>
      <c r="I1124" s="569" t="s">
        <v>23584</v>
      </c>
      <c r="J1124" s="531">
        <v>60000</v>
      </c>
    </row>
    <row r="1125" spans="1:10" ht="45">
      <c r="A1125" s="22" t="s">
        <v>6264</v>
      </c>
      <c r="B1125" s="26" t="s">
        <v>5944</v>
      </c>
      <c r="C1125" s="569" t="s">
        <v>24072</v>
      </c>
      <c r="D1125" s="569">
        <v>3.61</v>
      </c>
      <c r="E1125" s="569">
        <v>5</v>
      </c>
      <c r="F1125" s="569" t="s">
        <v>23623</v>
      </c>
      <c r="G1125" s="73">
        <v>250000</v>
      </c>
      <c r="H1125" s="569">
        <v>1</v>
      </c>
      <c r="I1125" s="569" t="s">
        <v>23584</v>
      </c>
      <c r="J1125" s="531">
        <v>250000</v>
      </c>
    </row>
    <row r="1126" spans="1:10" ht="45">
      <c r="A1126" s="22" t="s">
        <v>6264</v>
      </c>
      <c r="B1126" s="26" t="s">
        <v>5944</v>
      </c>
      <c r="C1126" s="569" t="s">
        <v>24073</v>
      </c>
      <c r="D1126" s="569">
        <v>3.61</v>
      </c>
      <c r="E1126" s="569">
        <v>5</v>
      </c>
      <c r="F1126" s="569" t="s">
        <v>23623</v>
      </c>
      <c r="G1126" s="73">
        <v>250000</v>
      </c>
      <c r="H1126" s="569">
        <v>1</v>
      </c>
      <c r="I1126" s="569" t="s">
        <v>23584</v>
      </c>
      <c r="J1126" s="531">
        <v>250000</v>
      </c>
    </row>
    <row r="1127" spans="1:10" ht="45">
      <c r="A1127" s="22" t="s">
        <v>6264</v>
      </c>
      <c r="B1127" s="26" t="s">
        <v>5944</v>
      </c>
      <c r="C1127" s="569" t="s">
        <v>24074</v>
      </c>
      <c r="D1127" s="569">
        <v>3.61</v>
      </c>
      <c r="E1127" s="569">
        <v>5</v>
      </c>
      <c r="F1127" s="569" t="s">
        <v>23623</v>
      </c>
      <c r="G1127" s="73">
        <v>250000</v>
      </c>
      <c r="H1127" s="569">
        <v>1</v>
      </c>
      <c r="I1127" s="569" t="s">
        <v>23584</v>
      </c>
      <c r="J1127" s="531">
        <v>120000</v>
      </c>
    </row>
    <row r="1128" spans="1:10" ht="45">
      <c r="A1128" s="22" t="s">
        <v>6264</v>
      </c>
      <c r="B1128" s="26" t="s">
        <v>5944</v>
      </c>
      <c r="C1128" s="569" t="s">
        <v>24075</v>
      </c>
      <c r="D1128" s="569">
        <v>3.61</v>
      </c>
      <c r="E1128" s="569">
        <v>5</v>
      </c>
      <c r="F1128" s="569" t="s">
        <v>23623</v>
      </c>
      <c r="G1128" s="73">
        <v>120000</v>
      </c>
      <c r="H1128" s="569">
        <v>1</v>
      </c>
      <c r="I1128" s="569" t="s">
        <v>23584</v>
      </c>
      <c r="J1128" s="531">
        <v>120001</v>
      </c>
    </row>
    <row r="1129" spans="1:10" ht="45">
      <c r="A1129" s="22" t="s">
        <v>6264</v>
      </c>
      <c r="B1129" s="26" t="s">
        <v>5944</v>
      </c>
      <c r="C1129" s="569" t="s">
        <v>24076</v>
      </c>
      <c r="D1129" s="569">
        <v>3.61</v>
      </c>
      <c r="E1129" s="569">
        <v>3</v>
      </c>
      <c r="F1129" s="569" t="s">
        <v>23623</v>
      </c>
      <c r="G1129" s="73">
        <v>150000</v>
      </c>
      <c r="H1129" s="569">
        <v>1</v>
      </c>
      <c r="I1129" s="569" t="s">
        <v>23584</v>
      </c>
      <c r="J1129" s="531">
        <v>177446.03</v>
      </c>
    </row>
    <row r="1130" spans="1:10" ht="45">
      <c r="A1130" s="22" t="s">
        <v>6264</v>
      </c>
      <c r="B1130" s="26" t="s">
        <v>5944</v>
      </c>
      <c r="C1130" s="569" t="s">
        <v>24077</v>
      </c>
      <c r="D1130" s="569">
        <v>3.61</v>
      </c>
      <c r="E1130" s="569">
        <v>3</v>
      </c>
      <c r="F1130" s="569" t="s">
        <v>23623</v>
      </c>
      <c r="G1130" s="73">
        <v>100000</v>
      </c>
      <c r="H1130" s="569">
        <v>1</v>
      </c>
      <c r="I1130" s="569" t="s">
        <v>23584</v>
      </c>
      <c r="J1130" s="531">
        <v>192648.2</v>
      </c>
    </row>
    <row r="1131" spans="1:10" ht="45">
      <c r="A1131" s="22" t="s">
        <v>6264</v>
      </c>
      <c r="B1131" s="26" t="s">
        <v>5944</v>
      </c>
      <c r="C1131" s="569" t="s">
        <v>24078</v>
      </c>
      <c r="D1131" s="569">
        <v>3.61</v>
      </c>
      <c r="E1131" s="569">
        <v>3</v>
      </c>
      <c r="F1131" s="569" t="s">
        <v>23623</v>
      </c>
      <c r="G1131" s="73">
        <v>150000</v>
      </c>
      <c r="H1131" s="569">
        <v>1</v>
      </c>
      <c r="I1131" s="569" t="s">
        <v>23584</v>
      </c>
      <c r="J1131" s="531">
        <v>153091.98000000001</v>
      </c>
    </row>
    <row r="1132" spans="1:10" ht="45">
      <c r="A1132" s="22" t="s">
        <v>6264</v>
      </c>
      <c r="B1132" s="26" t="s">
        <v>5944</v>
      </c>
      <c r="C1132" s="569" t="s">
        <v>24079</v>
      </c>
      <c r="D1132" s="569">
        <v>3.61</v>
      </c>
      <c r="E1132" s="569">
        <v>3</v>
      </c>
      <c r="F1132" s="569" t="s">
        <v>23623</v>
      </c>
      <c r="G1132" s="73">
        <v>75000</v>
      </c>
      <c r="H1132" s="569">
        <v>1</v>
      </c>
      <c r="I1132" s="569" t="s">
        <v>23584</v>
      </c>
      <c r="J1132" s="531">
        <v>189371.87</v>
      </c>
    </row>
    <row r="1133" spans="1:10" ht="45">
      <c r="A1133" s="22" t="s">
        <v>6264</v>
      </c>
      <c r="B1133" s="26" t="s">
        <v>5944</v>
      </c>
      <c r="C1133" s="569" t="s">
        <v>24080</v>
      </c>
      <c r="D1133" s="569">
        <v>3.61</v>
      </c>
      <c r="E1133" s="569">
        <v>3</v>
      </c>
      <c r="F1133" s="569" t="s">
        <v>23623</v>
      </c>
      <c r="G1133" s="73">
        <v>150000</v>
      </c>
      <c r="H1133" s="569">
        <v>1</v>
      </c>
      <c r="I1133" s="569" t="s">
        <v>23584</v>
      </c>
      <c r="J1133" s="531">
        <v>90514.08</v>
      </c>
    </row>
    <row r="1134" spans="1:10" ht="45">
      <c r="A1134" s="22" t="s">
        <v>6264</v>
      </c>
      <c r="B1134" s="26" t="s">
        <v>5944</v>
      </c>
      <c r="C1134" s="569" t="s">
        <v>24081</v>
      </c>
      <c r="D1134" s="569">
        <v>3.61</v>
      </c>
      <c r="E1134" s="569">
        <v>6</v>
      </c>
      <c r="F1134" s="569" t="s">
        <v>23623</v>
      </c>
      <c r="G1134" s="73">
        <v>150000</v>
      </c>
      <c r="H1134" s="569">
        <v>1</v>
      </c>
      <c r="I1134" s="569" t="s">
        <v>23584</v>
      </c>
      <c r="J1134" s="531">
        <v>63735.54</v>
      </c>
    </row>
    <row r="1135" spans="1:10" ht="45">
      <c r="A1135" s="22" t="s">
        <v>6264</v>
      </c>
      <c r="B1135" s="26" t="s">
        <v>5944</v>
      </c>
      <c r="C1135" s="569" t="s">
        <v>24082</v>
      </c>
      <c r="D1135" s="569">
        <v>3.61</v>
      </c>
      <c r="E1135" s="569">
        <v>6</v>
      </c>
      <c r="F1135" s="569" t="s">
        <v>23623</v>
      </c>
      <c r="G1135" s="73">
        <v>150000</v>
      </c>
      <c r="H1135" s="569">
        <v>1</v>
      </c>
      <c r="I1135" s="569" t="s">
        <v>23584</v>
      </c>
      <c r="J1135" s="531">
        <v>61992.639999999999</v>
      </c>
    </row>
    <row r="1136" spans="1:10" ht="45">
      <c r="A1136" s="22" t="s">
        <v>6264</v>
      </c>
      <c r="B1136" s="26" t="s">
        <v>5944</v>
      </c>
      <c r="C1136" s="569" t="s">
        <v>24083</v>
      </c>
      <c r="D1136" s="569">
        <v>3.61</v>
      </c>
      <c r="E1136" s="569">
        <v>6</v>
      </c>
      <c r="F1136" s="569" t="s">
        <v>23623</v>
      </c>
      <c r="G1136" s="73">
        <v>150000</v>
      </c>
      <c r="H1136" s="569">
        <v>1</v>
      </c>
      <c r="I1136" s="569" t="s">
        <v>23584</v>
      </c>
      <c r="J1136" s="531">
        <v>30054.87</v>
      </c>
    </row>
    <row r="1137" spans="1:10" ht="45">
      <c r="A1137" s="22" t="s">
        <v>6264</v>
      </c>
      <c r="B1137" s="26" t="s">
        <v>5944</v>
      </c>
      <c r="C1137" s="569" t="s">
        <v>24084</v>
      </c>
      <c r="D1137" s="569">
        <v>3.61</v>
      </c>
      <c r="E1137" s="569">
        <v>6</v>
      </c>
      <c r="F1137" s="569" t="s">
        <v>23623</v>
      </c>
      <c r="G1137" s="73">
        <v>250000</v>
      </c>
      <c r="H1137" s="569">
        <v>1</v>
      </c>
      <c r="I1137" s="569" t="s">
        <v>23584</v>
      </c>
      <c r="J1137" s="531">
        <v>30054.87</v>
      </c>
    </row>
    <row r="1138" spans="1:10">
      <c r="A1138" s="640"/>
      <c r="B1138" s="377"/>
      <c r="C1138" s="377"/>
      <c r="D1138" s="377"/>
      <c r="E1138" s="272"/>
      <c r="F1138" s="377"/>
      <c r="G1138" s="493"/>
      <c r="H1138" s="377"/>
      <c r="I1138" s="377"/>
      <c r="J1138" s="641"/>
    </row>
    <row r="1139" spans="1:10" ht="15.75">
      <c r="A1139" s="1013" t="s">
        <v>6444</v>
      </c>
      <c r="B1139" s="1014"/>
      <c r="C1139" s="1014"/>
      <c r="D1139" s="1014"/>
      <c r="E1139" s="1014"/>
      <c r="F1139" s="1014"/>
      <c r="G1139" s="550">
        <f>SUM(G1084:G1138)</f>
        <v>705565000</v>
      </c>
      <c r="H1139" s="564"/>
      <c r="I1139" s="564"/>
      <c r="J1139" s="626">
        <f>SUM(J1084:J1138)</f>
        <v>705098911.08000004</v>
      </c>
    </row>
    <row r="1140" spans="1:10" ht="15.75">
      <c r="A1140" s="1013" t="s">
        <v>6619</v>
      </c>
      <c r="B1140" s="1014"/>
      <c r="C1140" s="1014"/>
      <c r="D1140" s="1014"/>
      <c r="E1140" s="1014"/>
      <c r="F1140" s="1014"/>
      <c r="G1140" s="1014"/>
      <c r="H1140" s="1014"/>
      <c r="I1140" s="1014"/>
      <c r="J1140" s="1015"/>
    </row>
    <row r="1141" spans="1:10" ht="33.75">
      <c r="A1141" s="22" t="s">
        <v>2079</v>
      </c>
      <c r="B1141" s="26" t="s">
        <v>24345</v>
      </c>
      <c r="C1141" s="569" t="s">
        <v>24346</v>
      </c>
      <c r="D1141" s="569">
        <v>3.5449999999999999</v>
      </c>
      <c r="E1141" s="569">
        <v>4</v>
      </c>
      <c r="F1141" s="569" t="s">
        <v>23586</v>
      </c>
      <c r="G1141" s="73">
        <v>1200000</v>
      </c>
      <c r="H1141" s="569">
        <v>1</v>
      </c>
      <c r="I1141" s="569" t="s">
        <v>23584</v>
      </c>
      <c r="J1141" s="531">
        <v>1200000</v>
      </c>
    </row>
    <row r="1142" spans="1:10" ht="45">
      <c r="A1142" s="22" t="s">
        <v>2079</v>
      </c>
      <c r="B1142" s="26" t="s">
        <v>2079</v>
      </c>
      <c r="C1142" s="569" t="s">
        <v>24347</v>
      </c>
      <c r="D1142" s="569">
        <v>6.85</v>
      </c>
      <c r="E1142" s="569">
        <v>6</v>
      </c>
      <c r="F1142" s="569" t="s">
        <v>23586</v>
      </c>
      <c r="G1142" s="73">
        <v>250000</v>
      </c>
      <c r="H1142" s="569">
        <v>1</v>
      </c>
      <c r="I1142" s="569" t="s">
        <v>23584</v>
      </c>
      <c r="J1142" s="531">
        <v>250000</v>
      </c>
    </row>
    <row r="1143" spans="1:10">
      <c r="A1143" s="642"/>
      <c r="B1143" s="549"/>
      <c r="C1143" s="549"/>
      <c r="D1143" s="549"/>
      <c r="E1143" s="549"/>
      <c r="F1143" s="549"/>
      <c r="G1143" s="552"/>
      <c r="H1143" s="549"/>
      <c r="I1143" s="549"/>
      <c r="J1143" s="643"/>
    </row>
    <row r="1144" spans="1:10" ht="15.75">
      <c r="A1144" s="1013" t="s">
        <v>6444</v>
      </c>
      <c r="B1144" s="1014"/>
      <c r="C1144" s="1014"/>
      <c r="D1144" s="1014"/>
      <c r="E1144" s="1014"/>
      <c r="F1144" s="1014"/>
      <c r="G1144" s="550">
        <f>SUM(G1141:G1143)</f>
        <v>1450000</v>
      </c>
      <c r="H1144" s="564"/>
      <c r="I1144" s="564"/>
      <c r="J1144" s="626">
        <f>SUM(J1141:J1143)</f>
        <v>1450000</v>
      </c>
    </row>
    <row r="1145" spans="1:10" ht="15.75">
      <c r="A1145" s="1013" t="s">
        <v>6620</v>
      </c>
      <c r="B1145" s="1014"/>
      <c r="C1145" s="1014"/>
      <c r="D1145" s="1014"/>
      <c r="E1145" s="1014"/>
      <c r="F1145" s="1014"/>
      <c r="G1145" s="1014"/>
      <c r="H1145" s="1014"/>
      <c r="I1145" s="1014"/>
      <c r="J1145" s="1015"/>
    </row>
    <row r="1146" spans="1:10" ht="89.25">
      <c r="A1146" s="638" t="s">
        <v>6621</v>
      </c>
      <c r="B1146" s="284" t="s">
        <v>134</v>
      </c>
      <c r="C1146" s="284" t="s">
        <v>6622</v>
      </c>
      <c r="D1146" s="284" t="s">
        <v>6623</v>
      </c>
      <c r="E1146" s="284" t="s">
        <v>6624</v>
      </c>
      <c r="F1146" s="284" t="s">
        <v>6625</v>
      </c>
      <c r="G1146" s="401">
        <v>29000000</v>
      </c>
      <c r="H1146" s="284">
        <v>1</v>
      </c>
      <c r="I1146" s="284" t="s">
        <v>6626</v>
      </c>
      <c r="J1146" s="639">
        <v>126000000</v>
      </c>
    </row>
    <row r="1147" spans="1:10" ht="63.75">
      <c r="A1147" s="638" t="s">
        <v>6627</v>
      </c>
      <c r="B1147" s="284" t="s">
        <v>6628</v>
      </c>
      <c r="C1147" s="284" t="s">
        <v>6629</v>
      </c>
      <c r="D1147" s="284" t="s">
        <v>6630</v>
      </c>
      <c r="E1147" s="284" t="s">
        <v>6631</v>
      </c>
      <c r="F1147" s="284" t="s">
        <v>6632</v>
      </c>
      <c r="G1147" s="401">
        <v>800000</v>
      </c>
      <c r="H1147" s="284">
        <v>1</v>
      </c>
      <c r="I1147" s="284" t="s">
        <v>6633</v>
      </c>
      <c r="J1147" s="639">
        <v>12500000</v>
      </c>
    </row>
    <row r="1148" spans="1:10">
      <c r="A1148" s="640"/>
      <c r="B1148" s="377"/>
      <c r="C1148" s="377"/>
      <c r="D1148" s="377"/>
      <c r="E1148" s="272"/>
      <c r="F1148" s="377"/>
      <c r="G1148" s="493"/>
      <c r="H1148" s="377"/>
      <c r="I1148" s="377"/>
      <c r="J1148" s="641"/>
    </row>
    <row r="1149" spans="1:10" ht="15.75">
      <c r="A1149" s="1013" t="s">
        <v>6444</v>
      </c>
      <c r="B1149" s="1014"/>
      <c r="C1149" s="1014"/>
      <c r="D1149" s="1014"/>
      <c r="E1149" s="1014"/>
      <c r="F1149" s="1014"/>
      <c r="G1149" s="550">
        <f>SUM(G1146:G1148)</f>
        <v>29800000</v>
      </c>
      <c r="H1149" s="564"/>
      <c r="I1149" s="564"/>
      <c r="J1149" s="626">
        <f>SUM(J1146:J1148)</f>
        <v>138500000</v>
      </c>
    </row>
    <row r="1150" spans="1:10" ht="15.75">
      <c r="A1150" s="1013" t="s">
        <v>6634</v>
      </c>
      <c r="B1150" s="1014"/>
      <c r="C1150" s="1014"/>
      <c r="D1150" s="1014"/>
      <c r="E1150" s="1014"/>
      <c r="F1150" s="1014"/>
      <c r="G1150" s="1014"/>
      <c r="H1150" s="1014"/>
      <c r="I1150" s="1014"/>
      <c r="J1150" s="1015"/>
    </row>
    <row r="1151" spans="1:10">
      <c r="A1151" s="638" t="s">
        <v>6635</v>
      </c>
      <c r="B1151" s="284" t="s">
        <v>6635</v>
      </c>
      <c r="C1151" s="275" t="s">
        <v>6636</v>
      </c>
      <c r="D1151" s="276">
        <v>0.4</v>
      </c>
      <c r="E1151" s="277">
        <v>4</v>
      </c>
      <c r="F1151" s="1035" t="s">
        <v>6637</v>
      </c>
      <c r="G1151" s="401">
        <f t="shared" ref="G1151:G1214" si="1">J1151*0.6</f>
        <v>1440000</v>
      </c>
      <c r="H1151" s="284" t="s">
        <v>125</v>
      </c>
      <c r="I1151" s="1035" t="s">
        <v>6638</v>
      </c>
      <c r="J1151" s="644">
        <v>2400000</v>
      </c>
    </row>
    <row r="1152" spans="1:10">
      <c r="A1152" s="638" t="s">
        <v>6635</v>
      </c>
      <c r="B1152" s="284" t="s">
        <v>6635</v>
      </c>
      <c r="C1152" s="275" t="s">
        <v>6639</v>
      </c>
      <c r="D1152" s="276">
        <v>7.7800000000000011</v>
      </c>
      <c r="E1152" s="277">
        <v>5</v>
      </c>
      <c r="F1152" s="1035"/>
      <c r="G1152" s="401">
        <f t="shared" si="1"/>
        <v>35010000.000000007</v>
      </c>
      <c r="H1152" s="284" t="s">
        <v>125</v>
      </c>
      <c r="I1152" s="1035"/>
      <c r="J1152" s="644">
        <v>58350000.000000015</v>
      </c>
    </row>
    <row r="1153" spans="1:10">
      <c r="A1153" s="638" t="s">
        <v>6635</v>
      </c>
      <c r="B1153" s="284" t="s">
        <v>6635</v>
      </c>
      <c r="C1153" s="275" t="s">
        <v>6640</v>
      </c>
      <c r="D1153" s="276">
        <v>1.3</v>
      </c>
      <c r="E1153" s="277">
        <v>4</v>
      </c>
      <c r="F1153" s="1035"/>
      <c r="G1153" s="401">
        <f t="shared" si="1"/>
        <v>4680000</v>
      </c>
      <c r="H1153" s="284" t="s">
        <v>125</v>
      </c>
      <c r="I1153" s="1035"/>
      <c r="J1153" s="644">
        <v>7800000</v>
      </c>
    </row>
    <row r="1154" spans="1:10">
      <c r="A1154" s="638" t="s">
        <v>6635</v>
      </c>
      <c r="B1154" s="284" t="s">
        <v>6635</v>
      </c>
      <c r="C1154" s="275" t="s">
        <v>6641</v>
      </c>
      <c r="D1154" s="276">
        <v>2</v>
      </c>
      <c r="E1154" s="277">
        <v>4</v>
      </c>
      <c r="F1154" s="1035"/>
      <c r="G1154" s="401">
        <f t="shared" si="1"/>
        <v>7200000</v>
      </c>
      <c r="H1154" s="284" t="s">
        <v>125</v>
      </c>
      <c r="I1154" s="1035"/>
      <c r="J1154" s="644">
        <v>12000000</v>
      </c>
    </row>
    <row r="1155" spans="1:10">
      <c r="A1155" s="638" t="s">
        <v>6635</v>
      </c>
      <c r="B1155" s="284" t="s">
        <v>6635</v>
      </c>
      <c r="C1155" s="275" t="s">
        <v>6642</v>
      </c>
      <c r="D1155" s="276">
        <v>0.7</v>
      </c>
      <c r="E1155" s="277">
        <v>4</v>
      </c>
      <c r="F1155" s="1035"/>
      <c r="G1155" s="401">
        <f t="shared" si="1"/>
        <v>2520000</v>
      </c>
      <c r="H1155" s="284" t="s">
        <v>125</v>
      </c>
      <c r="I1155" s="1035"/>
      <c r="J1155" s="644">
        <v>4200000</v>
      </c>
    </row>
    <row r="1156" spans="1:10">
      <c r="A1156" s="638" t="s">
        <v>6635</v>
      </c>
      <c r="B1156" s="284" t="s">
        <v>6635</v>
      </c>
      <c r="C1156" s="275" t="s">
        <v>6643</v>
      </c>
      <c r="D1156" s="276">
        <v>4</v>
      </c>
      <c r="E1156" s="277">
        <v>4</v>
      </c>
      <c r="F1156" s="1035"/>
      <c r="G1156" s="401">
        <f t="shared" si="1"/>
        <v>14400000</v>
      </c>
      <c r="H1156" s="284" t="s">
        <v>125</v>
      </c>
      <c r="I1156" s="1035"/>
      <c r="J1156" s="644">
        <v>24000000</v>
      </c>
    </row>
    <row r="1157" spans="1:10">
      <c r="A1157" s="638" t="s">
        <v>6635</v>
      </c>
      <c r="B1157" s="284" t="s">
        <v>6635</v>
      </c>
      <c r="C1157" s="275" t="s">
        <v>6644</v>
      </c>
      <c r="D1157" s="276">
        <v>0.4</v>
      </c>
      <c r="E1157" s="277">
        <v>4</v>
      </c>
      <c r="F1157" s="1035"/>
      <c r="G1157" s="401">
        <f t="shared" si="1"/>
        <v>1440000</v>
      </c>
      <c r="H1157" s="284" t="s">
        <v>125</v>
      </c>
      <c r="I1157" s="1035"/>
      <c r="J1157" s="644">
        <v>2400000</v>
      </c>
    </row>
    <row r="1158" spans="1:10">
      <c r="A1158" s="638" t="s">
        <v>6635</v>
      </c>
      <c r="B1158" s="284" t="s">
        <v>6635</v>
      </c>
      <c r="C1158" s="275" t="s">
        <v>6645</v>
      </c>
      <c r="D1158" s="276">
        <v>9.0000000000000024E-2</v>
      </c>
      <c r="E1158" s="277">
        <v>6</v>
      </c>
      <c r="F1158" s="1035"/>
      <c r="G1158" s="401">
        <f t="shared" si="1"/>
        <v>486000.00000000017</v>
      </c>
      <c r="H1158" s="284" t="s">
        <v>125</v>
      </c>
      <c r="I1158" s="1035"/>
      <c r="J1158" s="644">
        <v>810000.00000000035</v>
      </c>
    </row>
    <row r="1159" spans="1:10">
      <c r="A1159" s="638" t="s">
        <v>6635</v>
      </c>
      <c r="B1159" s="284" t="s">
        <v>6635</v>
      </c>
      <c r="C1159" s="275" t="s">
        <v>6646</v>
      </c>
      <c r="D1159" s="276">
        <v>0.32199999999999984</v>
      </c>
      <c r="E1159" s="277">
        <v>4</v>
      </c>
      <c r="F1159" s="1035"/>
      <c r="G1159" s="401">
        <f t="shared" si="1"/>
        <v>1159199.9999999993</v>
      </c>
      <c r="H1159" s="284" t="s">
        <v>125</v>
      </c>
      <c r="I1159" s="1035"/>
      <c r="J1159" s="644">
        <v>1931999.9999999991</v>
      </c>
    </row>
    <row r="1160" spans="1:10">
      <c r="A1160" s="638" t="s">
        <v>6635</v>
      </c>
      <c r="B1160" s="284" t="s">
        <v>6635</v>
      </c>
      <c r="C1160" s="275" t="s">
        <v>6647</v>
      </c>
      <c r="D1160" s="276">
        <v>1.2</v>
      </c>
      <c r="E1160" s="277">
        <v>3.5</v>
      </c>
      <c r="F1160" s="1035"/>
      <c r="G1160" s="401">
        <f t="shared" si="1"/>
        <v>3780000</v>
      </c>
      <c r="H1160" s="284" t="s">
        <v>125</v>
      </c>
      <c r="I1160" s="1035"/>
      <c r="J1160" s="644">
        <v>6300000</v>
      </c>
    </row>
    <row r="1161" spans="1:10">
      <c r="A1161" s="638" t="s">
        <v>6635</v>
      </c>
      <c r="B1161" s="284" t="s">
        <v>6635</v>
      </c>
      <c r="C1161" s="275" t="s">
        <v>6648</v>
      </c>
      <c r="D1161" s="276">
        <v>0.6</v>
      </c>
      <c r="E1161" s="277">
        <v>4</v>
      </c>
      <c r="F1161" s="1035" t="s">
        <v>6637</v>
      </c>
      <c r="G1161" s="401">
        <f t="shared" si="1"/>
        <v>2160000</v>
      </c>
      <c r="H1161" s="284" t="s">
        <v>125</v>
      </c>
      <c r="I1161" s="1035"/>
      <c r="J1161" s="644">
        <v>3600000</v>
      </c>
    </row>
    <row r="1162" spans="1:10">
      <c r="A1162" s="638" t="s">
        <v>6635</v>
      </c>
      <c r="B1162" s="284" t="s">
        <v>6635</v>
      </c>
      <c r="C1162" s="275" t="s">
        <v>6648</v>
      </c>
      <c r="D1162" s="276">
        <v>1</v>
      </c>
      <c r="E1162" s="277">
        <v>3</v>
      </c>
      <c r="F1162" s="1035"/>
      <c r="G1162" s="401">
        <f t="shared" si="1"/>
        <v>2700000</v>
      </c>
      <c r="H1162" s="284" t="s">
        <v>125</v>
      </c>
      <c r="I1162" s="1035"/>
      <c r="J1162" s="644">
        <v>4500000</v>
      </c>
    </row>
    <row r="1163" spans="1:10">
      <c r="A1163" s="638" t="s">
        <v>6635</v>
      </c>
      <c r="B1163" s="284" t="s">
        <v>6635</v>
      </c>
      <c r="C1163" s="275" t="s">
        <v>6649</v>
      </c>
      <c r="D1163" s="276">
        <v>1.5</v>
      </c>
      <c r="E1163" s="277">
        <v>4</v>
      </c>
      <c r="F1163" s="1035"/>
      <c r="G1163" s="401">
        <f t="shared" si="1"/>
        <v>5400000</v>
      </c>
      <c r="H1163" s="284" t="s">
        <v>125</v>
      </c>
      <c r="I1163" s="1035"/>
      <c r="J1163" s="644">
        <v>9000000</v>
      </c>
    </row>
    <row r="1164" spans="1:10">
      <c r="A1164" s="638" t="s">
        <v>6635</v>
      </c>
      <c r="B1164" s="284" t="s">
        <v>6635</v>
      </c>
      <c r="C1164" s="275" t="s">
        <v>6650</v>
      </c>
      <c r="D1164" s="276">
        <v>1.4</v>
      </c>
      <c r="E1164" s="277">
        <v>3</v>
      </c>
      <c r="F1164" s="1035"/>
      <c r="G1164" s="401">
        <f t="shared" si="1"/>
        <v>3780000</v>
      </c>
      <c r="H1164" s="284" t="s">
        <v>125</v>
      </c>
      <c r="I1164" s="1035"/>
      <c r="J1164" s="644">
        <v>6300000</v>
      </c>
    </row>
    <row r="1165" spans="1:10">
      <c r="A1165" s="638" t="s">
        <v>6635</v>
      </c>
      <c r="B1165" s="284" t="s">
        <v>6635</v>
      </c>
      <c r="C1165" s="275" t="s">
        <v>6651</v>
      </c>
      <c r="D1165" s="276">
        <v>1.3</v>
      </c>
      <c r="E1165" s="277">
        <v>4.5</v>
      </c>
      <c r="F1165" s="1035"/>
      <c r="G1165" s="401">
        <f t="shared" si="1"/>
        <v>5265000</v>
      </c>
      <c r="H1165" s="284" t="s">
        <v>125</v>
      </c>
      <c r="I1165" s="1035"/>
      <c r="J1165" s="644">
        <v>8775000</v>
      </c>
    </row>
    <row r="1166" spans="1:10">
      <c r="A1166" s="638" t="s">
        <v>6635</v>
      </c>
      <c r="B1166" s="284" t="s">
        <v>6635</v>
      </c>
      <c r="C1166" s="275" t="s">
        <v>6652</v>
      </c>
      <c r="D1166" s="276">
        <v>1</v>
      </c>
      <c r="E1166" s="277">
        <v>6</v>
      </c>
      <c r="F1166" s="1035"/>
      <c r="G1166" s="401">
        <f t="shared" si="1"/>
        <v>5400000</v>
      </c>
      <c r="H1166" s="284" t="s">
        <v>125</v>
      </c>
      <c r="I1166" s="1035"/>
      <c r="J1166" s="644">
        <v>9000000</v>
      </c>
    </row>
    <row r="1167" spans="1:10">
      <c r="A1167" s="638" t="s">
        <v>6635</v>
      </c>
      <c r="B1167" s="284" t="s">
        <v>6635</v>
      </c>
      <c r="C1167" s="275" t="s">
        <v>6653</v>
      </c>
      <c r="D1167" s="276">
        <v>0.5</v>
      </c>
      <c r="E1167" s="277">
        <v>3</v>
      </c>
      <c r="F1167" s="1035"/>
      <c r="G1167" s="401">
        <f t="shared" si="1"/>
        <v>1350000</v>
      </c>
      <c r="H1167" s="284" t="s">
        <v>125</v>
      </c>
      <c r="I1167" s="1035"/>
      <c r="J1167" s="644">
        <v>2250000</v>
      </c>
    </row>
    <row r="1168" spans="1:10">
      <c r="A1168" s="638" t="s">
        <v>6635</v>
      </c>
      <c r="B1168" s="284" t="s">
        <v>6635</v>
      </c>
      <c r="C1168" s="275" t="s">
        <v>6654</v>
      </c>
      <c r="D1168" s="276">
        <v>0.85</v>
      </c>
      <c r="E1168" s="277">
        <v>3</v>
      </c>
      <c r="F1168" s="1035"/>
      <c r="G1168" s="401">
        <f t="shared" si="1"/>
        <v>2295000</v>
      </c>
      <c r="H1168" s="284" t="s">
        <v>125</v>
      </c>
      <c r="I1168" s="1035"/>
      <c r="J1168" s="644">
        <v>3825000</v>
      </c>
    </row>
    <row r="1169" spans="1:10">
      <c r="A1169" s="638" t="s">
        <v>6635</v>
      </c>
      <c r="B1169" s="284" t="s">
        <v>6635</v>
      </c>
      <c r="C1169" s="275" t="s">
        <v>6655</v>
      </c>
      <c r="D1169" s="276">
        <v>0.4</v>
      </c>
      <c r="E1169" s="277">
        <v>3</v>
      </c>
      <c r="F1169" s="1035"/>
      <c r="G1169" s="401">
        <f t="shared" si="1"/>
        <v>1080000</v>
      </c>
      <c r="H1169" s="284" t="s">
        <v>125</v>
      </c>
      <c r="I1169" s="1035"/>
      <c r="J1169" s="644">
        <v>1800000</v>
      </c>
    </row>
    <row r="1170" spans="1:10">
      <c r="A1170" s="638" t="s">
        <v>6635</v>
      </c>
      <c r="B1170" s="284" t="s">
        <v>6635</v>
      </c>
      <c r="C1170" s="275" t="s">
        <v>6656</v>
      </c>
      <c r="D1170" s="276">
        <v>0.7</v>
      </c>
      <c r="E1170" s="277">
        <v>3</v>
      </c>
      <c r="F1170" s="1035"/>
      <c r="G1170" s="401">
        <f t="shared" si="1"/>
        <v>1890000</v>
      </c>
      <c r="H1170" s="284" t="s">
        <v>125</v>
      </c>
      <c r="I1170" s="1035"/>
      <c r="J1170" s="644">
        <v>3150000</v>
      </c>
    </row>
    <row r="1171" spans="1:10">
      <c r="A1171" s="638" t="s">
        <v>6635</v>
      </c>
      <c r="B1171" s="284" t="s">
        <v>6635</v>
      </c>
      <c r="C1171" s="275" t="s">
        <v>6657</v>
      </c>
      <c r="D1171" s="276">
        <v>0.2</v>
      </c>
      <c r="E1171" s="277">
        <v>3</v>
      </c>
      <c r="F1171" s="1035"/>
      <c r="G1171" s="401">
        <f t="shared" si="1"/>
        <v>540000</v>
      </c>
      <c r="H1171" s="284" t="s">
        <v>125</v>
      </c>
      <c r="I1171" s="1035"/>
      <c r="J1171" s="644">
        <v>900000</v>
      </c>
    </row>
    <row r="1172" spans="1:10">
      <c r="A1172" s="638" t="s">
        <v>6635</v>
      </c>
      <c r="B1172" s="284" t="s">
        <v>6635</v>
      </c>
      <c r="C1172" s="275" t="s">
        <v>6658</v>
      </c>
      <c r="D1172" s="276">
        <v>0.2</v>
      </c>
      <c r="E1172" s="277">
        <v>3</v>
      </c>
      <c r="F1172" s="1035"/>
      <c r="G1172" s="401">
        <f t="shared" si="1"/>
        <v>540000</v>
      </c>
      <c r="H1172" s="284" t="s">
        <v>125</v>
      </c>
      <c r="I1172" s="1035"/>
      <c r="J1172" s="644">
        <v>900000</v>
      </c>
    </row>
    <row r="1173" spans="1:10">
      <c r="A1173" s="638" t="s">
        <v>6635</v>
      </c>
      <c r="B1173" s="284" t="s">
        <v>6635</v>
      </c>
      <c r="C1173" s="275" t="s">
        <v>6659</v>
      </c>
      <c r="D1173" s="276">
        <v>0.03</v>
      </c>
      <c r="E1173" s="277">
        <v>3</v>
      </c>
      <c r="F1173" s="1035"/>
      <c r="G1173" s="401">
        <f t="shared" si="1"/>
        <v>81000</v>
      </c>
      <c r="H1173" s="284" t="s">
        <v>125</v>
      </c>
      <c r="I1173" s="1035"/>
      <c r="J1173" s="644">
        <v>135000</v>
      </c>
    </row>
    <row r="1174" spans="1:10">
      <c r="A1174" s="638" t="s">
        <v>6635</v>
      </c>
      <c r="B1174" s="284" t="s">
        <v>6635</v>
      </c>
      <c r="C1174" s="275" t="s">
        <v>6660</v>
      </c>
      <c r="D1174" s="276">
        <v>1.6</v>
      </c>
      <c r="E1174" s="277">
        <v>3</v>
      </c>
      <c r="F1174" s="1035"/>
      <c r="G1174" s="401">
        <f t="shared" si="1"/>
        <v>4320000</v>
      </c>
      <c r="H1174" s="284" t="s">
        <v>125</v>
      </c>
      <c r="I1174" s="1035"/>
      <c r="J1174" s="644">
        <v>7200000</v>
      </c>
    </row>
    <row r="1175" spans="1:10">
      <c r="A1175" s="638" t="s">
        <v>6635</v>
      </c>
      <c r="B1175" s="284" t="s">
        <v>6635</v>
      </c>
      <c r="C1175" s="275" t="s">
        <v>6661</v>
      </c>
      <c r="D1175" s="276">
        <v>0.12700000000000003</v>
      </c>
      <c r="E1175" s="277">
        <v>3</v>
      </c>
      <c r="F1175" s="1035"/>
      <c r="G1175" s="401">
        <f t="shared" si="1"/>
        <v>342900.00000000012</v>
      </c>
      <c r="H1175" s="284" t="s">
        <v>125</v>
      </c>
      <c r="I1175" s="1035"/>
      <c r="J1175" s="644">
        <v>571500.00000000023</v>
      </c>
    </row>
    <row r="1176" spans="1:10">
      <c r="A1176" s="638" t="s">
        <v>6635</v>
      </c>
      <c r="B1176" s="284" t="s">
        <v>6635</v>
      </c>
      <c r="C1176" s="275" t="s">
        <v>6661</v>
      </c>
      <c r="D1176" s="276">
        <v>0.21299999999999999</v>
      </c>
      <c r="E1176" s="277">
        <v>4</v>
      </c>
      <c r="F1176" s="1035" t="s">
        <v>6637</v>
      </c>
      <c r="G1176" s="401">
        <f t="shared" si="1"/>
        <v>766800</v>
      </c>
      <c r="H1176" s="284" t="s">
        <v>125</v>
      </c>
      <c r="I1176" s="1035" t="s">
        <v>6638</v>
      </c>
      <c r="J1176" s="644">
        <v>1278000</v>
      </c>
    </row>
    <row r="1177" spans="1:10">
      <c r="A1177" s="638" t="s">
        <v>6635</v>
      </c>
      <c r="B1177" s="284" t="s">
        <v>6635</v>
      </c>
      <c r="C1177" s="275" t="s">
        <v>6662</v>
      </c>
      <c r="D1177" s="276">
        <v>0.9</v>
      </c>
      <c r="E1177" s="277">
        <v>3</v>
      </c>
      <c r="F1177" s="1035"/>
      <c r="G1177" s="401">
        <f t="shared" si="1"/>
        <v>2430000</v>
      </c>
      <c r="H1177" s="284" t="s">
        <v>125</v>
      </c>
      <c r="I1177" s="1035"/>
      <c r="J1177" s="644">
        <v>4050000</v>
      </c>
    </row>
    <row r="1178" spans="1:10">
      <c r="A1178" s="638" t="s">
        <v>6635</v>
      </c>
      <c r="B1178" s="284" t="s">
        <v>6635</v>
      </c>
      <c r="C1178" s="275" t="s">
        <v>6663</v>
      </c>
      <c r="D1178" s="276">
        <v>0.8</v>
      </c>
      <c r="E1178" s="277">
        <v>3</v>
      </c>
      <c r="F1178" s="1035"/>
      <c r="G1178" s="401">
        <f t="shared" si="1"/>
        <v>2160000</v>
      </c>
      <c r="H1178" s="284" t="s">
        <v>125</v>
      </c>
      <c r="I1178" s="1035"/>
      <c r="J1178" s="644">
        <v>3600000</v>
      </c>
    </row>
    <row r="1179" spans="1:10">
      <c r="A1179" s="638" t="s">
        <v>6635</v>
      </c>
      <c r="B1179" s="284" t="s">
        <v>6635</v>
      </c>
      <c r="C1179" s="275" t="s">
        <v>6664</v>
      </c>
      <c r="D1179" s="276">
        <v>1.8</v>
      </c>
      <c r="E1179" s="277">
        <v>4</v>
      </c>
      <c r="F1179" s="1035"/>
      <c r="G1179" s="401">
        <f t="shared" si="1"/>
        <v>6480000</v>
      </c>
      <c r="H1179" s="284" t="s">
        <v>125</v>
      </c>
      <c r="I1179" s="1035"/>
      <c r="J1179" s="644">
        <v>10800000</v>
      </c>
    </row>
    <row r="1180" spans="1:10">
      <c r="A1180" s="638" t="s">
        <v>6635</v>
      </c>
      <c r="B1180" s="284" t="s">
        <v>6635</v>
      </c>
      <c r="C1180" s="275" t="s">
        <v>6665</v>
      </c>
      <c r="D1180" s="276">
        <v>0.5</v>
      </c>
      <c r="E1180" s="277">
        <v>3</v>
      </c>
      <c r="F1180" s="1035"/>
      <c r="G1180" s="401">
        <f t="shared" si="1"/>
        <v>1350000</v>
      </c>
      <c r="H1180" s="284" t="s">
        <v>125</v>
      </c>
      <c r="I1180" s="1035"/>
      <c r="J1180" s="644">
        <v>2250000</v>
      </c>
    </row>
    <row r="1181" spans="1:10">
      <c r="A1181" s="638" t="s">
        <v>6635</v>
      </c>
      <c r="B1181" s="284" t="s">
        <v>6635</v>
      </c>
      <c r="C1181" s="275" t="s">
        <v>6666</v>
      </c>
      <c r="D1181" s="276">
        <v>0.9</v>
      </c>
      <c r="E1181" s="277">
        <v>3</v>
      </c>
      <c r="F1181" s="1035"/>
      <c r="G1181" s="401">
        <f t="shared" si="1"/>
        <v>2430000</v>
      </c>
      <c r="H1181" s="284" t="s">
        <v>125</v>
      </c>
      <c r="I1181" s="1035"/>
      <c r="J1181" s="644">
        <v>4050000</v>
      </c>
    </row>
    <row r="1182" spans="1:10">
      <c r="A1182" s="638" t="s">
        <v>6635</v>
      </c>
      <c r="B1182" s="284" t="s">
        <v>6635</v>
      </c>
      <c r="C1182" s="275" t="s">
        <v>6667</v>
      </c>
      <c r="D1182" s="276">
        <v>0.6</v>
      </c>
      <c r="E1182" s="277">
        <v>3</v>
      </c>
      <c r="F1182" s="1035"/>
      <c r="G1182" s="401">
        <f t="shared" si="1"/>
        <v>1620000</v>
      </c>
      <c r="H1182" s="284" t="s">
        <v>125</v>
      </c>
      <c r="I1182" s="1035"/>
      <c r="J1182" s="644">
        <v>2700000</v>
      </c>
    </row>
    <row r="1183" spans="1:10">
      <c r="A1183" s="638" t="s">
        <v>6635</v>
      </c>
      <c r="B1183" s="284" t="s">
        <v>6635</v>
      </c>
      <c r="C1183" s="275" t="s">
        <v>6668</v>
      </c>
      <c r="D1183" s="276">
        <v>0.4</v>
      </c>
      <c r="E1183" s="277">
        <v>3</v>
      </c>
      <c r="F1183" s="1035"/>
      <c r="G1183" s="401">
        <f t="shared" si="1"/>
        <v>1080000</v>
      </c>
      <c r="H1183" s="284" t="s">
        <v>125</v>
      </c>
      <c r="I1183" s="1035"/>
      <c r="J1183" s="644">
        <v>1800000</v>
      </c>
    </row>
    <row r="1184" spans="1:10">
      <c r="A1184" s="638" t="s">
        <v>6635</v>
      </c>
      <c r="B1184" s="284" t="s">
        <v>6635</v>
      </c>
      <c r="C1184" s="275" t="s">
        <v>6669</v>
      </c>
      <c r="D1184" s="276">
        <v>0.2</v>
      </c>
      <c r="E1184" s="277">
        <v>3</v>
      </c>
      <c r="F1184" s="1035"/>
      <c r="G1184" s="401">
        <f t="shared" si="1"/>
        <v>540000</v>
      </c>
      <c r="H1184" s="284" t="s">
        <v>125</v>
      </c>
      <c r="I1184" s="1035"/>
      <c r="J1184" s="644">
        <v>900000</v>
      </c>
    </row>
    <row r="1185" spans="1:10">
      <c r="A1185" s="638" t="s">
        <v>6635</v>
      </c>
      <c r="B1185" s="284" t="s">
        <v>6635</v>
      </c>
      <c r="C1185" s="275" t="s">
        <v>6670</v>
      </c>
      <c r="D1185" s="276">
        <v>0.3</v>
      </c>
      <c r="E1185" s="277">
        <v>3</v>
      </c>
      <c r="F1185" s="1035"/>
      <c r="G1185" s="401">
        <f t="shared" si="1"/>
        <v>810000</v>
      </c>
      <c r="H1185" s="284" t="s">
        <v>125</v>
      </c>
      <c r="I1185" s="1035"/>
      <c r="J1185" s="644">
        <v>1350000</v>
      </c>
    </row>
    <row r="1186" spans="1:10">
      <c r="A1186" s="638" t="s">
        <v>6635</v>
      </c>
      <c r="B1186" s="284" t="s">
        <v>6635</v>
      </c>
      <c r="C1186" s="275" t="s">
        <v>6671</v>
      </c>
      <c r="D1186" s="276">
        <v>0.28000000000000003</v>
      </c>
      <c r="E1186" s="277">
        <v>3</v>
      </c>
      <c r="F1186" s="1035"/>
      <c r="G1186" s="401">
        <f t="shared" si="1"/>
        <v>756000</v>
      </c>
      <c r="H1186" s="284" t="s">
        <v>125</v>
      </c>
      <c r="I1186" s="1035"/>
      <c r="J1186" s="644">
        <v>1260000</v>
      </c>
    </row>
    <row r="1187" spans="1:10">
      <c r="A1187" s="638" t="s">
        <v>6635</v>
      </c>
      <c r="B1187" s="284" t="s">
        <v>6635</v>
      </c>
      <c r="C1187" s="275" t="s">
        <v>6671</v>
      </c>
      <c r="D1187" s="276">
        <v>0.21999999999999997</v>
      </c>
      <c r="E1187" s="277">
        <v>3</v>
      </c>
      <c r="F1187" s="1035"/>
      <c r="G1187" s="401">
        <f t="shared" si="1"/>
        <v>593999.99999999977</v>
      </c>
      <c r="H1187" s="284" t="s">
        <v>125</v>
      </c>
      <c r="I1187" s="1035"/>
      <c r="J1187" s="644">
        <v>989999.99999999965</v>
      </c>
    </row>
    <row r="1188" spans="1:10">
      <c r="A1188" s="638" t="s">
        <v>6635</v>
      </c>
      <c r="B1188" s="284" t="s">
        <v>6635</v>
      </c>
      <c r="C1188" s="275" t="s">
        <v>6672</v>
      </c>
      <c r="D1188" s="276">
        <v>3.8000000000000006E-2</v>
      </c>
      <c r="E1188" s="277">
        <v>3</v>
      </c>
      <c r="F1188" s="1035"/>
      <c r="G1188" s="401">
        <f t="shared" si="1"/>
        <v>102600.00000000003</v>
      </c>
      <c r="H1188" s="284" t="s">
        <v>125</v>
      </c>
      <c r="I1188" s="1035"/>
      <c r="J1188" s="644">
        <v>171000.00000000006</v>
      </c>
    </row>
    <row r="1189" spans="1:10">
      <c r="A1189" s="638" t="s">
        <v>6635</v>
      </c>
      <c r="B1189" s="284" t="s">
        <v>6635</v>
      </c>
      <c r="C1189" s="275" t="s">
        <v>6673</v>
      </c>
      <c r="D1189" s="276">
        <v>0.4</v>
      </c>
      <c r="E1189" s="277">
        <v>3</v>
      </c>
      <c r="F1189" s="1035"/>
      <c r="G1189" s="401">
        <f t="shared" si="1"/>
        <v>1080000</v>
      </c>
      <c r="H1189" s="284" t="s">
        <v>125</v>
      </c>
      <c r="I1189" s="1035"/>
      <c r="J1189" s="644">
        <v>1800000</v>
      </c>
    </row>
    <row r="1190" spans="1:10">
      <c r="A1190" s="638" t="s">
        <v>6635</v>
      </c>
      <c r="B1190" s="284" t="s">
        <v>6635</v>
      </c>
      <c r="C1190" s="275" t="s">
        <v>6674</v>
      </c>
      <c r="D1190" s="276">
        <v>0.22</v>
      </c>
      <c r="E1190" s="277">
        <v>3</v>
      </c>
      <c r="F1190" s="1035"/>
      <c r="G1190" s="401">
        <f t="shared" si="1"/>
        <v>594000</v>
      </c>
      <c r="H1190" s="284" t="s">
        <v>125</v>
      </c>
      <c r="I1190" s="1035"/>
      <c r="J1190" s="644">
        <v>990000</v>
      </c>
    </row>
    <row r="1191" spans="1:10">
      <c r="A1191" s="638" t="s">
        <v>6635</v>
      </c>
      <c r="B1191" s="284" t="s">
        <v>6635</v>
      </c>
      <c r="C1191" s="275" t="s">
        <v>6675</v>
      </c>
      <c r="D1191" s="276">
        <v>1.9999999999999962E-2</v>
      </c>
      <c r="E1191" s="277">
        <v>3</v>
      </c>
      <c r="F1191" s="1035" t="s">
        <v>6637</v>
      </c>
      <c r="G1191" s="401">
        <f t="shared" si="1"/>
        <v>53999.999999999905</v>
      </c>
      <c r="H1191" s="284" t="s">
        <v>125</v>
      </c>
      <c r="I1191" s="1035"/>
      <c r="J1191" s="644">
        <v>89999.99999999984</v>
      </c>
    </row>
    <row r="1192" spans="1:10">
      <c r="A1192" s="638" t="s">
        <v>6635</v>
      </c>
      <c r="B1192" s="284" t="s">
        <v>6635</v>
      </c>
      <c r="C1192" s="275" t="s">
        <v>6676</v>
      </c>
      <c r="D1192" s="276">
        <v>0.54999999999999993</v>
      </c>
      <c r="E1192" s="277">
        <v>3</v>
      </c>
      <c r="F1192" s="1035"/>
      <c r="G1192" s="401">
        <f t="shared" si="1"/>
        <v>1484999.9999999998</v>
      </c>
      <c r="H1192" s="284" t="s">
        <v>125</v>
      </c>
      <c r="I1192" s="1035"/>
      <c r="J1192" s="644">
        <v>2474999.9999999995</v>
      </c>
    </row>
    <row r="1193" spans="1:10">
      <c r="A1193" s="638" t="s">
        <v>6635</v>
      </c>
      <c r="B1193" s="284" t="s">
        <v>6635</v>
      </c>
      <c r="C1193" s="275" t="s">
        <v>6677</v>
      </c>
      <c r="D1193" s="276">
        <v>0.8</v>
      </c>
      <c r="E1193" s="277">
        <v>3</v>
      </c>
      <c r="F1193" s="1035"/>
      <c r="G1193" s="401">
        <f t="shared" si="1"/>
        <v>2160000</v>
      </c>
      <c r="H1193" s="284" t="s">
        <v>125</v>
      </c>
      <c r="I1193" s="1035"/>
      <c r="J1193" s="644">
        <v>3600000</v>
      </c>
    </row>
    <row r="1194" spans="1:10">
      <c r="A1194" s="638" t="s">
        <v>6635</v>
      </c>
      <c r="B1194" s="284" t="s">
        <v>6635</v>
      </c>
      <c r="C1194" s="275" t="s">
        <v>6678</v>
      </c>
      <c r="D1194" s="276">
        <v>1.4</v>
      </c>
      <c r="E1194" s="277">
        <v>3</v>
      </c>
      <c r="F1194" s="1035"/>
      <c r="G1194" s="401">
        <f t="shared" si="1"/>
        <v>3780000</v>
      </c>
      <c r="H1194" s="284" t="s">
        <v>125</v>
      </c>
      <c r="I1194" s="1035"/>
      <c r="J1194" s="644">
        <v>6300000</v>
      </c>
    </row>
    <row r="1195" spans="1:10">
      <c r="A1195" s="638" t="s">
        <v>6635</v>
      </c>
      <c r="B1195" s="284" t="s">
        <v>6635</v>
      </c>
      <c r="C1195" s="275" t="s">
        <v>6679</v>
      </c>
      <c r="D1195" s="276">
        <v>0.2</v>
      </c>
      <c r="E1195" s="277">
        <v>3</v>
      </c>
      <c r="F1195" s="1035"/>
      <c r="G1195" s="401">
        <f t="shared" si="1"/>
        <v>540000</v>
      </c>
      <c r="H1195" s="284" t="s">
        <v>125</v>
      </c>
      <c r="I1195" s="1035"/>
      <c r="J1195" s="644">
        <v>900000</v>
      </c>
    </row>
    <row r="1196" spans="1:10">
      <c r="A1196" s="638" t="s">
        <v>6635</v>
      </c>
      <c r="B1196" s="284" t="s">
        <v>6635</v>
      </c>
      <c r="C1196" s="275" t="s">
        <v>6680</v>
      </c>
      <c r="D1196" s="276">
        <v>0.7</v>
      </c>
      <c r="E1196" s="277">
        <v>3</v>
      </c>
      <c r="F1196" s="1035"/>
      <c r="G1196" s="401">
        <f t="shared" si="1"/>
        <v>1890000</v>
      </c>
      <c r="H1196" s="284" t="s">
        <v>125</v>
      </c>
      <c r="I1196" s="1035"/>
      <c r="J1196" s="644">
        <v>3150000</v>
      </c>
    </row>
    <row r="1197" spans="1:10">
      <c r="A1197" s="638" t="s">
        <v>6635</v>
      </c>
      <c r="B1197" s="284" t="s">
        <v>6635</v>
      </c>
      <c r="C1197" s="275" t="s">
        <v>6681</v>
      </c>
      <c r="D1197" s="276">
        <v>0.4</v>
      </c>
      <c r="E1197" s="277">
        <v>3</v>
      </c>
      <c r="F1197" s="1035"/>
      <c r="G1197" s="401">
        <f t="shared" si="1"/>
        <v>1080000</v>
      </c>
      <c r="H1197" s="284" t="s">
        <v>125</v>
      </c>
      <c r="I1197" s="1035"/>
      <c r="J1197" s="644">
        <v>1800000</v>
      </c>
    </row>
    <row r="1198" spans="1:10">
      <c r="A1198" s="638" t="s">
        <v>6635</v>
      </c>
      <c r="B1198" s="284" t="s">
        <v>6635</v>
      </c>
      <c r="C1198" s="275" t="s">
        <v>6682</v>
      </c>
      <c r="D1198" s="276">
        <v>0.4</v>
      </c>
      <c r="E1198" s="277">
        <v>3</v>
      </c>
      <c r="F1198" s="1035"/>
      <c r="G1198" s="401">
        <f t="shared" si="1"/>
        <v>1080000</v>
      </c>
      <c r="H1198" s="284" t="s">
        <v>125</v>
      </c>
      <c r="I1198" s="1035"/>
      <c r="J1198" s="644">
        <v>1800000</v>
      </c>
    </row>
    <row r="1199" spans="1:10">
      <c r="A1199" s="638" t="s">
        <v>6635</v>
      </c>
      <c r="B1199" s="284" t="s">
        <v>6635</v>
      </c>
      <c r="C1199" s="275" t="s">
        <v>6683</v>
      </c>
      <c r="D1199" s="276">
        <v>0.4</v>
      </c>
      <c r="E1199" s="277">
        <v>3</v>
      </c>
      <c r="F1199" s="1035"/>
      <c r="G1199" s="401">
        <f t="shared" si="1"/>
        <v>1080000</v>
      </c>
      <c r="H1199" s="284" t="s">
        <v>125</v>
      </c>
      <c r="I1199" s="1035"/>
      <c r="J1199" s="644">
        <v>1800000</v>
      </c>
    </row>
    <row r="1200" spans="1:10">
      <c r="A1200" s="638" t="s">
        <v>6635</v>
      </c>
      <c r="B1200" s="284" t="s">
        <v>6635</v>
      </c>
      <c r="C1200" s="275" t="s">
        <v>6684</v>
      </c>
      <c r="D1200" s="276">
        <v>1.3</v>
      </c>
      <c r="E1200" s="277">
        <v>3</v>
      </c>
      <c r="F1200" s="1035"/>
      <c r="G1200" s="401">
        <f t="shared" si="1"/>
        <v>3510000</v>
      </c>
      <c r="H1200" s="284" t="s">
        <v>125</v>
      </c>
      <c r="I1200" s="1035"/>
      <c r="J1200" s="644">
        <v>5850000</v>
      </c>
    </row>
    <row r="1201" spans="1:10">
      <c r="A1201" s="638" t="s">
        <v>6635</v>
      </c>
      <c r="B1201" s="284" t="s">
        <v>6635</v>
      </c>
      <c r="C1201" s="275" t="s">
        <v>6685</v>
      </c>
      <c r="D1201" s="276">
        <v>0.7</v>
      </c>
      <c r="E1201" s="277">
        <v>3</v>
      </c>
      <c r="F1201" s="1035"/>
      <c r="G1201" s="401">
        <f t="shared" si="1"/>
        <v>1890000</v>
      </c>
      <c r="H1201" s="284" t="s">
        <v>125</v>
      </c>
      <c r="I1201" s="1035"/>
      <c r="J1201" s="644">
        <v>3150000</v>
      </c>
    </row>
    <row r="1202" spans="1:10">
      <c r="A1202" s="638" t="s">
        <v>6635</v>
      </c>
      <c r="B1202" s="284" t="s">
        <v>6635</v>
      </c>
      <c r="C1202" s="275" t="s">
        <v>6686</v>
      </c>
      <c r="D1202" s="276">
        <v>0.2</v>
      </c>
      <c r="E1202" s="277">
        <v>3</v>
      </c>
      <c r="F1202" s="1035" t="s">
        <v>6637</v>
      </c>
      <c r="G1202" s="401">
        <f t="shared" si="1"/>
        <v>540000</v>
      </c>
      <c r="H1202" s="284" t="s">
        <v>125</v>
      </c>
      <c r="I1202" s="1035" t="s">
        <v>6638</v>
      </c>
      <c r="J1202" s="644">
        <v>900000</v>
      </c>
    </row>
    <row r="1203" spans="1:10">
      <c r="A1203" s="638" t="s">
        <v>6635</v>
      </c>
      <c r="B1203" s="284" t="s">
        <v>6635</v>
      </c>
      <c r="C1203" s="275" t="s">
        <v>6687</v>
      </c>
      <c r="D1203" s="276">
        <v>0.5</v>
      </c>
      <c r="E1203" s="277">
        <v>3</v>
      </c>
      <c r="F1203" s="1035"/>
      <c r="G1203" s="401">
        <f t="shared" si="1"/>
        <v>1350000</v>
      </c>
      <c r="H1203" s="284" t="s">
        <v>125</v>
      </c>
      <c r="I1203" s="1035"/>
      <c r="J1203" s="644">
        <v>2250000</v>
      </c>
    </row>
    <row r="1204" spans="1:10">
      <c r="A1204" s="638" t="s">
        <v>6635</v>
      </c>
      <c r="B1204" s="284" t="s">
        <v>6635</v>
      </c>
      <c r="C1204" s="275" t="s">
        <v>6688</v>
      </c>
      <c r="D1204" s="276">
        <v>0.5</v>
      </c>
      <c r="E1204" s="277">
        <v>4</v>
      </c>
      <c r="F1204" s="1035"/>
      <c r="G1204" s="401">
        <f t="shared" si="1"/>
        <v>1800000</v>
      </c>
      <c r="H1204" s="284" t="s">
        <v>125</v>
      </c>
      <c r="I1204" s="1035"/>
      <c r="J1204" s="644">
        <v>3000000</v>
      </c>
    </row>
    <row r="1205" spans="1:10">
      <c r="A1205" s="638" t="s">
        <v>6635</v>
      </c>
      <c r="B1205" s="284" t="s">
        <v>6635</v>
      </c>
      <c r="C1205" s="275" t="s">
        <v>6689</v>
      </c>
      <c r="D1205" s="276">
        <v>0.2</v>
      </c>
      <c r="E1205" s="277">
        <v>3</v>
      </c>
      <c r="F1205" s="1035"/>
      <c r="G1205" s="401">
        <f t="shared" si="1"/>
        <v>540000</v>
      </c>
      <c r="H1205" s="284" t="s">
        <v>125</v>
      </c>
      <c r="I1205" s="1035"/>
      <c r="J1205" s="644">
        <v>900000</v>
      </c>
    </row>
    <row r="1206" spans="1:10">
      <c r="A1206" s="638" t="s">
        <v>6635</v>
      </c>
      <c r="B1206" s="284" t="s">
        <v>6635</v>
      </c>
      <c r="C1206" s="275" t="s">
        <v>6690</v>
      </c>
      <c r="D1206" s="276">
        <v>0.52</v>
      </c>
      <c r="E1206" s="277">
        <v>3</v>
      </c>
      <c r="F1206" s="1035"/>
      <c r="G1206" s="401">
        <f t="shared" si="1"/>
        <v>1404000</v>
      </c>
      <c r="H1206" s="284" t="s">
        <v>125</v>
      </c>
      <c r="I1206" s="1035"/>
      <c r="J1206" s="644">
        <v>2340000</v>
      </c>
    </row>
    <row r="1207" spans="1:10">
      <c r="A1207" s="638" t="s">
        <v>6635</v>
      </c>
      <c r="B1207" s="284" t="s">
        <v>6635</v>
      </c>
      <c r="C1207" s="275" t="s">
        <v>6691</v>
      </c>
      <c r="D1207" s="276">
        <v>1.4</v>
      </c>
      <c r="E1207" s="277">
        <v>3</v>
      </c>
      <c r="F1207" s="1035"/>
      <c r="G1207" s="401">
        <f t="shared" si="1"/>
        <v>3780000</v>
      </c>
      <c r="H1207" s="284" t="s">
        <v>125</v>
      </c>
      <c r="I1207" s="1035"/>
      <c r="J1207" s="644">
        <v>6300000</v>
      </c>
    </row>
    <row r="1208" spans="1:10">
      <c r="A1208" s="638" t="s">
        <v>6635</v>
      </c>
      <c r="B1208" s="284" t="s">
        <v>6635</v>
      </c>
      <c r="C1208" s="275" t="s">
        <v>6692</v>
      </c>
      <c r="D1208" s="276">
        <v>0.5</v>
      </c>
      <c r="E1208" s="277">
        <v>3</v>
      </c>
      <c r="F1208" s="1035"/>
      <c r="G1208" s="401">
        <f t="shared" si="1"/>
        <v>1350000</v>
      </c>
      <c r="H1208" s="284" t="s">
        <v>125</v>
      </c>
      <c r="I1208" s="1035"/>
      <c r="J1208" s="644">
        <v>2250000</v>
      </c>
    </row>
    <row r="1209" spans="1:10">
      <c r="A1209" s="638" t="s">
        <v>6635</v>
      </c>
      <c r="B1209" s="284" t="s">
        <v>6635</v>
      </c>
      <c r="C1209" s="275" t="s">
        <v>6693</v>
      </c>
      <c r="D1209" s="276">
        <v>0.2</v>
      </c>
      <c r="E1209" s="277">
        <v>3</v>
      </c>
      <c r="F1209" s="1035"/>
      <c r="G1209" s="401">
        <f t="shared" si="1"/>
        <v>540000</v>
      </c>
      <c r="H1209" s="284" t="s">
        <v>125</v>
      </c>
      <c r="I1209" s="1035"/>
      <c r="J1209" s="644">
        <v>900000</v>
      </c>
    </row>
    <row r="1210" spans="1:10">
      <c r="A1210" s="638" t="s">
        <v>6635</v>
      </c>
      <c r="B1210" s="284" t="s">
        <v>6635</v>
      </c>
      <c r="C1210" s="275" t="s">
        <v>6693</v>
      </c>
      <c r="D1210" s="276">
        <v>0.2</v>
      </c>
      <c r="E1210" s="277">
        <v>3</v>
      </c>
      <c r="F1210" s="1035"/>
      <c r="G1210" s="401">
        <f t="shared" si="1"/>
        <v>540000</v>
      </c>
      <c r="H1210" s="284" t="s">
        <v>125</v>
      </c>
      <c r="I1210" s="1035"/>
      <c r="J1210" s="644">
        <v>900000</v>
      </c>
    </row>
    <row r="1211" spans="1:10">
      <c r="A1211" s="638" t="s">
        <v>6635</v>
      </c>
      <c r="B1211" s="284" t="s">
        <v>6635</v>
      </c>
      <c r="C1211" s="275" t="s">
        <v>6694</v>
      </c>
      <c r="D1211" s="276">
        <v>0.15</v>
      </c>
      <c r="E1211" s="277">
        <v>4</v>
      </c>
      <c r="F1211" s="1035" t="s">
        <v>6637</v>
      </c>
      <c r="G1211" s="401">
        <f t="shared" si="1"/>
        <v>540000</v>
      </c>
      <c r="H1211" s="284" t="s">
        <v>125</v>
      </c>
      <c r="I1211" s="1035"/>
      <c r="J1211" s="644">
        <v>900000</v>
      </c>
    </row>
    <row r="1212" spans="1:10">
      <c r="A1212" s="638" t="s">
        <v>6635</v>
      </c>
      <c r="B1212" s="284" t="s">
        <v>6635</v>
      </c>
      <c r="C1212" s="275" t="s">
        <v>6694</v>
      </c>
      <c r="D1212" s="276">
        <v>0.2</v>
      </c>
      <c r="E1212" s="277">
        <v>3</v>
      </c>
      <c r="F1212" s="1035"/>
      <c r="G1212" s="401">
        <f t="shared" si="1"/>
        <v>540000</v>
      </c>
      <c r="H1212" s="284" t="s">
        <v>125</v>
      </c>
      <c r="I1212" s="1035"/>
      <c r="J1212" s="644">
        <v>900000</v>
      </c>
    </row>
    <row r="1213" spans="1:10">
      <c r="A1213" s="638" t="s">
        <v>6635</v>
      </c>
      <c r="B1213" s="284" t="s">
        <v>6635</v>
      </c>
      <c r="C1213" s="275" t="s">
        <v>6695</v>
      </c>
      <c r="D1213" s="276">
        <v>1.4</v>
      </c>
      <c r="E1213" s="277">
        <v>3</v>
      </c>
      <c r="F1213" s="1035"/>
      <c r="G1213" s="401">
        <f t="shared" si="1"/>
        <v>3780000</v>
      </c>
      <c r="H1213" s="284" t="s">
        <v>125</v>
      </c>
      <c r="I1213" s="1035"/>
      <c r="J1213" s="644">
        <v>6300000</v>
      </c>
    </row>
    <row r="1214" spans="1:10">
      <c r="A1214" s="638" t="s">
        <v>6635</v>
      </c>
      <c r="B1214" s="284" t="s">
        <v>6635</v>
      </c>
      <c r="C1214" s="275" t="s">
        <v>6696</v>
      </c>
      <c r="D1214" s="276">
        <v>0.3</v>
      </c>
      <c r="E1214" s="277">
        <v>3</v>
      </c>
      <c r="F1214" s="1035"/>
      <c r="G1214" s="401">
        <f t="shared" si="1"/>
        <v>810000</v>
      </c>
      <c r="H1214" s="284" t="s">
        <v>125</v>
      </c>
      <c r="I1214" s="1035"/>
      <c r="J1214" s="644">
        <v>1350000</v>
      </c>
    </row>
    <row r="1215" spans="1:10">
      <c r="A1215" s="638" t="s">
        <v>6635</v>
      </c>
      <c r="B1215" s="284" t="s">
        <v>6635</v>
      </c>
      <c r="C1215" s="275" t="s">
        <v>6697</v>
      </c>
      <c r="D1215" s="276">
        <v>0.9</v>
      </c>
      <c r="E1215" s="277">
        <v>3</v>
      </c>
      <c r="F1215" s="1035"/>
      <c r="G1215" s="401">
        <f t="shared" ref="G1215:G1278" si="2">J1215*0.6</f>
        <v>2430000</v>
      </c>
      <c r="H1215" s="284" t="s">
        <v>125</v>
      </c>
      <c r="I1215" s="1035"/>
      <c r="J1215" s="644">
        <v>4050000</v>
      </c>
    </row>
    <row r="1216" spans="1:10">
      <c r="A1216" s="638" t="s">
        <v>6635</v>
      </c>
      <c r="B1216" s="284" t="s">
        <v>6635</v>
      </c>
      <c r="C1216" s="275" t="s">
        <v>6698</v>
      </c>
      <c r="D1216" s="276">
        <v>1.5</v>
      </c>
      <c r="E1216" s="277">
        <v>3</v>
      </c>
      <c r="F1216" s="1035"/>
      <c r="G1216" s="401">
        <f t="shared" si="2"/>
        <v>4050000</v>
      </c>
      <c r="H1216" s="284" t="s">
        <v>125</v>
      </c>
      <c r="I1216" s="1035"/>
      <c r="J1216" s="644">
        <v>6750000</v>
      </c>
    </row>
    <row r="1217" spans="1:10">
      <c r="A1217" s="638" t="s">
        <v>6635</v>
      </c>
      <c r="B1217" s="284" t="s">
        <v>6635</v>
      </c>
      <c r="C1217" s="275" t="s">
        <v>6699</v>
      </c>
      <c r="D1217" s="276">
        <v>1</v>
      </c>
      <c r="E1217" s="277">
        <v>3</v>
      </c>
      <c r="F1217" s="1035"/>
      <c r="G1217" s="401">
        <f t="shared" si="2"/>
        <v>2700000</v>
      </c>
      <c r="H1217" s="284" t="s">
        <v>125</v>
      </c>
      <c r="I1217" s="1035"/>
      <c r="J1217" s="644">
        <v>4500000</v>
      </c>
    </row>
    <row r="1218" spans="1:10">
      <c r="A1218" s="638" t="s">
        <v>6635</v>
      </c>
      <c r="B1218" s="284" t="s">
        <v>6635</v>
      </c>
      <c r="C1218" s="275" t="s">
        <v>6699</v>
      </c>
      <c r="D1218" s="276">
        <v>1</v>
      </c>
      <c r="E1218" s="277">
        <v>3</v>
      </c>
      <c r="F1218" s="1035"/>
      <c r="G1218" s="401">
        <f t="shared" si="2"/>
        <v>2700000</v>
      </c>
      <c r="H1218" s="284" t="s">
        <v>125</v>
      </c>
      <c r="I1218" s="1035"/>
      <c r="J1218" s="644">
        <v>4500000</v>
      </c>
    </row>
    <row r="1219" spans="1:10">
      <c r="A1219" s="638" t="s">
        <v>6635</v>
      </c>
      <c r="B1219" s="284" t="s">
        <v>6635</v>
      </c>
      <c r="C1219" s="275" t="s">
        <v>6700</v>
      </c>
      <c r="D1219" s="276">
        <v>0.9</v>
      </c>
      <c r="E1219" s="277">
        <v>3</v>
      </c>
      <c r="F1219" s="1035"/>
      <c r="G1219" s="401">
        <f t="shared" si="2"/>
        <v>2430000</v>
      </c>
      <c r="H1219" s="284" t="s">
        <v>125</v>
      </c>
      <c r="I1219" s="1035"/>
      <c r="J1219" s="644">
        <v>4050000</v>
      </c>
    </row>
    <row r="1220" spans="1:10">
      <c r="A1220" s="638" t="s">
        <v>6635</v>
      </c>
      <c r="B1220" s="284" t="s">
        <v>6635</v>
      </c>
      <c r="C1220" s="275" t="s">
        <v>6701</v>
      </c>
      <c r="D1220" s="276">
        <v>4.0999999999999996</v>
      </c>
      <c r="E1220" s="277">
        <v>3</v>
      </c>
      <c r="F1220" s="1035"/>
      <c r="G1220" s="401">
        <f t="shared" si="2"/>
        <v>11070000</v>
      </c>
      <c r="H1220" s="284" t="s">
        <v>125</v>
      </c>
      <c r="I1220" s="1035"/>
      <c r="J1220" s="644">
        <v>18450000</v>
      </c>
    </row>
    <row r="1221" spans="1:10">
      <c r="A1221" s="638" t="s">
        <v>6635</v>
      </c>
      <c r="B1221" s="284" t="s">
        <v>6635</v>
      </c>
      <c r="C1221" s="275" t="s">
        <v>6702</v>
      </c>
      <c r="D1221" s="276">
        <v>1.9</v>
      </c>
      <c r="E1221" s="277">
        <v>3</v>
      </c>
      <c r="F1221" s="1035"/>
      <c r="G1221" s="401">
        <f t="shared" si="2"/>
        <v>5130000</v>
      </c>
      <c r="H1221" s="284" t="s">
        <v>125</v>
      </c>
      <c r="I1221" s="1035"/>
      <c r="J1221" s="644">
        <v>8550000</v>
      </c>
    </row>
    <row r="1222" spans="1:10">
      <c r="A1222" s="638" t="s">
        <v>6635</v>
      </c>
      <c r="B1222" s="284" t="s">
        <v>6635</v>
      </c>
      <c r="C1222" s="275" t="s">
        <v>6703</v>
      </c>
      <c r="D1222" s="276">
        <v>2.8</v>
      </c>
      <c r="E1222" s="277">
        <v>3</v>
      </c>
      <c r="F1222" s="1035"/>
      <c r="G1222" s="401">
        <f t="shared" si="2"/>
        <v>7560000</v>
      </c>
      <c r="H1222" s="284" t="s">
        <v>125</v>
      </c>
      <c r="I1222" s="1035"/>
      <c r="J1222" s="644">
        <v>12600000</v>
      </c>
    </row>
    <row r="1223" spans="1:10">
      <c r="A1223" s="638" t="s">
        <v>6635</v>
      </c>
      <c r="B1223" s="284" t="s">
        <v>6635</v>
      </c>
      <c r="C1223" s="275" t="s">
        <v>6704</v>
      </c>
      <c r="D1223" s="276">
        <v>0.3</v>
      </c>
      <c r="E1223" s="277">
        <v>3</v>
      </c>
      <c r="F1223" s="1035"/>
      <c r="G1223" s="401">
        <f t="shared" si="2"/>
        <v>810000</v>
      </c>
      <c r="H1223" s="284" t="s">
        <v>125</v>
      </c>
      <c r="I1223" s="1035"/>
      <c r="J1223" s="644">
        <v>1350000</v>
      </c>
    </row>
    <row r="1224" spans="1:10">
      <c r="A1224" s="638" t="s">
        <v>6635</v>
      </c>
      <c r="B1224" s="284" t="s">
        <v>6635</v>
      </c>
      <c r="C1224" s="275" t="s">
        <v>6705</v>
      </c>
      <c r="D1224" s="276">
        <v>0.3</v>
      </c>
      <c r="E1224" s="277">
        <v>3</v>
      </c>
      <c r="F1224" s="1035"/>
      <c r="G1224" s="401">
        <f t="shared" si="2"/>
        <v>810000</v>
      </c>
      <c r="H1224" s="284" t="s">
        <v>125</v>
      </c>
      <c r="I1224" s="1035"/>
      <c r="J1224" s="644">
        <v>1350000</v>
      </c>
    </row>
    <row r="1225" spans="1:10">
      <c r="A1225" s="638" t="s">
        <v>6635</v>
      </c>
      <c r="B1225" s="284" t="s">
        <v>6635</v>
      </c>
      <c r="C1225" s="275" t="s">
        <v>6706</v>
      </c>
      <c r="D1225" s="276">
        <v>0.2</v>
      </c>
      <c r="E1225" s="277">
        <v>4</v>
      </c>
      <c r="F1225" s="1035"/>
      <c r="G1225" s="401">
        <f t="shared" si="2"/>
        <v>720000</v>
      </c>
      <c r="H1225" s="284" t="s">
        <v>125</v>
      </c>
      <c r="I1225" s="1035"/>
      <c r="J1225" s="644">
        <v>1200000</v>
      </c>
    </row>
    <row r="1226" spans="1:10">
      <c r="A1226" s="638" t="s">
        <v>6635</v>
      </c>
      <c r="B1226" s="284" t="s">
        <v>6635</v>
      </c>
      <c r="C1226" s="275" t="s">
        <v>6707</v>
      </c>
      <c r="D1226" s="276">
        <v>1</v>
      </c>
      <c r="E1226" s="277">
        <v>2.5</v>
      </c>
      <c r="F1226" s="1035"/>
      <c r="G1226" s="401">
        <f t="shared" si="2"/>
        <v>2250000</v>
      </c>
      <c r="H1226" s="284" t="s">
        <v>125</v>
      </c>
      <c r="I1226" s="1035"/>
      <c r="J1226" s="644">
        <v>3750000</v>
      </c>
    </row>
    <row r="1227" spans="1:10">
      <c r="A1227" s="638" t="s">
        <v>6635</v>
      </c>
      <c r="B1227" s="284" t="s">
        <v>6635</v>
      </c>
      <c r="C1227" s="275" t="s">
        <v>6708</v>
      </c>
      <c r="D1227" s="276">
        <v>1</v>
      </c>
      <c r="E1227" s="277">
        <v>6</v>
      </c>
      <c r="F1227" s="1035"/>
      <c r="G1227" s="401">
        <f t="shared" si="2"/>
        <v>5400000</v>
      </c>
      <c r="H1227" s="284" t="s">
        <v>125</v>
      </c>
      <c r="I1227" s="284"/>
      <c r="J1227" s="644">
        <v>9000000</v>
      </c>
    </row>
    <row r="1228" spans="1:10">
      <c r="A1228" s="638" t="s">
        <v>6635</v>
      </c>
      <c r="B1228" s="284" t="s">
        <v>6635</v>
      </c>
      <c r="C1228" s="275" t="s">
        <v>6709</v>
      </c>
      <c r="D1228" s="276">
        <v>0.2</v>
      </c>
      <c r="E1228" s="277">
        <v>4.0999999999999996</v>
      </c>
      <c r="F1228" s="1035" t="s">
        <v>6637</v>
      </c>
      <c r="G1228" s="401">
        <f t="shared" si="2"/>
        <v>738000</v>
      </c>
      <c r="H1228" s="284" t="s">
        <v>125</v>
      </c>
      <c r="I1228" s="1035" t="s">
        <v>6638</v>
      </c>
      <c r="J1228" s="644">
        <v>1230000</v>
      </c>
    </row>
    <row r="1229" spans="1:10">
      <c r="A1229" s="638" t="s">
        <v>6635</v>
      </c>
      <c r="B1229" s="284" t="s">
        <v>6635</v>
      </c>
      <c r="C1229" s="275" t="s">
        <v>6710</v>
      </c>
      <c r="D1229" s="276">
        <v>0.5</v>
      </c>
      <c r="E1229" s="277">
        <v>4.2</v>
      </c>
      <c r="F1229" s="1035"/>
      <c r="G1229" s="401">
        <f t="shared" si="2"/>
        <v>1890000</v>
      </c>
      <c r="H1229" s="284" t="s">
        <v>125</v>
      </c>
      <c r="I1229" s="1035"/>
      <c r="J1229" s="644">
        <v>3150000</v>
      </c>
    </row>
    <row r="1230" spans="1:10">
      <c r="A1230" s="638" t="s">
        <v>6635</v>
      </c>
      <c r="B1230" s="284" t="s">
        <v>6635</v>
      </c>
      <c r="C1230" s="275" t="s">
        <v>6711</v>
      </c>
      <c r="D1230" s="276">
        <v>1.1000000000000001</v>
      </c>
      <c r="E1230" s="277">
        <v>4</v>
      </c>
      <c r="F1230" s="1035"/>
      <c r="G1230" s="401">
        <f t="shared" si="2"/>
        <v>3960000</v>
      </c>
      <c r="H1230" s="284" t="s">
        <v>125</v>
      </c>
      <c r="I1230" s="1035"/>
      <c r="J1230" s="644">
        <v>6600000</v>
      </c>
    </row>
    <row r="1231" spans="1:10">
      <c r="A1231" s="638" t="s">
        <v>6635</v>
      </c>
      <c r="B1231" s="284" t="s">
        <v>6635</v>
      </c>
      <c r="C1231" s="284" t="s">
        <v>6712</v>
      </c>
      <c r="D1231" s="276">
        <v>1.1000000000000001</v>
      </c>
      <c r="E1231" s="277">
        <v>4</v>
      </c>
      <c r="F1231" s="1035"/>
      <c r="G1231" s="401">
        <f t="shared" si="2"/>
        <v>3960000</v>
      </c>
      <c r="H1231" s="284" t="s">
        <v>125</v>
      </c>
      <c r="I1231" s="1035"/>
      <c r="J1231" s="644">
        <v>6600000</v>
      </c>
    </row>
    <row r="1232" spans="1:10">
      <c r="A1232" s="638" t="s">
        <v>6635</v>
      </c>
      <c r="B1232" s="284" t="s">
        <v>6635</v>
      </c>
      <c r="C1232" s="275" t="s">
        <v>6685</v>
      </c>
      <c r="D1232" s="276">
        <v>0.7</v>
      </c>
      <c r="E1232" s="277">
        <v>3</v>
      </c>
      <c r="F1232" s="1035"/>
      <c r="G1232" s="401">
        <f t="shared" si="2"/>
        <v>1890000</v>
      </c>
      <c r="H1232" s="284" t="s">
        <v>125</v>
      </c>
      <c r="I1232" s="1035"/>
      <c r="J1232" s="644">
        <v>3150000</v>
      </c>
    </row>
    <row r="1233" spans="1:10">
      <c r="A1233" s="638" t="s">
        <v>6635</v>
      </c>
      <c r="B1233" s="284" t="s">
        <v>6635</v>
      </c>
      <c r="C1233" s="275" t="s">
        <v>6686</v>
      </c>
      <c r="D1233" s="276">
        <v>0.2</v>
      </c>
      <c r="E1233" s="277">
        <v>3</v>
      </c>
      <c r="F1233" s="1035"/>
      <c r="G1233" s="401">
        <f t="shared" si="2"/>
        <v>540000</v>
      </c>
      <c r="H1233" s="284" t="s">
        <v>125</v>
      </c>
      <c r="I1233" s="1035"/>
      <c r="J1233" s="644">
        <v>900000</v>
      </c>
    </row>
    <row r="1234" spans="1:10">
      <c r="A1234" s="638" t="s">
        <v>6635</v>
      </c>
      <c r="B1234" s="284" t="s">
        <v>6635</v>
      </c>
      <c r="C1234" s="275" t="s">
        <v>6713</v>
      </c>
      <c r="D1234" s="276">
        <v>1.1000000000000001</v>
      </c>
      <c r="E1234" s="277">
        <v>3</v>
      </c>
      <c r="F1234" s="1035"/>
      <c r="G1234" s="401">
        <f t="shared" si="2"/>
        <v>2970000</v>
      </c>
      <c r="H1234" s="284" t="s">
        <v>125</v>
      </c>
      <c r="I1234" s="1035"/>
      <c r="J1234" s="644">
        <v>4950000</v>
      </c>
    </row>
    <row r="1235" spans="1:10">
      <c r="A1235" s="638" t="s">
        <v>6635</v>
      </c>
      <c r="B1235" s="284" t="s">
        <v>6635</v>
      </c>
      <c r="C1235" s="275" t="s">
        <v>6687</v>
      </c>
      <c r="D1235" s="276">
        <v>0.5</v>
      </c>
      <c r="E1235" s="277">
        <v>3</v>
      </c>
      <c r="F1235" s="1035"/>
      <c r="G1235" s="401">
        <f t="shared" si="2"/>
        <v>1350000</v>
      </c>
      <c r="H1235" s="284" t="s">
        <v>125</v>
      </c>
      <c r="I1235" s="1035"/>
      <c r="J1235" s="644">
        <v>2250000</v>
      </c>
    </row>
    <row r="1236" spans="1:10">
      <c r="A1236" s="638" t="s">
        <v>6635</v>
      </c>
      <c r="B1236" s="284" t="s">
        <v>6635</v>
      </c>
      <c r="C1236" s="275" t="s">
        <v>6688</v>
      </c>
      <c r="D1236" s="276">
        <v>0.5</v>
      </c>
      <c r="E1236" s="277">
        <v>4</v>
      </c>
      <c r="F1236" s="1035"/>
      <c r="G1236" s="401">
        <f t="shared" si="2"/>
        <v>1800000</v>
      </c>
      <c r="H1236" s="284" t="s">
        <v>125</v>
      </c>
      <c r="I1236" s="1035"/>
      <c r="J1236" s="644">
        <v>3000000</v>
      </c>
    </row>
    <row r="1237" spans="1:10">
      <c r="A1237" s="638" t="s">
        <v>6635</v>
      </c>
      <c r="B1237" s="284" t="s">
        <v>6635</v>
      </c>
      <c r="C1237" s="275" t="s">
        <v>6689</v>
      </c>
      <c r="D1237" s="276">
        <v>0.2</v>
      </c>
      <c r="E1237" s="277">
        <v>3</v>
      </c>
      <c r="F1237" s="1035"/>
      <c r="G1237" s="401">
        <f t="shared" si="2"/>
        <v>540000</v>
      </c>
      <c r="H1237" s="284" t="s">
        <v>125</v>
      </c>
      <c r="I1237" s="1035"/>
      <c r="J1237" s="644">
        <v>900000</v>
      </c>
    </row>
    <row r="1238" spans="1:10">
      <c r="A1238" s="638" t="s">
        <v>6635</v>
      </c>
      <c r="B1238" s="284" t="s">
        <v>6635</v>
      </c>
      <c r="C1238" s="275" t="s">
        <v>6714</v>
      </c>
      <c r="D1238" s="276">
        <v>0.90000000000000013</v>
      </c>
      <c r="E1238" s="277">
        <v>4</v>
      </c>
      <c r="F1238" s="1035"/>
      <c r="G1238" s="401">
        <f t="shared" si="2"/>
        <v>3240000.0000000005</v>
      </c>
      <c r="H1238" s="284" t="s">
        <v>125</v>
      </c>
      <c r="I1238" s="1035"/>
      <c r="J1238" s="644">
        <v>5400000.0000000009</v>
      </c>
    </row>
    <row r="1239" spans="1:10">
      <c r="A1239" s="638" t="s">
        <v>6635</v>
      </c>
      <c r="B1239" s="284" t="s">
        <v>6635</v>
      </c>
      <c r="C1239" s="275" t="s">
        <v>6690</v>
      </c>
      <c r="D1239" s="276">
        <v>0.52</v>
      </c>
      <c r="E1239" s="277">
        <v>3</v>
      </c>
      <c r="F1239" s="1035"/>
      <c r="G1239" s="401">
        <f t="shared" si="2"/>
        <v>1404000</v>
      </c>
      <c r="H1239" s="284" t="s">
        <v>125</v>
      </c>
      <c r="I1239" s="1035"/>
      <c r="J1239" s="644">
        <v>2340000</v>
      </c>
    </row>
    <row r="1240" spans="1:10">
      <c r="A1240" s="638" t="s">
        <v>6635</v>
      </c>
      <c r="B1240" s="284" t="s">
        <v>6635</v>
      </c>
      <c r="C1240" s="275" t="s">
        <v>6691</v>
      </c>
      <c r="D1240" s="276">
        <v>1.4</v>
      </c>
      <c r="E1240" s="277">
        <v>3</v>
      </c>
      <c r="F1240" s="1035"/>
      <c r="G1240" s="401">
        <f t="shared" si="2"/>
        <v>3780000</v>
      </c>
      <c r="H1240" s="284" t="s">
        <v>125</v>
      </c>
      <c r="I1240" s="1035"/>
      <c r="J1240" s="644">
        <v>6300000</v>
      </c>
    </row>
    <row r="1241" spans="1:10">
      <c r="A1241" s="638" t="s">
        <v>6635</v>
      </c>
      <c r="B1241" s="284" t="s">
        <v>6635</v>
      </c>
      <c r="C1241" s="275" t="s">
        <v>6715</v>
      </c>
      <c r="D1241" s="276">
        <v>0.4</v>
      </c>
      <c r="E1241" s="277">
        <v>3</v>
      </c>
      <c r="F1241" s="1035" t="s">
        <v>6637</v>
      </c>
      <c r="G1241" s="401">
        <f t="shared" si="2"/>
        <v>1080000</v>
      </c>
      <c r="H1241" s="284" t="s">
        <v>125</v>
      </c>
      <c r="I1241" s="1035"/>
      <c r="J1241" s="644">
        <v>1800000</v>
      </c>
    </row>
    <row r="1242" spans="1:10">
      <c r="A1242" s="638" t="s">
        <v>6635</v>
      </c>
      <c r="B1242" s="284" t="s">
        <v>6635</v>
      </c>
      <c r="C1242" s="275" t="s">
        <v>6692</v>
      </c>
      <c r="D1242" s="276">
        <v>0.5</v>
      </c>
      <c r="E1242" s="277">
        <v>3</v>
      </c>
      <c r="F1242" s="1035"/>
      <c r="G1242" s="401">
        <f t="shared" si="2"/>
        <v>1350000</v>
      </c>
      <c r="H1242" s="284" t="s">
        <v>125</v>
      </c>
      <c r="I1242" s="1035"/>
      <c r="J1242" s="644">
        <v>2250000</v>
      </c>
    </row>
    <row r="1243" spans="1:10">
      <c r="A1243" s="638" t="s">
        <v>6635</v>
      </c>
      <c r="B1243" s="284" t="s">
        <v>6635</v>
      </c>
      <c r="C1243" s="275" t="s">
        <v>6693</v>
      </c>
      <c r="D1243" s="276">
        <v>0.2</v>
      </c>
      <c r="E1243" s="277">
        <v>3</v>
      </c>
      <c r="F1243" s="1035"/>
      <c r="G1243" s="401">
        <f t="shared" si="2"/>
        <v>540000</v>
      </c>
      <c r="H1243" s="284" t="s">
        <v>125</v>
      </c>
      <c r="I1243" s="1035"/>
      <c r="J1243" s="644">
        <v>900000</v>
      </c>
    </row>
    <row r="1244" spans="1:10">
      <c r="A1244" s="638" t="s">
        <v>6635</v>
      </c>
      <c r="B1244" s="284" t="s">
        <v>6635</v>
      </c>
      <c r="C1244" s="275" t="s">
        <v>6693</v>
      </c>
      <c r="D1244" s="276">
        <v>0.2</v>
      </c>
      <c r="E1244" s="277">
        <v>3</v>
      </c>
      <c r="F1244" s="1035"/>
      <c r="G1244" s="401">
        <f t="shared" si="2"/>
        <v>540000</v>
      </c>
      <c r="H1244" s="284" t="s">
        <v>125</v>
      </c>
      <c r="I1244" s="1035"/>
      <c r="J1244" s="644">
        <v>900000</v>
      </c>
    </row>
    <row r="1245" spans="1:10">
      <c r="A1245" s="638" t="s">
        <v>6635</v>
      </c>
      <c r="B1245" s="284" t="s">
        <v>6635</v>
      </c>
      <c r="C1245" s="275" t="s">
        <v>6694</v>
      </c>
      <c r="D1245" s="276">
        <v>0.15</v>
      </c>
      <c r="E1245" s="277">
        <v>4</v>
      </c>
      <c r="F1245" s="1035"/>
      <c r="G1245" s="401">
        <f t="shared" si="2"/>
        <v>540000</v>
      </c>
      <c r="H1245" s="284" t="s">
        <v>125</v>
      </c>
      <c r="I1245" s="1035"/>
      <c r="J1245" s="644">
        <v>900000</v>
      </c>
    </row>
    <row r="1246" spans="1:10">
      <c r="A1246" s="638" t="s">
        <v>6635</v>
      </c>
      <c r="B1246" s="284" t="s">
        <v>6635</v>
      </c>
      <c r="C1246" s="275" t="s">
        <v>6694</v>
      </c>
      <c r="D1246" s="276">
        <v>0.2</v>
      </c>
      <c r="E1246" s="277">
        <v>3</v>
      </c>
      <c r="F1246" s="1035"/>
      <c r="G1246" s="401">
        <f t="shared" si="2"/>
        <v>540000</v>
      </c>
      <c r="H1246" s="284" t="s">
        <v>125</v>
      </c>
      <c r="I1246" s="1035"/>
      <c r="J1246" s="644">
        <v>900000</v>
      </c>
    </row>
    <row r="1247" spans="1:10">
      <c r="A1247" s="638" t="s">
        <v>6635</v>
      </c>
      <c r="B1247" s="284" t="s">
        <v>6635</v>
      </c>
      <c r="C1247" s="275" t="s">
        <v>6716</v>
      </c>
      <c r="D1247" s="276">
        <v>1.5499999999999998</v>
      </c>
      <c r="E1247" s="277">
        <v>3</v>
      </c>
      <c r="F1247" s="1035"/>
      <c r="G1247" s="401">
        <f t="shared" si="2"/>
        <v>4184999.9999999986</v>
      </c>
      <c r="H1247" s="284" t="s">
        <v>125</v>
      </c>
      <c r="I1247" s="1035"/>
      <c r="J1247" s="644">
        <v>6974999.9999999981</v>
      </c>
    </row>
    <row r="1248" spans="1:10">
      <c r="A1248" s="638" t="s">
        <v>6635</v>
      </c>
      <c r="B1248" s="284" t="s">
        <v>6635</v>
      </c>
      <c r="C1248" s="275" t="s">
        <v>6695</v>
      </c>
      <c r="D1248" s="276">
        <v>1.4</v>
      </c>
      <c r="E1248" s="277">
        <v>3</v>
      </c>
      <c r="F1248" s="1035"/>
      <c r="G1248" s="401">
        <f t="shared" si="2"/>
        <v>3780000</v>
      </c>
      <c r="H1248" s="284" t="s">
        <v>125</v>
      </c>
      <c r="I1248" s="1035"/>
      <c r="J1248" s="644">
        <v>6300000</v>
      </c>
    </row>
    <row r="1249" spans="1:10">
      <c r="A1249" s="638" t="s">
        <v>6635</v>
      </c>
      <c r="B1249" s="284" t="s">
        <v>6635</v>
      </c>
      <c r="C1249" s="275" t="s">
        <v>6696</v>
      </c>
      <c r="D1249" s="276">
        <v>0.3</v>
      </c>
      <c r="E1249" s="277">
        <v>3</v>
      </c>
      <c r="F1249" s="1035"/>
      <c r="G1249" s="401">
        <f t="shared" si="2"/>
        <v>810000</v>
      </c>
      <c r="H1249" s="284" t="s">
        <v>125</v>
      </c>
      <c r="I1249" s="1035"/>
      <c r="J1249" s="644">
        <v>1350000</v>
      </c>
    </row>
    <row r="1250" spans="1:10">
      <c r="A1250" s="638" t="s">
        <v>6635</v>
      </c>
      <c r="B1250" s="284" t="s">
        <v>6635</v>
      </c>
      <c r="C1250" s="275" t="s">
        <v>6697</v>
      </c>
      <c r="D1250" s="276">
        <v>0.9</v>
      </c>
      <c r="E1250" s="277">
        <v>3</v>
      </c>
      <c r="F1250" s="1035"/>
      <c r="G1250" s="401">
        <f t="shared" si="2"/>
        <v>2430000</v>
      </c>
      <c r="H1250" s="284" t="s">
        <v>125</v>
      </c>
      <c r="I1250" s="1035"/>
      <c r="J1250" s="644">
        <v>4050000</v>
      </c>
    </row>
    <row r="1251" spans="1:10">
      <c r="A1251" s="638" t="s">
        <v>6635</v>
      </c>
      <c r="B1251" s="284" t="s">
        <v>6635</v>
      </c>
      <c r="C1251" s="275" t="s">
        <v>6698</v>
      </c>
      <c r="D1251" s="276">
        <v>1.5</v>
      </c>
      <c r="E1251" s="277">
        <v>3</v>
      </c>
      <c r="F1251" s="1035"/>
      <c r="G1251" s="401">
        <f t="shared" si="2"/>
        <v>4050000</v>
      </c>
      <c r="H1251" s="284" t="s">
        <v>125</v>
      </c>
      <c r="I1251" s="1035"/>
      <c r="J1251" s="644">
        <v>6750000</v>
      </c>
    </row>
    <row r="1252" spans="1:10">
      <c r="A1252" s="638" t="s">
        <v>6635</v>
      </c>
      <c r="B1252" s="284" t="s">
        <v>6635</v>
      </c>
      <c r="C1252" s="275" t="s">
        <v>6699</v>
      </c>
      <c r="D1252" s="276">
        <v>1</v>
      </c>
      <c r="E1252" s="277">
        <v>3</v>
      </c>
      <c r="F1252" s="1035"/>
      <c r="G1252" s="401">
        <f t="shared" si="2"/>
        <v>2700000</v>
      </c>
      <c r="H1252" s="284" t="s">
        <v>125</v>
      </c>
      <c r="I1252" s="1035"/>
      <c r="J1252" s="644">
        <v>4500000</v>
      </c>
    </row>
    <row r="1253" spans="1:10">
      <c r="A1253" s="638" t="s">
        <v>6635</v>
      </c>
      <c r="B1253" s="284" t="s">
        <v>6635</v>
      </c>
      <c r="C1253" s="275" t="s">
        <v>6699</v>
      </c>
      <c r="D1253" s="276">
        <v>1</v>
      </c>
      <c r="E1253" s="277">
        <v>3</v>
      </c>
      <c r="F1253" s="1035"/>
      <c r="G1253" s="401">
        <f t="shared" si="2"/>
        <v>2700000</v>
      </c>
      <c r="H1253" s="284" t="s">
        <v>125</v>
      </c>
      <c r="I1253" s="1035" t="s">
        <v>6638</v>
      </c>
      <c r="J1253" s="644">
        <v>4500000</v>
      </c>
    </row>
    <row r="1254" spans="1:10">
      <c r="A1254" s="638" t="s">
        <v>6635</v>
      </c>
      <c r="B1254" s="284" t="s">
        <v>6635</v>
      </c>
      <c r="C1254" s="275" t="s">
        <v>6700</v>
      </c>
      <c r="D1254" s="276">
        <v>0.9</v>
      </c>
      <c r="E1254" s="277">
        <v>3</v>
      </c>
      <c r="F1254" s="1035" t="s">
        <v>6637</v>
      </c>
      <c r="G1254" s="401">
        <f t="shared" si="2"/>
        <v>2430000</v>
      </c>
      <c r="H1254" s="284" t="s">
        <v>125</v>
      </c>
      <c r="I1254" s="1035"/>
      <c r="J1254" s="644">
        <v>4050000</v>
      </c>
    </row>
    <row r="1255" spans="1:10">
      <c r="A1255" s="638" t="s">
        <v>6635</v>
      </c>
      <c r="B1255" s="284" t="s">
        <v>6635</v>
      </c>
      <c r="C1255" s="275" t="s">
        <v>6701</v>
      </c>
      <c r="D1255" s="276">
        <v>4.0999999999999996</v>
      </c>
      <c r="E1255" s="277">
        <v>3</v>
      </c>
      <c r="F1255" s="1035"/>
      <c r="G1255" s="401">
        <f t="shared" si="2"/>
        <v>11070000</v>
      </c>
      <c r="H1255" s="284" t="s">
        <v>125</v>
      </c>
      <c r="I1255" s="1035"/>
      <c r="J1255" s="644">
        <v>18450000</v>
      </c>
    </row>
    <row r="1256" spans="1:10">
      <c r="A1256" s="638" t="s">
        <v>6635</v>
      </c>
      <c r="B1256" s="284" t="s">
        <v>6635</v>
      </c>
      <c r="C1256" s="275" t="s">
        <v>6702</v>
      </c>
      <c r="D1256" s="276">
        <v>1.9</v>
      </c>
      <c r="E1256" s="277">
        <v>3</v>
      </c>
      <c r="F1256" s="1035"/>
      <c r="G1256" s="401">
        <f t="shared" si="2"/>
        <v>5130000</v>
      </c>
      <c r="H1256" s="284" t="s">
        <v>125</v>
      </c>
      <c r="I1256" s="1035"/>
      <c r="J1256" s="644">
        <v>8550000</v>
      </c>
    </row>
    <row r="1257" spans="1:10">
      <c r="A1257" s="638" t="s">
        <v>6635</v>
      </c>
      <c r="B1257" s="284" t="s">
        <v>6635</v>
      </c>
      <c r="C1257" s="275" t="s">
        <v>6703</v>
      </c>
      <c r="D1257" s="276">
        <v>2.8</v>
      </c>
      <c r="E1257" s="277">
        <v>3</v>
      </c>
      <c r="F1257" s="1035"/>
      <c r="G1257" s="401">
        <f t="shared" si="2"/>
        <v>7560000</v>
      </c>
      <c r="H1257" s="284" t="s">
        <v>125</v>
      </c>
      <c r="I1257" s="1035"/>
      <c r="J1257" s="644">
        <v>12600000</v>
      </c>
    </row>
    <row r="1258" spans="1:10">
      <c r="A1258" s="638" t="s">
        <v>6635</v>
      </c>
      <c r="B1258" s="284" t="s">
        <v>6635</v>
      </c>
      <c r="C1258" s="275" t="s">
        <v>6704</v>
      </c>
      <c r="D1258" s="276">
        <v>0.3</v>
      </c>
      <c r="E1258" s="277">
        <v>3</v>
      </c>
      <c r="F1258" s="1035"/>
      <c r="G1258" s="401">
        <f t="shared" si="2"/>
        <v>810000</v>
      </c>
      <c r="H1258" s="284" t="s">
        <v>125</v>
      </c>
      <c r="I1258" s="1035"/>
      <c r="J1258" s="644">
        <v>1350000</v>
      </c>
    </row>
    <row r="1259" spans="1:10">
      <c r="A1259" s="638" t="s">
        <v>6635</v>
      </c>
      <c r="B1259" s="284" t="s">
        <v>6635</v>
      </c>
      <c r="C1259" s="275" t="s">
        <v>6717</v>
      </c>
      <c r="D1259" s="276">
        <v>1.1000000000000001</v>
      </c>
      <c r="E1259" s="277">
        <v>3</v>
      </c>
      <c r="F1259" s="1035"/>
      <c r="G1259" s="401">
        <f t="shared" si="2"/>
        <v>2970000</v>
      </c>
      <c r="H1259" s="284" t="s">
        <v>125</v>
      </c>
      <c r="I1259" s="1035"/>
      <c r="J1259" s="644">
        <v>4950000</v>
      </c>
    </row>
    <row r="1260" spans="1:10">
      <c r="A1260" s="638" t="s">
        <v>6635</v>
      </c>
      <c r="B1260" s="284" t="s">
        <v>6635</v>
      </c>
      <c r="C1260" s="275" t="s">
        <v>6705</v>
      </c>
      <c r="D1260" s="276">
        <v>0.3</v>
      </c>
      <c r="E1260" s="277">
        <v>3</v>
      </c>
      <c r="F1260" s="1035"/>
      <c r="G1260" s="401">
        <f t="shared" si="2"/>
        <v>810000</v>
      </c>
      <c r="H1260" s="284" t="s">
        <v>125</v>
      </c>
      <c r="I1260" s="1035"/>
      <c r="J1260" s="644">
        <v>1350000</v>
      </c>
    </row>
    <row r="1261" spans="1:10">
      <c r="A1261" s="638" t="s">
        <v>6635</v>
      </c>
      <c r="B1261" s="284" t="s">
        <v>6635</v>
      </c>
      <c r="C1261" s="275" t="s">
        <v>6718</v>
      </c>
      <c r="D1261" s="276">
        <v>0.61699999999999999</v>
      </c>
      <c r="E1261" s="277">
        <v>5</v>
      </c>
      <c r="F1261" s="1035"/>
      <c r="G1261" s="401">
        <f t="shared" si="2"/>
        <v>2776500</v>
      </c>
      <c r="H1261" s="284" t="s">
        <v>125</v>
      </c>
      <c r="I1261" s="1035"/>
      <c r="J1261" s="644">
        <v>4627500</v>
      </c>
    </row>
    <row r="1262" spans="1:10">
      <c r="A1262" s="638" t="s">
        <v>6635</v>
      </c>
      <c r="B1262" s="284" t="s">
        <v>6635</v>
      </c>
      <c r="C1262" s="275" t="s">
        <v>6706</v>
      </c>
      <c r="D1262" s="276">
        <v>0.2</v>
      </c>
      <c r="E1262" s="277">
        <v>4</v>
      </c>
      <c r="F1262" s="1035"/>
      <c r="G1262" s="401">
        <f t="shared" si="2"/>
        <v>720000</v>
      </c>
      <c r="H1262" s="284" t="s">
        <v>125</v>
      </c>
      <c r="I1262" s="1035"/>
      <c r="J1262" s="644">
        <v>1200000</v>
      </c>
    </row>
    <row r="1263" spans="1:10">
      <c r="A1263" s="638" t="s">
        <v>6635</v>
      </c>
      <c r="B1263" s="284" t="s">
        <v>6635</v>
      </c>
      <c r="C1263" s="275" t="s">
        <v>6719</v>
      </c>
      <c r="D1263" s="276">
        <v>0.8</v>
      </c>
      <c r="E1263" s="277">
        <v>2.5</v>
      </c>
      <c r="F1263" s="1035"/>
      <c r="G1263" s="401">
        <f t="shared" si="2"/>
        <v>1800000</v>
      </c>
      <c r="H1263" s="284" t="s">
        <v>125</v>
      </c>
      <c r="I1263" s="1035"/>
      <c r="J1263" s="644">
        <v>3000000</v>
      </c>
    </row>
    <row r="1264" spans="1:10">
      <c r="A1264" s="638" t="s">
        <v>6635</v>
      </c>
      <c r="B1264" s="284" t="s">
        <v>6635</v>
      </c>
      <c r="C1264" s="275" t="s">
        <v>6707</v>
      </c>
      <c r="D1264" s="276">
        <v>1</v>
      </c>
      <c r="E1264" s="277">
        <v>2.5</v>
      </c>
      <c r="F1264" s="1035"/>
      <c r="G1264" s="401">
        <f t="shared" si="2"/>
        <v>2250000</v>
      </c>
      <c r="H1264" s="284" t="s">
        <v>125</v>
      </c>
      <c r="I1264" s="1035"/>
      <c r="J1264" s="644">
        <v>3750000</v>
      </c>
    </row>
    <row r="1265" spans="1:10">
      <c r="A1265" s="638" t="s">
        <v>6635</v>
      </c>
      <c r="B1265" s="284" t="s">
        <v>6635</v>
      </c>
      <c r="C1265" s="275" t="s">
        <v>6720</v>
      </c>
      <c r="D1265" s="276">
        <v>0.4</v>
      </c>
      <c r="E1265" s="277">
        <v>2.7</v>
      </c>
      <c r="F1265" s="1035"/>
      <c r="G1265" s="401">
        <f t="shared" si="2"/>
        <v>972000</v>
      </c>
      <c r="H1265" s="284" t="s">
        <v>125</v>
      </c>
      <c r="I1265" s="1035"/>
      <c r="J1265" s="644">
        <v>1620000</v>
      </c>
    </row>
    <row r="1266" spans="1:10">
      <c r="A1266" s="638" t="s">
        <v>6635</v>
      </c>
      <c r="B1266" s="284" t="s">
        <v>6635</v>
      </c>
      <c r="C1266" s="275" t="s">
        <v>6708</v>
      </c>
      <c r="D1266" s="276">
        <v>1</v>
      </c>
      <c r="E1266" s="277">
        <v>5</v>
      </c>
      <c r="F1266" s="1035"/>
      <c r="G1266" s="401">
        <f t="shared" si="2"/>
        <v>4500000</v>
      </c>
      <c r="H1266" s="284" t="s">
        <v>125</v>
      </c>
      <c r="I1266" s="1035"/>
      <c r="J1266" s="644">
        <v>7500000</v>
      </c>
    </row>
    <row r="1267" spans="1:10">
      <c r="A1267" s="638" t="s">
        <v>6635</v>
      </c>
      <c r="B1267" s="284" t="s">
        <v>6635</v>
      </c>
      <c r="C1267" s="275" t="s">
        <v>6721</v>
      </c>
      <c r="D1267" s="276">
        <v>0.5</v>
      </c>
      <c r="E1267" s="277">
        <v>2.5</v>
      </c>
      <c r="F1267" s="1035"/>
      <c r="G1267" s="401">
        <f t="shared" si="2"/>
        <v>1125000</v>
      </c>
      <c r="H1267" s="284" t="s">
        <v>125</v>
      </c>
      <c r="I1267" s="1035"/>
      <c r="J1267" s="644">
        <v>1875000</v>
      </c>
    </row>
    <row r="1268" spans="1:10">
      <c r="A1268" s="638" t="s">
        <v>6635</v>
      </c>
      <c r="B1268" s="284" t="s">
        <v>6635</v>
      </c>
      <c r="C1268" s="275" t="s">
        <v>6722</v>
      </c>
      <c r="D1268" s="276">
        <v>0.9</v>
      </c>
      <c r="E1268" s="277">
        <v>8.4</v>
      </c>
      <c r="F1268" s="1035"/>
      <c r="G1268" s="401">
        <f t="shared" si="2"/>
        <v>6804000</v>
      </c>
      <c r="H1268" s="284" t="s">
        <v>125</v>
      </c>
      <c r="I1268" s="1035"/>
      <c r="J1268" s="644">
        <v>11340000</v>
      </c>
    </row>
    <row r="1269" spans="1:10">
      <c r="A1269" s="638" t="s">
        <v>6635</v>
      </c>
      <c r="B1269" s="284" t="s">
        <v>6635</v>
      </c>
      <c r="C1269" s="275" t="s">
        <v>6709</v>
      </c>
      <c r="D1269" s="276">
        <v>0.2</v>
      </c>
      <c r="E1269" s="277">
        <v>4.0999999999999996</v>
      </c>
      <c r="F1269" s="1035"/>
      <c r="G1269" s="401">
        <f t="shared" si="2"/>
        <v>738000</v>
      </c>
      <c r="H1269" s="284" t="s">
        <v>125</v>
      </c>
      <c r="I1269" s="1035"/>
      <c r="J1269" s="644">
        <v>1230000</v>
      </c>
    </row>
    <row r="1270" spans="1:10">
      <c r="A1270" s="638" t="s">
        <v>6635</v>
      </c>
      <c r="B1270" s="284" t="s">
        <v>6635</v>
      </c>
      <c r="C1270" s="275" t="s">
        <v>6723</v>
      </c>
      <c r="D1270" s="276">
        <v>0.6</v>
      </c>
      <c r="E1270" s="277">
        <v>2.5</v>
      </c>
      <c r="F1270" s="1035"/>
      <c r="G1270" s="401">
        <f t="shared" si="2"/>
        <v>1350000</v>
      </c>
      <c r="H1270" s="284" t="s">
        <v>125</v>
      </c>
      <c r="I1270" s="1035"/>
      <c r="J1270" s="644">
        <v>2250000</v>
      </c>
    </row>
    <row r="1271" spans="1:10">
      <c r="A1271" s="638" t="s">
        <v>6635</v>
      </c>
      <c r="B1271" s="284" t="s">
        <v>6635</v>
      </c>
      <c r="C1271" s="275" t="s">
        <v>6710</v>
      </c>
      <c r="D1271" s="276">
        <v>0.5</v>
      </c>
      <c r="E1271" s="277">
        <v>4.2</v>
      </c>
      <c r="F1271" s="1035"/>
      <c r="G1271" s="401">
        <f t="shared" si="2"/>
        <v>1890000</v>
      </c>
      <c r="H1271" s="284" t="s">
        <v>125</v>
      </c>
      <c r="I1271" s="1035"/>
      <c r="J1271" s="644">
        <v>3150000</v>
      </c>
    </row>
    <row r="1272" spans="1:10">
      <c r="A1272" s="638" t="s">
        <v>6635</v>
      </c>
      <c r="B1272" s="284" t="s">
        <v>6635</v>
      </c>
      <c r="C1272" s="275" t="s">
        <v>6724</v>
      </c>
      <c r="D1272" s="276">
        <v>0.5</v>
      </c>
      <c r="E1272" s="277">
        <v>2.5</v>
      </c>
      <c r="F1272" s="1035"/>
      <c r="G1272" s="401">
        <f t="shared" si="2"/>
        <v>1125000</v>
      </c>
      <c r="H1272" s="284" t="s">
        <v>125</v>
      </c>
      <c r="I1272" s="1035"/>
      <c r="J1272" s="644">
        <v>1875000</v>
      </c>
    </row>
    <row r="1273" spans="1:10">
      <c r="A1273" s="638" t="s">
        <v>6635</v>
      </c>
      <c r="B1273" s="284" t="s">
        <v>6635</v>
      </c>
      <c r="C1273" s="275" t="s">
        <v>6711</v>
      </c>
      <c r="D1273" s="276">
        <v>1.1000000000000001</v>
      </c>
      <c r="E1273" s="277">
        <v>6</v>
      </c>
      <c r="F1273" s="1035"/>
      <c r="G1273" s="401">
        <f t="shared" si="2"/>
        <v>5940000</v>
      </c>
      <c r="H1273" s="284" t="s">
        <v>125</v>
      </c>
      <c r="I1273" s="1035"/>
      <c r="J1273" s="644">
        <v>9900000</v>
      </c>
    </row>
    <row r="1274" spans="1:10">
      <c r="A1274" s="638" t="s">
        <v>6635</v>
      </c>
      <c r="B1274" s="284" t="s">
        <v>6635</v>
      </c>
      <c r="C1274" s="275" t="s">
        <v>6725</v>
      </c>
      <c r="D1274" s="276">
        <v>1</v>
      </c>
      <c r="E1274" s="277">
        <v>6</v>
      </c>
      <c r="F1274" s="1035"/>
      <c r="G1274" s="401">
        <f t="shared" si="2"/>
        <v>5400000</v>
      </c>
      <c r="H1274" s="284" t="s">
        <v>125</v>
      </c>
      <c r="I1274" s="1035"/>
      <c r="J1274" s="644">
        <v>9000000</v>
      </c>
    </row>
    <row r="1275" spans="1:10">
      <c r="A1275" s="638" t="s">
        <v>6635</v>
      </c>
      <c r="B1275" s="284" t="s">
        <v>6635</v>
      </c>
      <c r="C1275" s="284" t="s">
        <v>6712</v>
      </c>
      <c r="D1275" s="276">
        <v>1.1000000000000001</v>
      </c>
      <c r="E1275" s="277">
        <v>6</v>
      </c>
      <c r="F1275" s="1035"/>
      <c r="G1275" s="401">
        <f t="shared" si="2"/>
        <v>5940000</v>
      </c>
      <c r="H1275" s="284" t="s">
        <v>125</v>
      </c>
      <c r="I1275" s="1035"/>
      <c r="J1275" s="644">
        <v>9900000</v>
      </c>
    </row>
    <row r="1276" spans="1:10">
      <c r="A1276" s="638" t="s">
        <v>6726</v>
      </c>
      <c r="B1276" s="284" t="s">
        <v>6726</v>
      </c>
      <c r="C1276" s="275" t="s">
        <v>6727</v>
      </c>
      <c r="D1276" s="276">
        <v>0.9</v>
      </c>
      <c r="E1276" s="277">
        <v>3</v>
      </c>
      <c r="F1276" s="284"/>
      <c r="G1276" s="401">
        <f t="shared" si="2"/>
        <v>2430000</v>
      </c>
      <c r="H1276" s="284" t="s">
        <v>125</v>
      </c>
      <c r="I1276" s="1035" t="s">
        <v>6638</v>
      </c>
      <c r="J1276" s="644">
        <v>4050000</v>
      </c>
    </row>
    <row r="1277" spans="1:10">
      <c r="A1277" s="638" t="s">
        <v>6726</v>
      </c>
      <c r="B1277" s="284" t="s">
        <v>6726</v>
      </c>
      <c r="C1277" s="275" t="s">
        <v>6728</v>
      </c>
      <c r="D1277" s="276">
        <v>0.5</v>
      </c>
      <c r="E1277" s="277">
        <v>4</v>
      </c>
      <c r="F1277" s="284"/>
      <c r="G1277" s="401">
        <f t="shared" si="2"/>
        <v>1800000</v>
      </c>
      <c r="H1277" s="284" t="s">
        <v>125</v>
      </c>
      <c r="I1277" s="1035"/>
      <c r="J1277" s="644">
        <v>3000000</v>
      </c>
    </row>
    <row r="1278" spans="1:10">
      <c r="A1278" s="638" t="s">
        <v>6726</v>
      </c>
      <c r="B1278" s="284" t="s">
        <v>6726</v>
      </c>
      <c r="C1278" s="275" t="s">
        <v>6729</v>
      </c>
      <c r="D1278" s="276">
        <v>0.8</v>
      </c>
      <c r="E1278" s="277">
        <v>4</v>
      </c>
      <c r="F1278" s="284"/>
      <c r="G1278" s="401">
        <f t="shared" si="2"/>
        <v>2880000</v>
      </c>
      <c r="H1278" s="284" t="s">
        <v>125</v>
      </c>
      <c r="I1278" s="1035"/>
      <c r="J1278" s="644">
        <v>4800000</v>
      </c>
    </row>
    <row r="1279" spans="1:10">
      <c r="A1279" s="638" t="s">
        <v>6726</v>
      </c>
      <c r="B1279" s="284" t="s">
        <v>6726</v>
      </c>
      <c r="C1279" s="275" t="s">
        <v>6730</v>
      </c>
      <c r="D1279" s="276">
        <v>0.8</v>
      </c>
      <c r="E1279" s="277">
        <v>3</v>
      </c>
      <c r="F1279" s="1035" t="s">
        <v>6637</v>
      </c>
      <c r="G1279" s="401">
        <f t="shared" ref="G1279:G1342" si="3">J1279*0.6</f>
        <v>2160000</v>
      </c>
      <c r="H1279" s="284" t="s">
        <v>125</v>
      </c>
      <c r="I1279" s="1035"/>
      <c r="J1279" s="644">
        <v>3600000</v>
      </c>
    </row>
    <row r="1280" spans="1:10">
      <c r="A1280" s="638" t="s">
        <v>6726</v>
      </c>
      <c r="B1280" s="284" t="s">
        <v>6726</v>
      </c>
      <c r="C1280" s="275" t="s">
        <v>6731</v>
      </c>
      <c r="D1280" s="276">
        <v>0.5</v>
      </c>
      <c r="E1280" s="277">
        <v>3</v>
      </c>
      <c r="F1280" s="1035"/>
      <c r="G1280" s="401">
        <f t="shared" si="3"/>
        <v>1350000</v>
      </c>
      <c r="H1280" s="284" t="s">
        <v>125</v>
      </c>
      <c r="I1280" s="1035"/>
      <c r="J1280" s="644">
        <v>2250000</v>
      </c>
    </row>
    <row r="1281" spans="1:10">
      <c r="A1281" s="638" t="s">
        <v>6726</v>
      </c>
      <c r="B1281" s="284" t="s">
        <v>6726</v>
      </c>
      <c r="C1281" s="275" t="s">
        <v>6732</v>
      </c>
      <c r="D1281" s="276">
        <v>1.5</v>
      </c>
      <c r="E1281" s="277">
        <v>3</v>
      </c>
      <c r="F1281" s="1035"/>
      <c r="G1281" s="401">
        <f t="shared" si="3"/>
        <v>4050000</v>
      </c>
      <c r="H1281" s="284" t="s">
        <v>125</v>
      </c>
      <c r="I1281" s="1035"/>
      <c r="J1281" s="644">
        <v>6750000</v>
      </c>
    </row>
    <row r="1282" spans="1:10">
      <c r="A1282" s="638" t="s">
        <v>6726</v>
      </c>
      <c r="B1282" s="284" t="s">
        <v>6726</v>
      </c>
      <c r="C1282" s="275" t="s">
        <v>6733</v>
      </c>
      <c r="D1282" s="276">
        <v>0.7</v>
      </c>
      <c r="E1282" s="277">
        <v>3</v>
      </c>
      <c r="F1282" s="1035"/>
      <c r="G1282" s="401">
        <f t="shared" si="3"/>
        <v>1890000</v>
      </c>
      <c r="H1282" s="284" t="s">
        <v>125</v>
      </c>
      <c r="I1282" s="1035"/>
      <c r="J1282" s="644">
        <v>3150000</v>
      </c>
    </row>
    <row r="1283" spans="1:10">
      <c r="A1283" s="638" t="s">
        <v>6726</v>
      </c>
      <c r="B1283" s="284" t="s">
        <v>6726</v>
      </c>
      <c r="C1283" s="275" t="s">
        <v>6734</v>
      </c>
      <c r="D1283" s="276">
        <v>0.2</v>
      </c>
      <c r="E1283" s="277">
        <v>3</v>
      </c>
      <c r="F1283" s="1035"/>
      <c r="G1283" s="401">
        <f t="shared" si="3"/>
        <v>540000</v>
      </c>
      <c r="H1283" s="284" t="s">
        <v>125</v>
      </c>
      <c r="I1283" s="1035"/>
      <c r="J1283" s="644">
        <v>900000</v>
      </c>
    </row>
    <row r="1284" spans="1:10">
      <c r="A1284" s="638" t="s">
        <v>6726</v>
      </c>
      <c r="B1284" s="284" t="s">
        <v>6726</v>
      </c>
      <c r="C1284" s="275" t="s">
        <v>6735</v>
      </c>
      <c r="D1284" s="276">
        <v>0.8</v>
      </c>
      <c r="E1284" s="277">
        <v>2</v>
      </c>
      <c r="F1284" s="1035"/>
      <c r="G1284" s="401">
        <f t="shared" si="3"/>
        <v>1440000</v>
      </c>
      <c r="H1284" s="284" t="s">
        <v>125</v>
      </c>
      <c r="I1284" s="1035"/>
      <c r="J1284" s="644">
        <v>2400000</v>
      </c>
    </row>
    <row r="1285" spans="1:10">
      <c r="A1285" s="638" t="s">
        <v>6726</v>
      </c>
      <c r="B1285" s="284" t="s">
        <v>6726</v>
      </c>
      <c r="C1285" s="275" t="s">
        <v>6736</v>
      </c>
      <c r="D1285" s="276">
        <v>0.2</v>
      </c>
      <c r="E1285" s="277">
        <v>3</v>
      </c>
      <c r="F1285" s="1035"/>
      <c r="G1285" s="401">
        <f t="shared" si="3"/>
        <v>540000</v>
      </c>
      <c r="H1285" s="284" t="s">
        <v>125</v>
      </c>
      <c r="I1285" s="1035"/>
      <c r="J1285" s="644">
        <v>900000</v>
      </c>
    </row>
    <row r="1286" spans="1:10">
      <c r="A1286" s="638" t="s">
        <v>6726</v>
      </c>
      <c r="B1286" s="284" t="s">
        <v>6726</v>
      </c>
      <c r="C1286" s="275" t="s">
        <v>6737</v>
      </c>
      <c r="D1286" s="276">
        <v>0.7</v>
      </c>
      <c r="E1286" s="277">
        <v>3</v>
      </c>
      <c r="F1286" s="1035"/>
      <c r="G1286" s="401">
        <f t="shared" si="3"/>
        <v>1890000</v>
      </c>
      <c r="H1286" s="284" t="s">
        <v>125</v>
      </c>
      <c r="I1286" s="1035"/>
      <c r="J1286" s="644">
        <v>3150000</v>
      </c>
    </row>
    <row r="1287" spans="1:10">
      <c r="A1287" s="638" t="s">
        <v>6726</v>
      </c>
      <c r="B1287" s="284" t="s">
        <v>6726</v>
      </c>
      <c r="C1287" s="275" t="s">
        <v>6738</v>
      </c>
      <c r="D1287" s="276">
        <v>0.4</v>
      </c>
      <c r="E1287" s="277">
        <v>3</v>
      </c>
      <c r="F1287" s="1035"/>
      <c r="G1287" s="401">
        <f t="shared" si="3"/>
        <v>1080000</v>
      </c>
      <c r="H1287" s="284" t="s">
        <v>125</v>
      </c>
      <c r="I1287" s="1035"/>
      <c r="J1287" s="644">
        <v>1800000</v>
      </c>
    </row>
    <row r="1288" spans="1:10">
      <c r="A1288" s="638" t="s">
        <v>6726</v>
      </c>
      <c r="B1288" s="284" t="s">
        <v>6726</v>
      </c>
      <c r="C1288" s="275" t="s">
        <v>6739</v>
      </c>
      <c r="D1288" s="276">
        <v>0.3</v>
      </c>
      <c r="E1288" s="277">
        <v>3</v>
      </c>
      <c r="F1288" s="1035"/>
      <c r="G1288" s="401">
        <f t="shared" si="3"/>
        <v>810000</v>
      </c>
      <c r="H1288" s="284" t="s">
        <v>125</v>
      </c>
      <c r="I1288" s="1035"/>
      <c r="J1288" s="644">
        <v>1350000</v>
      </c>
    </row>
    <row r="1289" spans="1:10">
      <c r="A1289" s="638" t="s">
        <v>6726</v>
      </c>
      <c r="B1289" s="284" t="s">
        <v>6726</v>
      </c>
      <c r="C1289" s="275" t="s">
        <v>6740</v>
      </c>
      <c r="D1289" s="276">
        <v>0.3</v>
      </c>
      <c r="E1289" s="277">
        <v>3</v>
      </c>
      <c r="F1289" s="1035"/>
      <c r="G1289" s="401">
        <f t="shared" si="3"/>
        <v>810000</v>
      </c>
      <c r="H1289" s="284" t="s">
        <v>125</v>
      </c>
      <c r="I1289" s="1035"/>
      <c r="J1289" s="644">
        <v>1350000</v>
      </c>
    </row>
    <row r="1290" spans="1:10">
      <c r="A1290" s="638" t="s">
        <v>6726</v>
      </c>
      <c r="B1290" s="284" t="s">
        <v>6726</v>
      </c>
      <c r="C1290" s="275" t="s">
        <v>6741</v>
      </c>
      <c r="D1290" s="276">
        <v>0.6</v>
      </c>
      <c r="E1290" s="277">
        <v>3</v>
      </c>
      <c r="F1290" s="1035"/>
      <c r="G1290" s="401">
        <f t="shared" si="3"/>
        <v>1620000</v>
      </c>
      <c r="H1290" s="284" t="s">
        <v>125</v>
      </c>
      <c r="I1290" s="1035"/>
      <c r="J1290" s="644">
        <v>2700000</v>
      </c>
    </row>
    <row r="1291" spans="1:10">
      <c r="A1291" s="638" t="s">
        <v>6726</v>
      </c>
      <c r="B1291" s="284" t="s">
        <v>6726</v>
      </c>
      <c r="C1291" s="275" t="s">
        <v>6742</v>
      </c>
      <c r="D1291" s="276">
        <v>0.3</v>
      </c>
      <c r="E1291" s="277">
        <v>3</v>
      </c>
      <c r="F1291" s="1035"/>
      <c r="G1291" s="401">
        <f t="shared" si="3"/>
        <v>810000</v>
      </c>
      <c r="H1291" s="284" t="s">
        <v>125</v>
      </c>
      <c r="I1291" s="1035"/>
      <c r="J1291" s="644">
        <v>1350000</v>
      </c>
    </row>
    <row r="1292" spans="1:10">
      <c r="A1292" s="638" t="s">
        <v>6726</v>
      </c>
      <c r="B1292" s="284" t="s">
        <v>6726</v>
      </c>
      <c r="C1292" s="275" t="s">
        <v>6743</v>
      </c>
      <c r="D1292" s="276">
        <v>0.2</v>
      </c>
      <c r="E1292" s="277">
        <v>3</v>
      </c>
      <c r="F1292" s="1035"/>
      <c r="G1292" s="401">
        <f t="shared" si="3"/>
        <v>540000</v>
      </c>
      <c r="H1292" s="284" t="s">
        <v>125</v>
      </c>
      <c r="I1292" s="1035"/>
      <c r="J1292" s="644">
        <v>900000</v>
      </c>
    </row>
    <row r="1293" spans="1:10">
      <c r="A1293" s="638" t="s">
        <v>6726</v>
      </c>
      <c r="B1293" s="284" t="s">
        <v>6726</v>
      </c>
      <c r="C1293" s="275" t="s">
        <v>6744</v>
      </c>
      <c r="D1293" s="276">
        <v>0.2</v>
      </c>
      <c r="E1293" s="277">
        <v>3</v>
      </c>
      <c r="F1293" s="1035"/>
      <c r="G1293" s="401">
        <f t="shared" si="3"/>
        <v>540000</v>
      </c>
      <c r="H1293" s="284" t="s">
        <v>125</v>
      </c>
      <c r="I1293" s="1035"/>
      <c r="J1293" s="644">
        <v>900000</v>
      </c>
    </row>
    <row r="1294" spans="1:10">
      <c r="A1294" s="638" t="s">
        <v>6726</v>
      </c>
      <c r="B1294" s="284" t="s">
        <v>6726</v>
      </c>
      <c r="C1294" s="275" t="s">
        <v>6745</v>
      </c>
      <c r="D1294" s="276">
        <v>1.2</v>
      </c>
      <c r="E1294" s="277">
        <v>3</v>
      </c>
      <c r="F1294" s="1035"/>
      <c r="G1294" s="401">
        <f t="shared" si="3"/>
        <v>3240000</v>
      </c>
      <c r="H1294" s="284" t="s">
        <v>125</v>
      </c>
      <c r="I1294" s="1035"/>
      <c r="J1294" s="644">
        <v>5400000</v>
      </c>
    </row>
    <row r="1295" spans="1:10">
      <c r="A1295" s="638" t="s">
        <v>6726</v>
      </c>
      <c r="B1295" s="284" t="s">
        <v>6726</v>
      </c>
      <c r="C1295" s="275" t="s">
        <v>6746</v>
      </c>
      <c r="D1295" s="276">
        <v>0.3</v>
      </c>
      <c r="E1295" s="277">
        <v>3</v>
      </c>
      <c r="F1295" s="1035"/>
      <c r="G1295" s="401">
        <f t="shared" si="3"/>
        <v>810000</v>
      </c>
      <c r="H1295" s="284" t="s">
        <v>125</v>
      </c>
      <c r="I1295" s="1035"/>
      <c r="J1295" s="644">
        <v>1350000</v>
      </c>
    </row>
    <row r="1296" spans="1:10">
      <c r="A1296" s="638" t="s">
        <v>6726</v>
      </c>
      <c r="B1296" s="284" t="s">
        <v>6726</v>
      </c>
      <c r="C1296" s="275" t="s">
        <v>6747</v>
      </c>
      <c r="D1296" s="276">
        <v>1.8</v>
      </c>
      <c r="E1296" s="277">
        <v>3</v>
      </c>
      <c r="F1296" s="1035" t="s">
        <v>6637</v>
      </c>
      <c r="G1296" s="401">
        <f t="shared" si="3"/>
        <v>4860000</v>
      </c>
      <c r="H1296" s="284" t="s">
        <v>125</v>
      </c>
      <c r="I1296" s="1035"/>
      <c r="J1296" s="644">
        <v>8100000</v>
      </c>
    </row>
    <row r="1297" spans="1:10">
      <c r="A1297" s="638" t="s">
        <v>6726</v>
      </c>
      <c r="B1297" s="284" t="s">
        <v>6726</v>
      </c>
      <c r="C1297" s="275" t="s">
        <v>6748</v>
      </c>
      <c r="D1297" s="276">
        <v>5.0000000000000017E-2</v>
      </c>
      <c r="E1297" s="277">
        <v>4</v>
      </c>
      <c r="F1297" s="1035"/>
      <c r="G1297" s="401">
        <f t="shared" si="3"/>
        <v>180000.00000000006</v>
      </c>
      <c r="H1297" s="284" t="s">
        <v>125</v>
      </c>
      <c r="I1297" s="1035"/>
      <c r="J1297" s="644">
        <v>300000.00000000012</v>
      </c>
    </row>
    <row r="1298" spans="1:10">
      <c r="A1298" s="638" t="s">
        <v>6726</v>
      </c>
      <c r="B1298" s="284" t="s">
        <v>6726</v>
      </c>
      <c r="C1298" s="275" t="s">
        <v>6749</v>
      </c>
      <c r="D1298" s="276">
        <v>0.2</v>
      </c>
      <c r="E1298" s="277">
        <v>3</v>
      </c>
      <c r="F1298" s="1035"/>
      <c r="G1298" s="401">
        <f t="shared" si="3"/>
        <v>540000</v>
      </c>
      <c r="H1298" s="284" t="s">
        <v>125</v>
      </c>
      <c r="I1298" s="1035"/>
      <c r="J1298" s="644">
        <v>900000</v>
      </c>
    </row>
    <row r="1299" spans="1:10">
      <c r="A1299" s="638" t="s">
        <v>6726</v>
      </c>
      <c r="B1299" s="284" t="s">
        <v>6726</v>
      </c>
      <c r="C1299" s="275" t="s">
        <v>6750</v>
      </c>
      <c r="D1299" s="276">
        <v>0.8</v>
      </c>
      <c r="E1299" s="277">
        <v>3</v>
      </c>
      <c r="F1299" s="1035"/>
      <c r="G1299" s="401">
        <f t="shared" si="3"/>
        <v>2160000</v>
      </c>
      <c r="H1299" s="284" t="s">
        <v>125</v>
      </c>
      <c r="I1299" s="1035"/>
      <c r="J1299" s="644">
        <v>3600000</v>
      </c>
    </row>
    <row r="1300" spans="1:10">
      <c r="A1300" s="638" t="s">
        <v>6726</v>
      </c>
      <c r="B1300" s="284" t="s">
        <v>6726</v>
      </c>
      <c r="C1300" s="275" t="s">
        <v>6751</v>
      </c>
      <c r="D1300" s="276">
        <v>0.5</v>
      </c>
      <c r="E1300" s="277">
        <v>3</v>
      </c>
      <c r="F1300" s="1035"/>
      <c r="G1300" s="401">
        <f t="shared" si="3"/>
        <v>1350000</v>
      </c>
      <c r="H1300" s="284" t="s">
        <v>125</v>
      </c>
      <c r="I1300" s="1035"/>
      <c r="J1300" s="644">
        <v>2250000</v>
      </c>
    </row>
    <row r="1301" spans="1:10">
      <c r="A1301" s="638" t="s">
        <v>6726</v>
      </c>
      <c r="B1301" s="284" t="s">
        <v>6726</v>
      </c>
      <c r="C1301" s="275" t="s">
        <v>6752</v>
      </c>
      <c r="D1301" s="276">
        <v>1.3</v>
      </c>
      <c r="E1301" s="277">
        <v>7.3</v>
      </c>
      <c r="F1301" s="1035"/>
      <c r="G1301" s="401">
        <f t="shared" si="3"/>
        <v>8541000</v>
      </c>
      <c r="H1301" s="284" t="s">
        <v>125</v>
      </c>
      <c r="I1301" s="1035"/>
      <c r="J1301" s="644">
        <v>14235000</v>
      </c>
    </row>
    <row r="1302" spans="1:10">
      <c r="A1302" s="638" t="s">
        <v>6726</v>
      </c>
      <c r="B1302" s="284" t="s">
        <v>6726</v>
      </c>
      <c r="C1302" s="275" t="s">
        <v>6753</v>
      </c>
      <c r="D1302" s="276">
        <v>0.2</v>
      </c>
      <c r="E1302" s="277">
        <v>4</v>
      </c>
      <c r="F1302" s="1035"/>
      <c r="G1302" s="401">
        <f t="shared" si="3"/>
        <v>720000</v>
      </c>
      <c r="H1302" s="284" t="s">
        <v>125</v>
      </c>
      <c r="I1302" s="1035"/>
      <c r="J1302" s="644">
        <v>1200000</v>
      </c>
    </row>
    <row r="1303" spans="1:10">
      <c r="A1303" s="638" t="s">
        <v>6726</v>
      </c>
      <c r="B1303" s="284" t="s">
        <v>6726</v>
      </c>
      <c r="C1303" s="275" t="s">
        <v>6754</v>
      </c>
      <c r="D1303" s="276">
        <v>0.2</v>
      </c>
      <c r="E1303" s="277">
        <v>4</v>
      </c>
      <c r="F1303" s="1035"/>
      <c r="G1303" s="401">
        <f t="shared" si="3"/>
        <v>720000</v>
      </c>
      <c r="H1303" s="284" t="s">
        <v>125</v>
      </c>
      <c r="I1303" s="1035"/>
      <c r="J1303" s="644">
        <v>1200000</v>
      </c>
    </row>
    <row r="1304" spans="1:10">
      <c r="A1304" s="638" t="s">
        <v>6726</v>
      </c>
      <c r="B1304" s="284" t="s">
        <v>6726</v>
      </c>
      <c r="C1304" s="275" t="s">
        <v>6755</v>
      </c>
      <c r="D1304" s="276">
        <v>1.9</v>
      </c>
      <c r="E1304" s="277">
        <v>4</v>
      </c>
      <c r="F1304" s="1035"/>
      <c r="G1304" s="401">
        <f t="shared" si="3"/>
        <v>6840000</v>
      </c>
      <c r="H1304" s="284" t="s">
        <v>125</v>
      </c>
      <c r="I1304" s="1035"/>
      <c r="J1304" s="644">
        <v>11400000</v>
      </c>
    </row>
    <row r="1305" spans="1:10">
      <c r="A1305" s="638" t="s">
        <v>4622</v>
      </c>
      <c r="B1305" s="284" t="s">
        <v>4622</v>
      </c>
      <c r="C1305" s="275" t="s">
        <v>6756</v>
      </c>
      <c r="D1305" s="276">
        <v>2.6</v>
      </c>
      <c r="E1305" s="277">
        <v>4</v>
      </c>
      <c r="F1305" s="1035" t="s">
        <v>6637</v>
      </c>
      <c r="G1305" s="401">
        <f t="shared" si="3"/>
        <v>9360000</v>
      </c>
      <c r="H1305" s="284" t="s">
        <v>125</v>
      </c>
      <c r="I1305" s="1035" t="s">
        <v>6757</v>
      </c>
      <c r="J1305" s="644">
        <v>15600000</v>
      </c>
    </row>
    <row r="1306" spans="1:10">
      <c r="A1306" s="638" t="s">
        <v>4622</v>
      </c>
      <c r="B1306" s="284" t="s">
        <v>4622</v>
      </c>
      <c r="C1306" s="275" t="s">
        <v>6756</v>
      </c>
      <c r="D1306" s="276">
        <v>1.3</v>
      </c>
      <c r="E1306" s="277">
        <v>3</v>
      </c>
      <c r="F1306" s="1035"/>
      <c r="G1306" s="401">
        <f t="shared" si="3"/>
        <v>3510000</v>
      </c>
      <c r="H1306" s="284" t="s">
        <v>125</v>
      </c>
      <c r="I1306" s="1035"/>
      <c r="J1306" s="644">
        <v>5850000</v>
      </c>
    </row>
    <row r="1307" spans="1:10">
      <c r="A1307" s="638" t="s">
        <v>4622</v>
      </c>
      <c r="B1307" s="284" t="s">
        <v>4622</v>
      </c>
      <c r="C1307" s="275" t="s">
        <v>6758</v>
      </c>
      <c r="D1307" s="276">
        <v>0.67399999999999993</v>
      </c>
      <c r="E1307" s="277">
        <v>3</v>
      </c>
      <c r="F1307" s="1035"/>
      <c r="G1307" s="401">
        <f t="shared" si="3"/>
        <v>1819799.9999999993</v>
      </c>
      <c r="H1307" s="284" t="s">
        <v>125</v>
      </c>
      <c r="I1307" s="1035"/>
      <c r="J1307" s="644">
        <v>3032999.9999999991</v>
      </c>
    </row>
    <row r="1308" spans="1:10">
      <c r="A1308" s="638" t="s">
        <v>4622</v>
      </c>
      <c r="B1308" s="284" t="s">
        <v>4622</v>
      </c>
      <c r="C1308" s="275" t="s">
        <v>6759</v>
      </c>
      <c r="D1308" s="276">
        <v>3.6</v>
      </c>
      <c r="E1308" s="277">
        <v>3</v>
      </c>
      <c r="F1308" s="1035"/>
      <c r="G1308" s="401">
        <f t="shared" si="3"/>
        <v>9720000</v>
      </c>
      <c r="H1308" s="284" t="s">
        <v>125</v>
      </c>
      <c r="I1308" s="1035"/>
      <c r="J1308" s="644">
        <v>16200000</v>
      </c>
    </row>
    <row r="1309" spans="1:10">
      <c r="A1309" s="638" t="s">
        <v>4622</v>
      </c>
      <c r="B1309" s="284" t="s">
        <v>4622</v>
      </c>
      <c r="C1309" s="275" t="s">
        <v>6760</v>
      </c>
      <c r="D1309" s="276">
        <v>0.2</v>
      </c>
      <c r="E1309" s="277">
        <v>3</v>
      </c>
      <c r="F1309" s="1035"/>
      <c r="G1309" s="401">
        <f t="shared" si="3"/>
        <v>540000</v>
      </c>
      <c r="H1309" s="284" t="s">
        <v>125</v>
      </c>
      <c r="I1309" s="1035"/>
      <c r="J1309" s="644">
        <v>900000</v>
      </c>
    </row>
    <row r="1310" spans="1:10">
      <c r="A1310" s="638" t="s">
        <v>4622</v>
      </c>
      <c r="B1310" s="284" t="s">
        <v>4622</v>
      </c>
      <c r="C1310" s="275" t="s">
        <v>6761</v>
      </c>
      <c r="D1310" s="276">
        <v>0.3</v>
      </c>
      <c r="E1310" s="277">
        <v>3</v>
      </c>
      <c r="F1310" s="1035"/>
      <c r="G1310" s="401">
        <f t="shared" si="3"/>
        <v>810000</v>
      </c>
      <c r="H1310" s="284" t="s">
        <v>125</v>
      </c>
      <c r="I1310" s="1035"/>
      <c r="J1310" s="644">
        <v>1350000</v>
      </c>
    </row>
    <row r="1311" spans="1:10">
      <c r="A1311" s="638" t="s">
        <v>4622</v>
      </c>
      <c r="B1311" s="284" t="s">
        <v>4622</v>
      </c>
      <c r="C1311" s="275" t="s">
        <v>6762</v>
      </c>
      <c r="D1311" s="276">
        <v>3.6</v>
      </c>
      <c r="E1311" s="277">
        <v>3</v>
      </c>
      <c r="F1311" s="1035"/>
      <c r="G1311" s="401">
        <f t="shared" si="3"/>
        <v>9720000</v>
      </c>
      <c r="H1311" s="284" t="s">
        <v>125</v>
      </c>
      <c r="I1311" s="1035"/>
      <c r="J1311" s="644">
        <v>16200000</v>
      </c>
    </row>
    <row r="1312" spans="1:10">
      <c r="A1312" s="638" t="s">
        <v>6763</v>
      </c>
      <c r="B1312" s="284" t="s">
        <v>6763</v>
      </c>
      <c r="C1312" s="275" t="s">
        <v>6764</v>
      </c>
      <c r="D1312" s="276">
        <v>1</v>
      </c>
      <c r="E1312" s="277">
        <v>3</v>
      </c>
      <c r="F1312" s="1035" t="s">
        <v>6637</v>
      </c>
      <c r="G1312" s="401">
        <f t="shared" si="3"/>
        <v>2700000</v>
      </c>
      <c r="H1312" s="284" t="s">
        <v>125</v>
      </c>
      <c r="I1312" s="1035" t="s">
        <v>6638</v>
      </c>
      <c r="J1312" s="644">
        <v>4500000</v>
      </c>
    </row>
    <row r="1313" spans="1:10">
      <c r="A1313" s="638" t="s">
        <v>6763</v>
      </c>
      <c r="B1313" s="284" t="s">
        <v>6763</v>
      </c>
      <c r="C1313" s="275" t="s">
        <v>6765</v>
      </c>
      <c r="D1313" s="276">
        <v>2.8650000000000002</v>
      </c>
      <c r="E1313" s="277">
        <v>3</v>
      </c>
      <c r="F1313" s="1035"/>
      <c r="G1313" s="401">
        <f t="shared" si="3"/>
        <v>7735499.9999999981</v>
      </c>
      <c r="H1313" s="284" t="s">
        <v>125</v>
      </c>
      <c r="I1313" s="1035"/>
      <c r="J1313" s="644">
        <v>12892499.999999998</v>
      </c>
    </row>
    <row r="1314" spans="1:10">
      <c r="A1314" s="638" t="s">
        <v>6763</v>
      </c>
      <c r="B1314" s="284" t="s">
        <v>6763</v>
      </c>
      <c r="C1314" s="275" t="s">
        <v>6766</v>
      </c>
      <c r="D1314" s="276">
        <v>0.4</v>
      </c>
      <c r="E1314" s="277">
        <v>4</v>
      </c>
      <c r="F1314" s="1035"/>
      <c r="G1314" s="401">
        <f t="shared" si="3"/>
        <v>1440000</v>
      </c>
      <c r="H1314" s="284" t="s">
        <v>125</v>
      </c>
      <c r="I1314" s="1035"/>
      <c r="J1314" s="644">
        <v>2400000</v>
      </c>
    </row>
    <row r="1315" spans="1:10">
      <c r="A1315" s="638" t="s">
        <v>6763</v>
      </c>
      <c r="B1315" s="284" t="s">
        <v>6763</v>
      </c>
      <c r="C1315" s="275" t="s">
        <v>6767</v>
      </c>
      <c r="D1315" s="276">
        <v>1</v>
      </c>
      <c r="E1315" s="277">
        <v>3.5</v>
      </c>
      <c r="F1315" s="1035"/>
      <c r="G1315" s="401">
        <f t="shared" si="3"/>
        <v>3150000</v>
      </c>
      <c r="H1315" s="284" t="s">
        <v>125</v>
      </c>
      <c r="I1315" s="1035"/>
      <c r="J1315" s="644">
        <v>5250000</v>
      </c>
    </row>
    <row r="1316" spans="1:10">
      <c r="A1316" s="638" t="s">
        <v>6763</v>
      </c>
      <c r="B1316" s="284" t="s">
        <v>6763</v>
      </c>
      <c r="C1316" s="275" t="s">
        <v>6768</v>
      </c>
      <c r="D1316" s="276">
        <v>2.5</v>
      </c>
      <c r="E1316" s="277">
        <v>3</v>
      </c>
      <c r="F1316" s="1035"/>
      <c r="G1316" s="401">
        <f t="shared" si="3"/>
        <v>6750000</v>
      </c>
      <c r="H1316" s="284" t="s">
        <v>125</v>
      </c>
      <c r="I1316" s="1035"/>
      <c r="J1316" s="644">
        <v>11250000</v>
      </c>
    </row>
    <row r="1317" spans="1:10">
      <c r="A1317" s="638" t="s">
        <v>6763</v>
      </c>
      <c r="B1317" s="284" t="s">
        <v>6763</v>
      </c>
      <c r="C1317" s="275" t="s">
        <v>6769</v>
      </c>
      <c r="D1317" s="276">
        <v>3.5</v>
      </c>
      <c r="E1317" s="277">
        <v>3</v>
      </c>
      <c r="F1317" s="1035"/>
      <c r="G1317" s="401">
        <f t="shared" si="3"/>
        <v>9450000</v>
      </c>
      <c r="H1317" s="284" t="s">
        <v>125</v>
      </c>
      <c r="I1317" s="1035"/>
      <c r="J1317" s="644">
        <v>15750000</v>
      </c>
    </row>
    <row r="1318" spans="1:10">
      <c r="A1318" s="638" t="s">
        <v>6763</v>
      </c>
      <c r="B1318" s="284" t="s">
        <v>6763</v>
      </c>
      <c r="C1318" s="275" t="s">
        <v>6770</v>
      </c>
      <c r="D1318" s="276">
        <v>0.4</v>
      </c>
      <c r="E1318" s="277">
        <v>3</v>
      </c>
      <c r="F1318" s="1035"/>
      <c r="G1318" s="401">
        <f t="shared" si="3"/>
        <v>1080000</v>
      </c>
      <c r="H1318" s="284" t="s">
        <v>125</v>
      </c>
      <c r="I1318" s="1035"/>
      <c r="J1318" s="644">
        <v>1800000</v>
      </c>
    </row>
    <row r="1319" spans="1:10">
      <c r="A1319" s="638" t="s">
        <v>6763</v>
      </c>
      <c r="B1319" s="284" t="s">
        <v>6763</v>
      </c>
      <c r="C1319" s="275" t="s">
        <v>6771</v>
      </c>
      <c r="D1319" s="276">
        <v>0.3</v>
      </c>
      <c r="E1319" s="277">
        <v>3</v>
      </c>
      <c r="F1319" s="1035"/>
      <c r="G1319" s="401">
        <f t="shared" si="3"/>
        <v>810000</v>
      </c>
      <c r="H1319" s="284" t="s">
        <v>125</v>
      </c>
      <c r="I1319" s="1035"/>
      <c r="J1319" s="644">
        <v>1350000</v>
      </c>
    </row>
    <row r="1320" spans="1:10">
      <c r="A1320" s="638" t="s">
        <v>6763</v>
      </c>
      <c r="B1320" s="284" t="s">
        <v>6763</v>
      </c>
      <c r="C1320" s="275" t="s">
        <v>6772</v>
      </c>
      <c r="D1320" s="276">
        <v>0.9</v>
      </c>
      <c r="E1320" s="277">
        <v>3</v>
      </c>
      <c r="F1320" s="1035"/>
      <c r="G1320" s="401">
        <f t="shared" si="3"/>
        <v>2430000</v>
      </c>
      <c r="H1320" s="284" t="s">
        <v>125</v>
      </c>
      <c r="I1320" s="1035"/>
      <c r="J1320" s="644">
        <v>4050000</v>
      </c>
    </row>
    <row r="1321" spans="1:10">
      <c r="A1321" s="638" t="s">
        <v>6763</v>
      </c>
      <c r="B1321" s="284" t="s">
        <v>6763</v>
      </c>
      <c r="C1321" s="275" t="s">
        <v>6773</v>
      </c>
      <c r="D1321" s="276">
        <v>1</v>
      </c>
      <c r="E1321" s="277">
        <v>3</v>
      </c>
      <c r="F1321" s="1035"/>
      <c r="G1321" s="401">
        <f t="shared" si="3"/>
        <v>2700000</v>
      </c>
      <c r="H1321" s="284" t="s">
        <v>125</v>
      </c>
      <c r="I1321" s="1035"/>
      <c r="J1321" s="644">
        <v>4500000</v>
      </c>
    </row>
    <row r="1322" spans="1:10">
      <c r="A1322" s="638" t="s">
        <v>6763</v>
      </c>
      <c r="B1322" s="284" t="s">
        <v>6763</v>
      </c>
      <c r="C1322" s="275" t="s">
        <v>6774</v>
      </c>
      <c r="D1322" s="276">
        <v>0.5</v>
      </c>
      <c r="E1322" s="277">
        <v>3</v>
      </c>
      <c r="F1322" s="1035"/>
      <c r="G1322" s="401">
        <f t="shared" si="3"/>
        <v>1350000</v>
      </c>
      <c r="H1322" s="284" t="s">
        <v>125</v>
      </c>
      <c r="I1322" s="1035"/>
      <c r="J1322" s="644">
        <v>2250000</v>
      </c>
    </row>
    <row r="1323" spans="1:10">
      <c r="A1323" s="638" t="s">
        <v>6763</v>
      </c>
      <c r="B1323" s="284" t="s">
        <v>6763</v>
      </c>
      <c r="C1323" s="275" t="s">
        <v>6775</v>
      </c>
      <c r="D1323" s="276">
        <v>1.4</v>
      </c>
      <c r="E1323" s="277">
        <v>5</v>
      </c>
      <c r="F1323" s="1035"/>
      <c r="G1323" s="401">
        <f t="shared" si="3"/>
        <v>6300000</v>
      </c>
      <c r="H1323" s="284" t="s">
        <v>125</v>
      </c>
      <c r="I1323" s="1035"/>
      <c r="J1323" s="644">
        <v>10500000</v>
      </c>
    </row>
    <row r="1324" spans="1:10">
      <c r="A1324" s="638" t="s">
        <v>6763</v>
      </c>
      <c r="B1324" s="284" t="s">
        <v>6763</v>
      </c>
      <c r="C1324" s="275" t="s">
        <v>6776</v>
      </c>
      <c r="D1324" s="276">
        <v>1.6200000000000006</v>
      </c>
      <c r="E1324" s="277">
        <v>3</v>
      </c>
      <c r="F1324" s="1035"/>
      <c r="G1324" s="401">
        <f t="shared" si="3"/>
        <v>4374000.0000000019</v>
      </c>
      <c r="H1324" s="284" t="s">
        <v>125</v>
      </c>
      <c r="I1324" s="1035"/>
      <c r="J1324" s="644">
        <v>7290000.0000000037</v>
      </c>
    </row>
    <row r="1325" spans="1:10">
      <c r="A1325" s="638" t="s">
        <v>6763</v>
      </c>
      <c r="B1325" s="284" t="s">
        <v>6763</v>
      </c>
      <c r="C1325" s="275" t="s">
        <v>6777</v>
      </c>
      <c r="D1325" s="276">
        <v>1.1000000000000001</v>
      </c>
      <c r="E1325" s="277">
        <v>3</v>
      </c>
      <c r="F1325" s="1035"/>
      <c r="G1325" s="401">
        <f t="shared" si="3"/>
        <v>2970000</v>
      </c>
      <c r="H1325" s="284" t="s">
        <v>125</v>
      </c>
      <c r="I1325" s="1035"/>
      <c r="J1325" s="644">
        <v>4950000</v>
      </c>
    </row>
    <row r="1326" spans="1:10">
      <c r="A1326" s="638" t="s">
        <v>6763</v>
      </c>
      <c r="B1326" s="284" t="s">
        <v>6763</v>
      </c>
      <c r="C1326" s="275" t="s">
        <v>6778</v>
      </c>
      <c r="D1326" s="276">
        <v>0.87499999999999989</v>
      </c>
      <c r="E1326" s="277">
        <v>3</v>
      </c>
      <c r="F1326" s="1035"/>
      <c r="G1326" s="401">
        <f t="shared" si="3"/>
        <v>2362499.9999999995</v>
      </c>
      <c r="H1326" s="284" t="s">
        <v>125</v>
      </c>
      <c r="I1326" s="1035"/>
      <c r="J1326" s="644">
        <v>3937499.9999999991</v>
      </c>
    </row>
    <row r="1327" spans="1:10">
      <c r="A1327" s="638" t="s">
        <v>6763</v>
      </c>
      <c r="B1327" s="284" t="s">
        <v>6763</v>
      </c>
      <c r="C1327" s="275" t="s">
        <v>6779</v>
      </c>
      <c r="D1327" s="276">
        <v>0.8</v>
      </c>
      <c r="E1327" s="277">
        <v>4</v>
      </c>
      <c r="F1327" s="1035"/>
      <c r="G1327" s="401">
        <f t="shared" si="3"/>
        <v>2880000</v>
      </c>
      <c r="H1327" s="284" t="s">
        <v>125</v>
      </c>
      <c r="I1327" s="1035"/>
      <c r="J1327" s="644">
        <v>4800000</v>
      </c>
    </row>
    <row r="1328" spans="1:10">
      <c r="A1328" s="638" t="s">
        <v>6763</v>
      </c>
      <c r="B1328" s="284" t="s">
        <v>6763</v>
      </c>
      <c r="C1328" s="275" t="s">
        <v>6780</v>
      </c>
      <c r="D1328" s="276">
        <v>0.9</v>
      </c>
      <c r="E1328" s="277">
        <v>3</v>
      </c>
      <c r="F1328" s="1035"/>
      <c r="G1328" s="401">
        <f t="shared" si="3"/>
        <v>2430000</v>
      </c>
      <c r="H1328" s="284" t="s">
        <v>125</v>
      </c>
      <c r="I1328" s="1035"/>
      <c r="J1328" s="644">
        <v>4050000</v>
      </c>
    </row>
    <row r="1329" spans="1:10">
      <c r="A1329" s="638" t="s">
        <v>6763</v>
      </c>
      <c r="B1329" s="284" t="s">
        <v>6763</v>
      </c>
      <c r="C1329" s="275" t="s">
        <v>6781</v>
      </c>
      <c r="D1329" s="276">
        <v>4.9999999999999989E-2</v>
      </c>
      <c r="E1329" s="277">
        <v>4</v>
      </c>
      <c r="F1329" s="1035" t="s">
        <v>6637</v>
      </c>
      <c r="G1329" s="401">
        <f t="shared" si="3"/>
        <v>179999.99999999997</v>
      </c>
      <c r="H1329" s="284" t="s">
        <v>125</v>
      </c>
      <c r="I1329" s="1035" t="s">
        <v>6638</v>
      </c>
      <c r="J1329" s="644">
        <v>299999.99999999994</v>
      </c>
    </row>
    <row r="1330" spans="1:10">
      <c r="A1330" s="638" t="s">
        <v>6763</v>
      </c>
      <c r="B1330" s="284" t="s">
        <v>6763</v>
      </c>
      <c r="C1330" s="275" t="s">
        <v>6782</v>
      </c>
      <c r="D1330" s="276">
        <v>0.2</v>
      </c>
      <c r="E1330" s="277">
        <v>3</v>
      </c>
      <c r="F1330" s="1035"/>
      <c r="G1330" s="401">
        <f t="shared" si="3"/>
        <v>540000</v>
      </c>
      <c r="H1330" s="284" t="s">
        <v>125</v>
      </c>
      <c r="I1330" s="1035"/>
      <c r="J1330" s="644">
        <v>900000</v>
      </c>
    </row>
    <row r="1331" spans="1:10">
      <c r="A1331" s="638" t="s">
        <v>6763</v>
      </c>
      <c r="B1331" s="284" t="s">
        <v>6763</v>
      </c>
      <c r="C1331" s="275" t="s">
        <v>6783</v>
      </c>
      <c r="D1331" s="276">
        <v>0.84</v>
      </c>
      <c r="E1331" s="277">
        <v>4</v>
      </c>
      <c r="F1331" s="1035"/>
      <c r="G1331" s="401">
        <f t="shared" si="3"/>
        <v>3024000</v>
      </c>
      <c r="H1331" s="284" t="s">
        <v>125</v>
      </c>
      <c r="I1331" s="1035"/>
      <c r="J1331" s="644">
        <v>5040000</v>
      </c>
    </row>
    <row r="1332" spans="1:10">
      <c r="A1332" s="638" t="s">
        <v>6763</v>
      </c>
      <c r="B1332" s="284" t="s">
        <v>6763</v>
      </c>
      <c r="C1332" s="275" t="s">
        <v>6784</v>
      </c>
      <c r="D1332" s="276">
        <v>0.6</v>
      </c>
      <c r="E1332" s="277">
        <v>3</v>
      </c>
      <c r="F1332" s="1035"/>
      <c r="G1332" s="401">
        <f t="shared" si="3"/>
        <v>1620000</v>
      </c>
      <c r="H1332" s="284" t="s">
        <v>125</v>
      </c>
      <c r="I1332" s="1035"/>
      <c r="J1332" s="644">
        <v>2700000</v>
      </c>
    </row>
    <row r="1333" spans="1:10">
      <c r="A1333" s="638" t="s">
        <v>6763</v>
      </c>
      <c r="B1333" s="284" t="s">
        <v>6763</v>
      </c>
      <c r="C1333" s="275" t="s">
        <v>6785</v>
      </c>
      <c r="D1333" s="276">
        <v>1.2</v>
      </c>
      <c r="E1333" s="277">
        <v>3</v>
      </c>
      <c r="F1333" s="1035"/>
      <c r="G1333" s="401">
        <f t="shared" si="3"/>
        <v>3240000</v>
      </c>
      <c r="H1333" s="284" t="s">
        <v>125</v>
      </c>
      <c r="I1333" s="1035"/>
      <c r="J1333" s="644">
        <v>5400000</v>
      </c>
    </row>
    <row r="1334" spans="1:10">
      <c r="A1334" s="638" t="s">
        <v>6763</v>
      </c>
      <c r="B1334" s="284" t="s">
        <v>6763</v>
      </c>
      <c r="C1334" s="275" t="s">
        <v>6786</v>
      </c>
      <c r="D1334" s="276">
        <v>0.8</v>
      </c>
      <c r="E1334" s="277">
        <v>3</v>
      </c>
      <c r="F1334" s="1035"/>
      <c r="G1334" s="401">
        <f t="shared" si="3"/>
        <v>2160000</v>
      </c>
      <c r="H1334" s="284" t="s">
        <v>125</v>
      </c>
      <c r="I1334" s="1035"/>
      <c r="J1334" s="644">
        <v>3600000</v>
      </c>
    </row>
    <row r="1335" spans="1:10">
      <c r="A1335" s="638" t="s">
        <v>6763</v>
      </c>
      <c r="B1335" s="284" t="s">
        <v>6763</v>
      </c>
      <c r="C1335" s="275" t="s">
        <v>6787</v>
      </c>
      <c r="D1335" s="276">
        <v>0.19999999999999996</v>
      </c>
      <c r="E1335" s="277">
        <v>3</v>
      </c>
      <c r="F1335" s="1035"/>
      <c r="G1335" s="401">
        <f t="shared" si="3"/>
        <v>539999.99999999977</v>
      </c>
      <c r="H1335" s="284" t="s">
        <v>125</v>
      </c>
      <c r="I1335" s="1035"/>
      <c r="J1335" s="644">
        <v>899999.99999999965</v>
      </c>
    </row>
    <row r="1336" spans="1:10">
      <c r="A1336" s="638" t="s">
        <v>6763</v>
      </c>
      <c r="B1336" s="284" t="s">
        <v>6763</v>
      </c>
      <c r="C1336" s="275" t="s">
        <v>6788</v>
      </c>
      <c r="D1336" s="276">
        <v>2.8</v>
      </c>
      <c r="E1336" s="277">
        <v>7.8</v>
      </c>
      <c r="F1336" s="1035"/>
      <c r="G1336" s="401">
        <f t="shared" si="3"/>
        <v>19655999.999999996</v>
      </c>
      <c r="H1336" s="284" t="s">
        <v>125</v>
      </c>
      <c r="I1336" s="1035"/>
      <c r="J1336" s="644">
        <v>32759999.999999996</v>
      </c>
    </row>
    <row r="1337" spans="1:10">
      <c r="A1337" s="638" t="s">
        <v>6763</v>
      </c>
      <c r="B1337" s="284" t="s">
        <v>6763</v>
      </c>
      <c r="C1337" s="275" t="s">
        <v>6789</v>
      </c>
      <c r="D1337" s="276">
        <v>0.5</v>
      </c>
      <c r="E1337" s="277">
        <v>3</v>
      </c>
      <c r="F1337" s="1035"/>
      <c r="G1337" s="401">
        <f t="shared" si="3"/>
        <v>1350000</v>
      </c>
      <c r="H1337" s="284" t="s">
        <v>125</v>
      </c>
      <c r="I1337" s="1035"/>
      <c r="J1337" s="644">
        <v>2250000</v>
      </c>
    </row>
    <row r="1338" spans="1:10">
      <c r="A1338" s="638" t="s">
        <v>6763</v>
      </c>
      <c r="B1338" s="284" t="s">
        <v>6763</v>
      </c>
      <c r="C1338" s="275" t="s">
        <v>6790</v>
      </c>
      <c r="D1338" s="276">
        <v>0.6</v>
      </c>
      <c r="E1338" s="277">
        <v>3</v>
      </c>
      <c r="F1338" s="1035"/>
      <c r="G1338" s="401">
        <f t="shared" si="3"/>
        <v>1620000</v>
      </c>
      <c r="H1338" s="284" t="s">
        <v>125</v>
      </c>
      <c r="I1338" s="1035"/>
      <c r="J1338" s="644">
        <v>2700000</v>
      </c>
    </row>
    <row r="1339" spans="1:10">
      <c r="A1339" s="638" t="s">
        <v>6763</v>
      </c>
      <c r="B1339" s="284" t="s">
        <v>6763</v>
      </c>
      <c r="C1339" s="275" t="s">
        <v>6791</v>
      </c>
      <c r="D1339" s="276">
        <v>2.2999999999999998</v>
      </c>
      <c r="E1339" s="277">
        <v>3</v>
      </c>
      <c r="F1339" s="1035"/>
      <c r="G1339" s="401">
        <f t="shared" si="3"/>
        <v>6210000</v>
      </c>
      <c r="H1339" s="284" t="s">
        <v>125</v>
      </c>
      <c r="I1339" s="1035"/>
      <c r="J1339" s="644">
        <v>10350000</v>
      </c>
    </row>
    <row r="1340" spans="1:10">
      <c r="A1340" s="638" t="s">
        <v>6763</v>
      </c>
      <c r="B1340" s="284" t="s">
        <v>6763</v>
      </c>
      <c r="C1340" s="275" t="s">
        <v>6792</v>
      </c>
      <c r="D1340" s="276">
        <v>0.2</v>
      </c>
      <c r="E1340" s="277">
        <v>3</v>
      </c>
      <c r="F1340" s="1035"/>
      <c r="G1340" s="401">
        <f t="shared" si="3"/>
        <v>540000</v>
      </c>
      <c r="H1340" s="284" t="s">
        <v>125</v>
      </c>
      <c r="I1340" s="1035"/>
      <c r="J1340" s="644">
        <v>900000</v>
      </c>
    </row>
    <row r="1341" spans="1:10">
      <c r="A1341" s="638" t="s">
        <v>6763</v>
      </c>
      <c r="B1341" s="284" t="s">
        <v>6763</v>
      </c>
      <c r="C1341" s="275" t="s">
        <v>6793</v>
      </c>
      <c r="D1341" s="276">
        <v>0.2</v>
      </c>
      <c r="E1341" s="277">
        <v>3</v>
      </c>
      <c r="F1341" s="1035"/>
      <c r="G1341" s="401">
        <f t="shared" si="3"/>
        <v>540000</v>
      </c>
      <c r="H1341" s="284" t="s">
        <v>125</v>
      </c>
      <c r="I1341" s="1035"/>
      <c r="J1341" s="644">
        <v>900000</v>
      </c>
    </row>
    <row r="1342" spans="1:10">
      <c r="A1342" s="638" t="s">
        <v>6763</v>
      </c>
      <c r="B1342" s="284" t="s">
        <v>6763</v>
      </c>
      <c r="C1342" s="275" t="s">
        <v>6794</v>
      </c>
      <c r="D1342" s="276">
        <v>0.5</v>
      </c>
      <c r="E1342" s="277">
        <v>3</v>
      </c>
      <c r="F1342" s="1035"/>
      <c r="G1342" s="401">
        <f t="shared" si="3"/>
        <v>1350000</v>
      </c>
      <c r="H1342" s="284" t="s">
        <v>125</v>
      </c>
      <c r="I1342" s="1035"/>
      <c r="J1342" s="644">
        <v>2250000</v>
      </c>
    </row>
    <row r="1343" spans="1:10">
      <c r="A1343" s="638" t="s">
        <v>6763</v>
      </c>
      <c r="B1343" s="284" t="s">
        <v>6763</v>
      </c>
      <c r="C1343" s="275" t="s">
        <v>6795</v>
      </c>
      <c r="D1343" s="276">
        <v>0.4</v>
      </c>
      <c r="E1343" s="277">
        <v>3</v>
      </c>
      <c r="F1343" s="1035"/>
      <c r="G1343" s="401">
        <f t="shared" ref="G1343:G1406" si="4">J1343*0.6</f>
        <v>1080000</v>
      </c>
      <c r="H1343" s="284" t="s">
        <v>125</v>
      </c>
      <c r="I1343" s="1035"/>
      <c r="J1343" s="644">
        <v>1800000</v>
      </c>
    </row>
    <row r="1344" spans="1:10">
      <c r="A1344" s="638" t="s">
        <v>6763</v>
      </c>
      <c r="B1344" s="284" t="s">
        <v>6763</v>
      </c>
      <c r="C1344" s="275" t="s">
        <v>6796</v>
      </c>
      <c r="D1344" s="276">
        <v>0.7</v>
      </c>
      <c r="E1344" s="277">
        <v>3</v>
      </c>
      <c r="F1344" s="1035" t="s">
        <v>6637</v>
      </c>
      <c r="G1344" s="401">
        <f t="shared" si="4"/>
        <v>1890000</v>
      </c>
      <c r="H1344" s="284" t="s">
        <v>125</v>
      </c>
      <c r="I1344" s="1035"/>
      <c r="J1344" s="644">
        <v>3150000</v>
      </c>
    </row>
    <row r="1345" spans="1:10">
      <c r="A1345" s="638" t="s">
        <v>6763</v>
      </c>
      <c r="B1345" s="284" t="s">
        <v>6763</v>
      </c>
      <c r="C1345" s="275" t="s">
        <v>6797</v>
      </c>
      <c r="D1345" s="276">
        <v>2.2000000000000002</v>
      </c>
      <c r="E1345" s="277">
        <v>4</v>
      </c>
      <c r="F1345" s="1035"/>
      <c r="G1345" s="401">
        <f t="shared" si="4"/>
        <v>7920000</v>
      </c>
      <c r="H1345" s="284" t="s">
        <v>125</v>
      </c>
      <c r="I1345" s="1035"/>
      <c r="J1345" s="644">
        <v>13200000</v>
      </c>
    </row>
    <row r="1346" spans="1:10">
      <c r="A1346" s="638" t="s">
        <v>6763</v>
      </c>
      <c r="B1346" s="284" t="s">
        <v>6763</v>
      </c>
      <c r="C1346" s="275" t="s">
        <v>6798</v>
      </c>
      <c r="D1346" s="276">
        <v>0.4</v>
      </c>
      <c r="E1346" s="277">
        <v>3</v>
      </c>
      <c r="F1346" s="1035"/>
      <c r="G1346" s="401">
        <f t="shared" si="4"/>
        <v>1080000</v>
      </c>
      <c r="H1346" s="284" t="s">
        <v>125</v>
      </c>
      <c r="I1346" s="1035"/>
      <c r="J1346" s="644">
        <v>1800000</v>
      </c>
    </row>
    <row r="1347" spans="1:10">
      <c r="A1347" s="638" t="s">
        <v>6763</v>
      </c>
      <c r="B1347" s="284" t="s">
        <v>6763</v>
      </c>
      <c r="C1347" s="275" t="s">
        <v>6799</v>
      </c>
      <c r="D1347" s="276">
        <v>0.4</v>
      </c>
      <c r="E1347" s="277">
        <v>3</v>
      </c>
      <c r="F1347" s="1035"/>
      <c r="G1347" s="401">
        <f t="shared" si="4"/>
        <v>1080000</v>
      </c>
      <c r="H1347" s="284" t="s">
        <v>125</v>
      </c>
      <c r="I1347" s="1035"/>
      <c r="J1347" s="644">
        <v>1800000</v>
      </c>
    </row>
    <row r="1348" spans="1:10">
      <c r="A1348" s="638" t="s">
        <v>6763</v>
      </c>
      <c r="B1348" s="284" t="s">
        <v>6763</v>
      </c>
      <c r="C1348" s="275" t="s">
        <v>6800</v>
      </c>
      <c r="D1348" s="276">
        <v>0.7</v>
      </c>
      <c r="E1348" s="277">
        <v>3</v>
      </c>
      <c r="F1348" s="1035"/>
      <c r="G1348" s="401">
        <f t="shared" si="4"/>
        <v>1890000</v>
      </c>
      <c r="H1348" s="284" t="s">
        <v>125</v>
      </c>
      <c r="I1348" s="1035"/>
      <c r="J1348" s="644">
        <v>3150000</v>
      </c>
    </row>
    <row r="1349" spans="1:10">
      <c r="A1349" s="638" t="s">
        <v>6763</v>
      </c>
      <c r="B1349" s="284" t="s">
        <v>6763</v>
      </c>
      <c r="C1349" s="275" t="s">
        <v>6801</v>
      </c>
      <c r="D1349" s="276">
        <v>4.0000000000000036E-3</v>
      </c>
      <c r="E1349" s="277">
        <v>3</v>
      </c>
      <c r="F1349" s="1035"/>
      <c r="G1349" s="401">
        <f t="shared" si="4"/>
        <v>10800.000000000009</v>
      </c>
      <c r="H1349" s="284" t="s">
        <v>125</v>
      </c>
      <c r="I1349" s="1035"/>
      <c r="J1349" s="644">
        <v>18000.000000000015</v>
      </c>
    </row>
    <row r="1350" spans="1:10">
      <c r="A1350" s="638" t="s">
        <v>6763</v>
      </c>
      <c r="B1350" s="284" t="s">
        <v>6763</v>
      </c>
      <c r="C1350" s="275" t="s">
        <v>6802</v>
      </c>
      <c r="D1350" s="276">
        <v>0.9</v>
      </c>
      <c r="E1350" s="277">
        <v>3</v>
      </c>
      <c r="F1350" s="1035"/>
      <c r="G1350" s="401">
        <f t="shared" si="4"/>
        <v>2430000</v>
      </c>
      <c r="H1350" s="284" t="s">
        <v>125</v>
      </c>
      <c r="I1350" s="1035"/>
      <c r="J1350" s="644">
        <v>4050000</v>
      </c>
    </row>
    <row r="1351" spans="1:10">
      <c r="A1351" s="638" t="s">
        <v>6763</v>
      </c>
      <c r="B1351" s="284" t="s">
        <v>6763</v>
      </c>
      <c r="C1351" s="275" t="s">
        <v>6803</v>
      </c>
      <c r="D1351" s="276">
        <v>0.2</v>
      </c>
      <c r="E1351" s="277">
        <v>3</v>
      </c>
      <c r="F1351" s="1035"/>
      <c r="G1351" s="401">
        <f t="shared" si="4"/>
        <v>540000</v>
      </c>
      <c r="H1351" s="284" t="s">
        <v>125</v>
      </c>
      <c r="I1351" s="1035"/>
      <c r="J1351" s="644">
        <v>900000</v>
      </c>
    </row>
    <row r="1352" spans="1:10">
      <c r="A1352" s="638" t="s">
        <v>6763</v>
      </c>
      <c r="B1352" s="284" t="s">
        <v>6763</v>
      </c>
      <c r="C1352" s="275" t="s">
        <v>6804</v>
      </c>
      <c r="D1352" s="276">
        <v>2</v>
      </c>
      <c r="E1352" s="277">
        <v>3.9</v>
      </c>
      <c r="F1352" s="1035"/>
      <c r="G1352" s="401">
        <f t="shared" si="4"/>
        <v>7020000</v>
      </c>
      <c r="H1352" s="284" t="s">
        <v>125</v>
      </c>
      <c r="I1352" s="1035"/>
      <c r="J1352" s="644">
        <v>11700000</v>
      </c>
    </row>
    <row r="1353" spans="1:10">
      <c r="A1353" s="638" t="s">
        <v>6763</v>
      </c>
      <c r="B1353" s="284" t="s">
        <v>6763</v>
      </c>
      <c r="C1353" s="275" t="s">
        <v>6805</v>
      </c>
      <c r="D1353" s="276">
        <v>0.6</v>
      </c>
      <c r="E1353" s="277">
        <v>4.3</v>
      </c>
      <c r="F1353" s="1035"/>
      <c r="G1353" s="401">
        <f t="shared" si="4"/>
        <v>2321999.9999999995</v>
      </c>
      <c r="H1353" s="284" t="s">
        <v>125</v>
      </c>
      <c r="I1353" s="1035"/>
      <c r="J1353" s="644">
        <v>3869999.9999999995</v>
      </c>
    </row>
    <row r="1354" spans="1:10">
      <c r="A1354" s="638" t="s">
        <v>6763</v>
      </c>
      <c r="B1354" s="284" t="s">
        <v>6763</v>
      </c>
      <c r="C1354" s="275" t="s">
        <v>6806</v>
      </c>
      <c r="D1354" s="276">
        <v>0.4</v>
      </c>
      <c r="E1354" s="277">
        <v>2.7</v>
      </c>
      <c r="F1354" s="1035"/>
      <c r="G1354" s="401">
        <f t="shared" si="4"/>
        <v>972000</v>
      </c>
      <c r="H1354" s="284" t="s">
        <v>125</v>
      </c>
      <c r="I1354" s="1035"/>
      <c r="J1354" s="644">
        <v>1620000</v>
      </c>
    </row>
    <row r="1355" spans="1:10">
      <c r="A1355" s="638" t="s">
        <v>6763</v>
      </c>
      <c r="B1355" s="284" t="s">
        <v>6763</v>
      </c>
      <c r="C1355" s="275" t="s">
        <v>6807</v>
      </c>
      <c r="D1355" s="276">
        <v>0.3</v>
      </c>
      <c r="E1355" s="277">
        <v>3.6</v>
      </c>
      <c r="F1355" s="1035"/>
      <c r="G1355" s="401">
        <f t="shared" si="4"/>
        <v>972000</v>
      </c>
      <c r="H1355" s="284" t="s">
        <v>125</v>
      </c>
      <c r="I1355" s="1035"/>
      <c r="J1355" s="644">
        <v>1620000</v>
      </c>
    </row>
    <row r="1356" spans="1:10">
      <c r="A1356" s="638" t="s">
        <v>6808</v>
      </c>
      <c r="B1356" s="284" t="s">
        <v>6808</v>
      </c>
      <c r="C1356" s="275" t="s">
        <v>6809</v>
      </c>
      <c r="D1356" s="276">
        <v>0.5</v>
      </c>
      <c r="E1356" s="277">
        <v>3.5</v>
      </c>
      <c r="F1356" s="1035" t="s">
        <v>6637</v>
      </c>
      <c r="G1356" s="401">
        <f t="shared" si="4"/>
        <v>1575000</v>
      </c>
      <c r="H1356" s="284" t="s">
        <v>125</v>
      </c>
      <c r="I1356" s="1035" t="s">
        <v>6638</v>
      </c>
      <c r="J1356" s="644">
        <v>2625000</v>
      </c>
    </row>
    <row r="1357" spans="1:10">
      <c r="A1357" s="638" t="s">
        <v>6808</v>
      </c>
      <c r="B1357" s="284" t="s">
        <v>6808</v>
      </c>
      <c r="C1357" s="275" t="s">
        <v>6810</v>
      </c>
      <c r="D1357" s="276">
        <v>2.7</v>
      </c>
      <c r="E1357" s="277">
        <v>5</v>
      </c>
      <c r="F1357" s="1035"/>
      <c r="G1357" s="401">
        <f t="shared" si="4"/>
        <v>12150000</v>
      </c>
      <c r="H1357" s="284" t="s">
        <v>125</v>
      </c>
      <c r="I1357" s="1035"/>
      <c r="J1357" s="644">
        <v>20250000</v>
      </c>
    </row>
    <row r="1358" spans="1:10">
      <c r="A1358" s="638" t="s">
        <v>6808</v>
      </c>
      <c r="B1358" s="284" t="s">
        <v>6808</v>
      </c>
      <c r="C1358" s="275" t="s">
        <v>6811</v>
      </c>
      <c r="D1358" s="276">
        <v>4.5999999999999996</v>
      </c>
      <c r="E1358" s="277">
        <v>3.5</v>
      </c>
      <c r="F1358" s="1035"/>
      <c r="G1358" s="401">
        <f t="shared" si="4"/>
        <v>14490000</v>
      </c>
      <c r="H1358" s="284" t="s">
        <v>125</v>
      </c>
      <c r="I1358" s="1035"/>
      <c r="J1358" s="644">
        <v>24150000</v>
      </c>
    </row>
    <row r="1359" spans="1:10">
      <c r="A1359" s="638" t="s">
        <v>6808</v>
      </c>
      <c r="B1359" s="284" t="s">
        <v>6808</v>
      </c>
      <c r="C1359" s="275" t="s">
        <v>6812</v>
      </c>
      <c r="D1359" s="276">
        <v>5.0999999999999996</v>
      </c>
      <c r="E1359" s="277">
        <v>4</v>
      </c>
      <c r="F1359" s="1035"/>
      <c r="G1359" s="401">
        <f t="shared" si="4"/>
        <v>18360000</v>
      </c>
      <c r="H1359" s="284" t="s">
        <v>125</v>
      </c>
      <c r="I1359" s="1035"/>
      <c r="J1359" s="644">
        <v>30600000</v>
      </c>
    </row>
    <row r="1360" spans="1:10">
      <c r="A1360" s="638" t="s">
        <v>6808</v>
      </c>
      <c r="B1360" s="284" t="s">
        <v>6808</v>
      </c>
      <c r="C1360" s="275" t="s">
        <v>6813</v>
      </c>
      <c r="D1360" s="276">
        <v>3.25</v>
      </c>
      <c r="E1360" s="277">
        <v>4</v>
      </c>
      <c r="F1360" s="1035"/>
      <c r="G1360" s="401">
        <f t="shared" si="4"/>
        <v>11700000</v>
      </c>
      <c r="H1360" s="284" t="s">
        <v>125</v>
      </c>
      <c r="I1360" s="1035"/>
      <c r="J1360" s="644">
        <v>19500000</v>
      </c>
    </row>
    <row r="1361" spans="1:10">
      <c r="A1361" s="638" t="s">
        <v>6808</v>
      </c>
      <c r="B1361" s="284" t="s">
        <v>6808</v>
      </c>
      <c r="C1361" s="275" t="s">
        <v>6813</v>
      </c>
      <c r="D1361" s="276">
        <v>0.5</v>
      </c>
      <c r="E1361" s="277">
        <v>4</v>
      </c>
      <c r="F1361" s="1035"/>
      <c r="G1361" s="401">
        <f t="shared" si="4"/>
        <v>1800000</v>
      </c>
      <c r="H1361" s="284" t="s">
        <v>125</v>
      </c>
      <c r="I1361" s="1035"/>
      <c r="J1361" s="644">
        <v>3000000</v>
      </c>
    </row>
    <row r="1362" spans="1:10">
      <c r="A1362" s="638" t="s">
        <v>6808</v>
      </c>
      <c r="B1362" s="284" t="s">
        <v>6808</v>
      </c>
      <c r="C1362" s="275" t="s">
        <v>6814</v>
      </c>
      <c r="D1362" s="276">
        <v>3.2</v>
      </c>
      <c r="E1362" s="277">
        <v>3</v>
      </c>
      <c r="F1362" s="1035"/>
      <c r="G1362" s="401">
        <f t="shared" si="4"/>
        <v>8640000</v>
      </c>
      <c r="H1362" s="284" t="s">
        <v>125</v>
      </c>
      <c r="I1362" s="1035"/>
      <c r="J1362" s="644">
        <v>14400000</v>
      </c>
    </row>
    <row r="1363" spans="1:10">
      <c r="A1363" s="638" t="s">
        <v>6808</v>
      </c>
      <c r="B1363" s="284" t="s">
        <v>6808</v>
      </c>
      <c r="C1363" s="275" t="s">
        <v>6815</v>
      </c>
      <c r="D1363" s="276">
        <v>10</v>
      </c>
      <c r="E1363" s="277">
        <v>4</v>
      </c>
      <c r="F1363" s="1035"/>
      <c r="G1363" s="401">
        <f t="shared" si="4"/>
        <v>36000000</v>
      </c>
      <c r="H1363" s="284" t="s">
        <v>125</v>
      </c>
      <c r="I1363" s="1035"/>
      <c r="J1363" s="644">
        <v>60000000</v>
      </c>
    </row>
    <row r="1364" spans="1:10">
      <c r="A1364" s="638" t="s">
        <v>6808</v>
      </c>
      <c r="B1364" s="284" t="s">
        <v>6808</v>
      </c>
      <c r="C1364" s="275" t="s">
        <v>6816</v>
      </c>
      <c r="D1364" s="276">
        <v>2.5</v>
      </c>
      <c r="E1364" s="277">
        <v>4</v>
      </c>
      <c r="F1364" s="1035"/>
      <c r="G1364" s="401">
        <f t="shared" si="4"/>
        <v>9000000</v>
      </c>
      <c r="H1364" s="284" t="s">
        <v>125</v>
      </c>
      <c r="I1364" s="1035"/>
      <c r="J1364" s="644">
        <v>15000000</v>
      </c>
    </row>
    <row r="1365" spans="1:10">
      <c r="A1365" s="638" t="s">
        <v>6808</v>
      </c>
      <c r="B1365" s="284" t="s">
        <v>6808</v>
      </c>
      <c r="C1365" s="275" t="s">
        <v>6817</v>
      </c>
      <c r="D1365" s="276">
        <v>1.2</v>
      </c>
      <c r="E1365" s="277">
        <v>3.5</v>
      </c>
      <c r="F1365" s="1035"/>
      <c r="G1365" s="401">
        <f t="shared" si="4"/>
        <v>3780000</v>
      </c>
      <c r="H1365" s="284" t="s">
        <v>125</v>
      </c>
      <c r="I1365" s="1035"/>
      <c r="J1365" s="644">
        <v>6300000</v>
      </c>
    </row>
    <row r="1366" spans="1:10">
      <c r="A1366" s="638" t="s">
        <v>6808</v>
      </c>
      <c r="B1366" s="284" t="s">
        <v>6808</v>
      </c>
      <c r="C1366" s="275" t="s">
        <v>6818</v>
      </c>
      <c r="D1366" s="276">
        <v>0.5857</v>
      </c>
      <c r="E1366" s="277">
        <v>3.5</v>
      </c>
      <c r="F1366" s="1035" t="s">
        <v>6637</v>
      </c>
      <c r="G1366" s="401">
        <f t="shared" si="4"/>
        <v>1844955.0000000002</v>
      </c>
      <c r="H1366" s="284" t="s">
        <v>125</v>
      </c>
      <c r="I1366" s="1035"/>
      <c r="J1366" s="644">
        <v>3074925.0000000005</v>
      </c>
    </row>
    <row r="1367" spans="1:10">
      <c r="A1367" s="638" t="s">
        <v>6808</v>
      </c>
      <c r="B1367" s="284" t="s">
        <v>6808</v>
      </c>
      <c r="C1367" s="275" t="s">
        <v>6819</v>
      </c>
      <c r="D1367" s="276">
        <v>6.3</v>
      </c>
      <c r="E1367" s="277">
        <v>3.5</v>
      </c>
      <c r="F1367" s="1035"/>
      <c r="G1367" s="401">
        <f t="shared" si="4"/>
        <v>19845000</v>
      </c>
      <c r="H1367" s="284" t="s">
        <v>125</v>
      </c>
      <c r="I1367" s="1035"/>
      <c r="J1367" s="644">
        <v>33075000</v>
      </c>
    </row>
    <row r="1368" spans="1:10">
      <c r="A1368" s="638" t="s">
        <v>6808</v>
      </c>
      <c r="B1368" s="284" t="s">
        <v>6808</v>
      </c>
      <c r="C1368" s="275" t="s">
        <v>6820</v>
      </c>
      <c r="D1368" s="276">
        <v>0.4</v>
      </c>
      <c r="E1368" s="277">
        <v>3</v>
      </c>
      <c r="F1368" s="1035"/>
      <c r="G1368" s="401">
        <f t="shared" si="4"/>
        <v>1080000</v>
      </c>
      <c r="H1368" s="284" t="s">
        <v>125</v>
      </c>
      <c r="I1368" s="1035"/>
      <c r="J1368" s="644">
        <v>1800000</v>
      </c>
    </row>
    <row r="1369" spans="1:10">
      <c r="A1369" s="638" t="s">
        <v>6808</v>
      </c>
      <c r="B1369" s="284" t="s">
        <v>6808</v>
      </c>
      <c r="C1369" s="275" t="s">
        <v>6821</v>
      </c>
      <c r="D1369" s="276">
        <v>0.7</v>
      </c>
      <c r="E1369" s="277">
        <v>3</v>
      </c>
      <c r="F1369" s="1035"/>
      <c r="G1369" s="401">
        <f t="shared" si="4"/>
        <v>1890000</v>
      </c>
      <c r="H1369" s="284" t="s">
        <v>125</v>
      </c>
      <c r="I1369" s="1035"/>
      <c r="J1369" s="644">
        <v>3150000</v>
      </c>
    </row>
    <row r="1370" spans="1:10">
      <c r="A1370" s="638" t="s">
        <v>6808</v>
      </c>
      <c r="B1370" s="284" t="s">
        <v>6808</v>
      </c>
      <c r="C1370" s="275" t="s">
        <v>6822</v>
      </c>
      <c r="D1370" s="276">
        <v>0.7</v>
      </c>
      <c r="E1370" s="277">
        <v>3.5</v>
      </c>
      <c r="F1370" s="1035"/>
      <c r="G1370" s="401">
        <f t="shared" si="4"/>
        <v>2205000</v>
      </c>
      <c r="H1370" s="284" t="s">
        <v>125</v>
      </c>
      <c r="I1370" s="1035"/>
      <c r="J1370" s="644">
        <v>3675000</v>
      </c>
    </row>
    <row r="1371" spans="1:10">
      <c r="A1371" s="638" t="s">
        <v>6808</v>
      </c>
      <c r="B1371" s="284" t="s">
        <v>6808</v>
      </c>
      <c r="C1371" s="275" t="s">
        <v>6823</v>
      </c>
      <c r="D1371" s="276">
        <v>2.2000000000000002</v>
      </c>
      <c r="E1371" s="277">
        <v>3</v>
      </c>
      <c r="F1371" s="1035"/>
      <c r="G1371" s="401">
        <f t="shared" si="4"/>
        <v>5940000</v>
      </c>
      <c r="H1371" s="284" t="s">
        <v>125</v>
      </c>
      <c r="I1371" s="1035"/>
      <c r="J1371" s="644">
        <v>9900000</v>
      </c>
    </row>
    <row r="1372" spans="1:10">
      <c r="A1372" s="638" t="s">
        <v>6808</v>
      </c>
      <c r="B1372" s="284" t="s">
        <v>6808</v>
      </c>
      <c r="C1372" s="275" t="s">
        <v>6824</v>
      </c>
      <c r="D1372" s="276">
        <v>1.5</v>
      </c>
      <c r="E1372" s="277">
        <v>3.5</v>
      </c>
      <c r="F1372" s="1035"/>
      <c r="G1372" s="401">
        <f t="shared" si="4"/>
        <v>4725000</v>
      </c>
      <c r="H1372" s="284" t="s">
        <v>125</v>
      </c>
      <c r="I1372" s="1035"/>
      <c r="J1372" s="644">
        <v>7875000</v>
      </c>
    </row>
    <row r="1373" spans="1:10">
      <c r="A1373" s="638" t="s">
        <v>6808</v>
      </c>
      <c r="B1373" s="284" t="s">
        <v>6808</v>
      </c>
      <c r="C1373" s="275" t="s">
        <v>6825</v>
      </c>
      <c r="D1373" s="276">
        <v>0.8</v>
      </c>
      <c r="E1373" s="277">
        <v>3.5</v>
      </c>
      <c r="F1373" s="1035"/>
      <c r="G1373" s="401">
        <f t="shared" si="4"/>
        <v>2520000</v>
      </c>
      <c r="H1373" s="284" t="s">
        <v>125</v>
      </c>
      <c r="I1373" s="1035"/>
      <c r="J1373" s="644">
        <v>4200000</v>
      </c>
    </row>
    <row r="1374" spans="1:10">
      <c r="A1374" s="638" t="s">
        <v>6808</v>
      </c>
      <c r="B1374" s="284" t="s">
        <v>6808</v>
      </c>
      <c r="C1374" s="275" t="s">
        <v>6825</v>
      </c>
      <c r="D1374" s="276">
        <v>1.4</v>
      </c>
      <c r="E1374" s="277">
        <v>3.5</v>
      </c>
      <c r="F1374" s="1035"/>
      <c r="G1374" s="401">
        <f t="shared" si="4"/>
        <v>4410000</v>
      </c>
      <c r="H1374" s="284" t="s">
        <v>125</v>
      </c>
      <c r="I1374" s="1035"/>
      <c r="J1374" s="644">
        <v>7350000</v>
      </c>
    </row>
    <row r="1375" spans="1:10">
      <c r="A1375" s="638" t="s">
        <v>6808</v>
      </c>
      <c r="B1375" s="284" t="s">
        <v>6808</v>
      </c>
      <c r="C1375" s="275" t="s">
        <v>6826</v>
      </c>
      <c r="D1375" s="276">
        <v>0.43</v>
      </c>
      <c r="E1375" s="277">
        <v>3</v>
      </c>
      <c r="F1375" s="1035"/>
      <c r="G1375" s="401">
        <f t="shared" si="4"/>
        <v>1160999.9999999998</v>
      </c>
      <c r="H1375" s="284" t="s">
        <v>125</v>
      </c>
      <c r="I1375" s="1035"/>
      <c r="J1375" s="644">
        <v>1934999.9999999998</v>
      </c>
    </row>
    <row r="1376" spans="1:10">
      <c r="A1376" s="638" t="s">
        <v>6808</v>
      </c>
      <c r="B1376" s="284" t="s">
        <v>6808</v>
      </c>
      <c r="C1376" s="275" t="s">
        <v>6827</v>
      </c>
      <c r="D1376" s="276">
        <v>11.27</v>
      </c>
      <c r="E1376" s="277">
        <v>3</v>
      </c>
      <c r="F1376" s="1035"/>
      <c r="G1376" s="401">
        <f t="shared" si="4"/>
        <v>30429000</v>
      </c>
      <c r="H1376" s="284" t="s">
        <v>125</v>
      </c>
      <c r="I1376" s="1035"/>
      <c r="J1376" s="644">
        <v>50715000</v>
      </c>
    </row>
    <row r="1377" spans="1:10">
      <c r="A1377" s="638" t="s">
        <v>6808</v>
      </c>
      <c r="B1377" s="284" t="s">
        <v>6808</v>
      </c>
      <c r="C1377" s="275" t="s">
        <v>6828</v>
      </c>
      <c r="D1377" s="276">
        <v>0.3</v>
      </c>
      <c r="E1377" s="277">
        <v>3</v>
      </c>
      <c r="F1377" s="1035"/>
      <c r="G1377" s="401">
        <f t="shared" si="4"/>
        <v>810000</v>
      </c>
      <c r="H1377" s="284" t="s">
        <v>125</v>
      </c>
      <c r="I1377" s="1035"/>
      <c r="J1377" s="644">
        <v>1350000</v>
      </c>
    </row>
    <row r="1378" spans="1:10">
      <c r="A1378" s="638" t="s">
        <v>6808</v>
      </c>
      <c r="B1378" s="284" t="s">
        <v>6808</v>
      </c>
      <c r="C1378" s="275" t="s">
        <v>6829</v>
      </c>
      <c r="D1378" s="276">
        <v>1.5</v>
      </c>
      <c r="E1378" s="277">
        <v>3.5</v>
      </c>
      <c r="F1378" s="1035"/>
      <c r="G1378" s="401">
        <f t="shared" si="4"/>
        <v>4725000</v>
      </c>
      <c r="H1378" s="284" t="s">
        <v>125</v>
      </c>
      <c r="I1378" s="1035"/>
      <c r="J1378" s="644">
        <v>7875000</v>
      </c>
    </row>
    <row r="1379" spans="1:10">
      <c r="A1379" s="638" t="s">
        <v>6808</v>
      </c>
      <c r="B1379" s="284" t="s">
        <v>6808</v>
      </c>
      <c r="C1379" s="275" t="s">
        <v>6830</v>
      </c>
      <c r="D1379" s="276">
        <v>0.9</v>
      </c>
      <c r="E1379" s="277">
        <v>3.5</v>
      </c>
      <c r="F1379" s="1035"/>
      <c r="G1379" s="401">
        <f t="shared" si="4"/>
        <v>2835000</v>
      </c>
      <c r="H1379" s="284" t="s">
        <v>125</v>
      </c>
      <c r="I1379" s="1035"/>
      <c r="J1379" s="644">
        <v>4725000</v>
      </c>
    </row>
    <row r="1380" spans="1:10">
      <c r="A1380" s="638" t="s">
        <v>6808</v>
      </c>
      <c r="B1380" s="284" t="s">
        <v>6808</v>
      </c>
      <c r="C1380" s="275" t="s">
        <v>6831</v>
      </c>
      <c r="D1380" s="276">
        <v>0.8</v>
      </c>
      <c r="E1380" s="277">
        <v>3</v>
      </c>
      <c r="F1380" s="1035" t="s">
        <v>6637</v>
      </c>
      <c r="G1380" s="401">
        <f t="shared" si="4"/>
        <v>2160000</v>
      </c>
      <c r="H1380" s="284" t="s">
        <v>125</v>
      </c>
      <c r="I1380" s="1035" t="s">
        <v>6638</v>
      </c>
      <c r="J1380" s="644">
        <v>3600000</v>
      </c>
    </row>
    <row r="1381" spans="1:10">
      <c r="A1381" s="638" t="s">
        <v>6808</v>
      </c>
      <c r="B1381" s="284" t="s">
        <v>6808</v>
      </c>
      <c r="C1381" s="275" t="s">
        <v>6832</v>
      </c>
      <c r="D1381" s="276">
        <v>2</v>
      </c>
      <c r="E1381" s="277">
        <v>3</v>
      </c>
      <c r="F1381" s="1035"/>
      <c r="G1381" s="401">
        <f t="shared" si="4"/>
        <v>5400000</v>
      </c>
      <c r="H1381" s="284" t="s">
        <v>125</v>
      </c>
      <c r="I1381" s="1035"/>
      <c r="J1381" s="644">
        <v>9000000</v>
      </c>
    </row>
    <row r="1382" spans="1:10">
      <c r="A1382" s="638" t="s">
        <v>6808</v>
      </c>
      <c r="B1382" s="284" t="s">
        <v>6808</v>
      </c>
      <c r="C1382" s="275" t="s">
        <v>6833</v>
      </c>
      <c r="D1382" s="276">
        <v>1.1000000000000001</v>
      </c>
      <c r="E1382" s="277">
        <v>3</v>
      </c>
      <c r="F1382" s="1035"/>
      <c r="G1382" s="401">
        <f t="shared" si="4"/>
        <v>2970000</v>
      </c>
      <c r="H1382" s="284" t="s">
        <v>125</v>
      </c>
      <c r="I1382" s="1035"/>
      <c r="J1382" s="644">
        <v>4950000</v>
      </c>
    </row>
    <row r="1383" spans="1:10">
      <c r="A1383" s="638" t="s">
        <v>6808</v>
      </c>
      <c r="B1383" s="284" t="s">
        <v>6808</v>
      </c>
      <c r="C1383" s="275" t="s">
        <v>6834</v>
      </c>
      <c r="D1383" s="276">
        <v>0.8</v>
      </c>
      <c r="E1383" s="277">
        <v>3</v>
      </c>
      <c r="F1383" s="1035"/>
      <c r="G1383" s="401">
        <f t="shared" si="4"/>
        <v>2160000</v>
      </c>
      <c r="H1383" s="284" t="s">
        <v>125</v>
      </c>
      <c r="I1383" s="1035"/>
      <c r="J1383" s="644">
        <v>3600000</v>
      </c>
    </row>
    <row r="1384" spans="1:10">
      <c r="A1384" s="638" t="s">
        <v>6808</v>
      </c>
      <c r="B1384" s="284" t="s">
        <v>6808</v>
      </c>
      <c r="C1384" s="275" t="s">
        <v>6835</v>
      </c>
      <c r="D1384" s="276">
        <v>0.3</v>
      </c>
      <c r="E1384" s="277">
        <v>4</v>
      </c>
      <c r="F1384" s="1035"/>
      <c r="G1384" s="401">
        <f t="shared" si="4"/>
        <v>1080000</v>
      </c>
      <c r="H1384" s="284" t="s">
        <v>125</v>
      </c>
      <c r="I1384" s="1035"/>
      <c r="J1384" s="644">
        <v>1800000</v>
      </c>
    </row>
    <row r="1385" spans="1:10">
      <c r="A1385" s="638" t="s">
        <v>6808</v>
      </c>
      <c r="B1385" s="284" t="s">
        <v>6808</v>
      </c>
      <c r="C1385" s="275" t="s">
        <v>6836</v>
      </c>
      <c r="D1385" s="276">
        <v>0.4</v>
      </c>
      <c r="E1385" s="277">
        <v>3</v>
      </c>
      <c r="F1385" s="1035"/>
      <c r="G1385" s="401">
        <f t="shared" si="4"/>
        <v>1080000</v>
      </c>
      <c r="H1385" s="284" t="s">
        <v>125</v>
      </c>
      <c r="I1385" s="1035"/>
      <c r="J1385" s="644">
        <v>1800000</v>
      </c>
    </row>
    <row r="1386" spans="1:10">
      <c r="A1386" s="638" t="s">
        <v>6808</v>
      </c>
      <c r="B1386" s="284" t="s">
        <v>6808</v>
      </c>
      <c r="C1386" s="275" t="s">
        <v>6837</v>
      </c>
      <c r="D1386" s="276">
        <v>0.3</v>
      </c>
      <c r="E1386" s="277">
        <v>3</v>
      </c>
      <c r="F1386" s="1035"/>
      <c r="G1386" s="401">
        <f t="shared" si="4"/>
        <v>810000</v>
      </c>
      <c r="H1386" s="284" t="s">
        <v>125</v>
      </c>
      <c r="I1386" s="1035"/>
      <c r="J1386" s="644">
        <v>1350000</v>
      </c>
    </row>
    <row r="1387" spans="1:10">
      <c r="A1387" s="638" t="s">
        <v>6808</v>
      </c>
      <c r="B1387" s="284" t="s">
        <v>6808</v>
      </c>
      <c r="C1387" s="275" t="s">
        <v>6838</v>
      </c>
      <c r="D1387" s="276">
        <v>0.4</v>
      </c>
      <c r="E1387" s="277">
        <v>4</v>
      </c>
      <c r="F1387" s="1035"/>
      <c r="G1387" s="401">
        <f t="shared" si="4"/>
        <v>1440000</v>
      </c>
      <c r="H1387" s="284" t="s">
        <v>125</v>
      </c>
      <c r="I1387" s="1035"/>
      <c r="J1387" s="644">
        <v>2400000</v>
      </c>
    </row>
    <row r="1388" spans="1:10">
      <c r="A1388" s="638" t="s">
        <v>6808</v>
      </c>
      <c r="B1388" s="284" t="s">
        <v>6808</v>
      </c>
      <c r="C1388" s="275" t="s">
        <v>6839</v>
      </c>
      <c r="D1388" s="276">
        <v>0.7</v>
      </c>
      <c r="E1388" s="277">
        <v>4</v>
      </c>
      <c r="F1388" s="1035"/>
      <c r="G1388" s="401">
        <f t="shared" si="4"/>
        <v>2520000</v>
      </c>
      <c r="H1388" s="284" t="s">
        <v>125</v>
      </c>
      <c r="I1388" s="1035"/>
      <c r="J1388" s="644">
        <v>4200000</v>
      </c>
    </row>
    <row r="1389" spans="1:10">
      <c r="A1389" s="638" t="s">
        <v>6808</v>
      </c>
      <c r="B1389" s="284" t="s">
        <v>6808</v>
      </c>
      <c r="C1389" s="275" t="s">
        <v>6839</v>
      </c>
      <c r="D1389" s="276">
        <v>2</v>
      </c>
      <c r="E1389" s="277">
        <v>3</v>
      </c>
      <c r="F1389" s="1035"/>
      <c r="G1389" s="401">
        <f t="shared" si="4"/>
        <v>5400000</v>
      </c>
      <c r="H1389" s="284" t="s">
        <v>125</v>
      </c>
      <c r="I1389" s="1035"/>
      <c r="J1389" s="644">
        <v>9000000</v>
      </c>
    </row>
    <row r="1390" spans="1:10">
      <c r="A1390" s="638" t="s">
        <v>6808</v>
      </c>
      <c r="B1390" s="284" t="s">
        <v>6808</v>
      </c>
      <c r="C1390" s="275" t="s">
        <v>6840</v>
      </c>
      <c r="D1390" s="276">
        <v>0.9</v>
      </c>
      <c r="E1390" s="277">
        <v>3</v>
      </c>
      <c r="F1390" s="1035"/>
      <c r="G1390" s="401">
        <f t="shared" si="4"/>
        <v>2430000</v>
      </c>
      <c r="H1390" s="284" t="s">
        <v>125</v>
      </c>
      <c r="I1390" s="1035"/>
      <c r="J1390" s="644">
        <v>4050000</v>
      </c>
    </row>
    <row r="1391" spans="1:10">
      <c r="A1391" s="638" t="s">
        <v>6808</v>
      </c>
      <c r="B1391" s="284" t="s">
        <v>6808</v>
      </c>
      <c r="C1391" s="275" t="s">
        <v>6841</v>
      </c>
      <c r="D1391" s="276">
        <v>0.3</v>
      </c>
      <c r="E1391" s="277">
        <v>3</v>
      </c>
      <c r="F1391" s="1035"/>
      <c r="G1391" s="401">
        <f t="shared" si="4"/>
        <v>810000</v>
      </c>
      <c r="H1391" s="284" t="s">
        <v>125</v>
      </c>
      <c r="I1391" s="1035"/>
      <c r="J1391" s="644">
        <v>1350000</v>
      </c>
    </row>
    <row r="1392" spans="1:10">
      <c r="A1392" s="638" t="s">
        <v>6808</v>
      </c>
      <c r="B1392" s="284" t="s">
        <v>6808</v>
      </c>
      <c r="C1392" s="275" t="s">
        <v>6842</v>
      </c>
      <c r="D1392" s="276">
        <v>2.7</v>
      </c>
      <c r="E1392" s="277">
        <v>3</v>
      </c>
      <c r="F1392" s="1035"/>
      <c r="G1392" s="401">
        <f t="shared" si="4"/>
        <v>7290000</v>
      </c>
      <c r="H1392" s="284" t="s">
        <v>125</v>
      </c>
      <c r="I1392" s="1035"/>
      <c r="J1392" s="644">
        <v>12150000</v>
      </c>
    </row>
    <row r="1393" spans="1:10">
      <c r="A1393" s="638" t="s">
        <v>6808</v>
      </c>
      <c r="B1393" s="284" t="s">
        <v>6808</v>
      </c>
      <c r="C1393" s="275" t="s">
        <v>6843</v>
      </c>
      <c r="D1393" s="276">
        <v>3.2</v>
      </c>
      <c r="E1393" s="277">
        <v>4</v>
      </c>
      <c r="F1393" s="1035"/>
      <c r="G1393" s="401">
        <f t="shared" si="4"/>
        <v>11520000</v>
      </c>
      <c r="H1393" s="284" t="s">
        <v>125</v>
      </c>
      <c r="I1393" s="1035"/>
      <c r="J1393" s="644">
        <v>19200000</v>
      </c>
    </row>
    <row r="1394" spans="1:10">
      <c r="A1394" s="638" t="s">
        <v>6808</v>
      </c>
      <c r="B1394" s="284" t="s">
        <v>6808</v>
      </c>
      <c r="C1394" s="284" t="s">
        <v>6844</v>
      </c>
      <c r="D1394" s="276">
        <v>1.3</v>
      </c>
      <c r="E1394" s="277">
        <v>3</v>
      </c>
      <c r="F1394" s="1035"/>
      <c r="G1394" s="401">
        <f t="shared" si="4"/>
        <v>3510000</v>
      </c>
      <c r="H1394" s="284" t="s">
        <v>125</v>
      </c>
      <c r="I1394" s="1035"/>
      <c r="J1394" s="644">
        <v>5850000</v>
      </c>
    </row>
    <row r="1395" spans="1:10">
      <c r="A1395" s="638" t="s">
        <v>6808</v>
      </c>
      <c r="B1395" s="284" t="s">
        <v>6808</v>
      </c>
      <c r="C1395" s="275" t="s">
        <v>6845</v>
      </c>
      <c r="D1395" s="276">
        <v>0.3</v>
      </c>
      <c r="E1395" s="277">
        <v>3</v>
      </c>
      <c r="F1395" s="1035"/>
      <c r="G1395" s="401">
        <f t="shared" si="4"/>
        <v>810000</v>
      </c>
      <c r="H1395" s="284" t="s">
        <v>125</v>
      </c>
      <c r="I1395" s="1035"/>
      <c r="J1395" s="644">
        <v>1350000</v>
      </c>
    </row>
    <row r="1396" spans="1:10">
      <c r="A1396" s="638" t="s">
        <v>6808</v>
      </c>
      <c r="B1396" s="284" t="s">
        <v>6808</v>
      </c>
      <c r="C1396" s="275" t="s">
        <v>6846</v>
      </c>
      <c r="D1396" s="276">
        <v>0.6</v>
      </c>
      <c r="E1396" s="277">
        <v>3</v>
      </c>
      <c r="F1396" s="1035" t="s">
        <v>6637</v>
      </c>
      <c r="G1396" s="401">
        <f t="shared" si="4"/>
        <v>1620000</v>
      </c>
      <c r="H1396" s="284" t="s">
        <v>125</v>
      </c>
      <c r="I1396" s="1035"/>
      <c r="J1396" s="644">
        <v>2700000</v>
      </c>
    </row>
    <row r="1397" spans="1:10">
      <c r="A1397" s="638" t="s">
        <v>6808</v>
      </c>
      <c r="B1397" s="284" t="s">
        <v>6808</v>
      </c>
      <c r="C1397" s="275" t="s">
        <v>6847</v>
      </c>
      <c r="D1397" s="276">
        <v>0.60000000000000009</v>
      </c>
      <c r="E1397" s="277">
        <v>3</v>
      </c>
      <c r="F1397" s="1035"/>
      <c r="G1397" s="401">
        <f t="shared" si="4"/>
        <v>1620000.0000000005</v>
      </c>
      <c r="H1397" s="284" t="s">
        <v>125</v>
      </c>
      <c r="I1397" s="1035"/>
      <c r="J1397" s="644">
        <v>2700000.0000000009</v>
      </c>
    </row>
    <row r="1398" spans="1:10">
      <c r="A1398" s="638" t="s">
        <v>6808</v>
      </c>
      <c r="B1398" s="284" t="s">
        <v>6808</v>
      </c>
      <c r="C1398" s="275" t="s">
        <v>6848</v>
      </c>
      <c r="D1398" s="276">
        <v>0.8</v>
      </c>
      <c r="E1398" s="277">
        <v>3</v>
      </c>
      <c r="F1398" s="1035"/>
      <c r="G1398" s="401">
        <f t="shared" si="4"/>
        <v>2160000</v>
      </c>
      <c r="H1398" s="284" t="s">
        <v>125</v>
      </c>
      <c r="I1398" s="1035"/>
      <c r="J1398" s="644">
        <v>3600000</v>
      </c>
    </row>
    <row r="1399" spans="1:10">
      <c r="A1399" s="638" t="s">
        <v>6808</v>
      </c>
      <c r="B1399" s="284" t="s">
        <v>6808</v>
      </c>
      <c r="C1399" s="275" t="s">
        <v>6849</v>
      </c>
      <c r="D1399" s="276">
        <v>0.6</v>
      </c>
      <c r="E1399" s="277">
        <v>4</v>
      </c>
      <c r="F1399" s="1035"/>
      <c r="G1399" s="401">
        <f t="shared" si="4"/>
        <v>2160000</v>
      </c>
      <c r="H1399" s="284" t="s">
        <v>125</v>
      </c>
      <c r="I1399" s="1035"/>
      <c r="J1399" s="644">
        <v>3600000</v>
      </c>
    </row>
    <row r="1400" spans="1:10">
      <c r="A1400" s="638" t="s">
        <v>6808</v>
      </c>
      <c r="B1400" s="284" t="s">
        <v>6808</v>
      </c>
      <c r="C1400" s="275" t="s">
        <v>6850</v>
      </c>
      <c r="D1400" s="276">
        <v>0.3</v>
      </c>
      <c r="E1400" s="277">
        <v>4</v>
      </c>
      <c r="F1400" s="1035"/>
      <c r="G1400" s="401">
        <f t="shared" si="4"/>
        <v>1080000</v>
      </c>
      <c r="H1400" s="284" t="s">
        <v>125</v>
      </c>
      <c r="I1400" s="1035"/>
      <c r="J1400" s="644">
        <v>1800000</v>
      </c>
    </row>
    <row r="1401" spans="1:10">
      <c r="A1401" s="638" t="s">
        <v>6808</v>
      </c>
      <c r="B1401" s="284" t="s">
        <v>6808</v>
      </c>
      <c r="C1401" s="275" t="s">
        <v>6851</v>
      </c>
      <c r="D1401" s="276">
        <v>0.3</v>
      </c>
      <c r="E1401" s="277">
        <v>4</v>
      </c>
      <c r="F1401" s="1035"/>
      <c r="G1401" s="401">
        <f t="shared" si="4"/>
        <v>1080000</v>
      </c>
      <c r="H1401" s="284" t="s">
        <v>125</v>
      </c>
      <c r="I1401" s="1035"/>
      <c r="J1401" s="644">
        <v>1800000</v>
      </c>
    </row>
    <row r="1402" spans="1:10">
      <c r="A1402" s="638" t="s">
        <v>6808</v>
      </c>
      <c r="B1402" s="284" t="s">
        <v>6808</v>
      </c>
      <c r="C1402" s="275" t="s">
        <v>6852</v>
      </c>
      <c r="D1402" s="276">
        <v>2.9</v>
      </c>
      <c r="E1402" s="277">
        <v>4</v>
      </c>
      <c r="F1402" s="1035"/>
      <c r="G1402" s="401">
        <f t="shared" si="4"/>
        <v>10440000</v>
      </c>
      <c r="H1402" s="284" t="s">
        <v>125</v>
      </c>
      <c r="I1402" s="1035"/>
      <c r="J1402" s="644">
        <v>17400000</v>
      </c>
    </row>
    <row r="1403" spans="1:10">
      <c r="A1403" s="638" t="s">
        <v>6808</v>
      </c>
      <c r="B1403" s="284" t="s">
        <v>6808</v>
      </c>
      <c r="C1403" s="275" t="s">
        <v>6853</v>
      </c>
      <c r="D1403" s="276">
        <v>0.3</v>
      </c>
      <c r="E1403" s="277">
        <v>3</v>
      </c>
      <c r="F1403" s="1035"/>
      <c r="G1403" s="401">
        <f t="shared" si="4"/>
        <v>810000</v>
      </c>
      <c r="H1403" s="284" t="s">
        <v>125</v>
      </c>
      <c r="I1403" s="1035"/>
      <c r="J1403" s="644">
        <v>1350000</v>
      </c>
    </row>
    <row r="1404" spans="1:10">
      <c r="A1404" s="638" t="s">
        <v>6808</v>
      </c>
      <c r="B1404" s="284" t="s">
        <v>6808</v>
      </c>
      <c r="C1404" s="275" t="s">
        <v>6854</v>
      </c>
      <c r="D1404" s="276">
        <v>2.6</v>
      </c>
      <c r="E1404" s="277">
        <v>4</v>
      </c>
      <c r="F1404" s="1035"/>
      <c r="G1404" s="401">
        <f t="shared" si="4"/>
        <v>9360000</v>
      </c>
      <c r="H1404" s="284" t="s">
        <v>125</v>
      </c>
      <c r="I1404" s="1035"/>
      <c r="J1404" s="644">
        <v>15600000</v>
      </c>
    </row>
    <row r="1405" spans="1:10">
      <c r="A1405" s="638" t="s">
        <v>6808</v>
      </c>
      <c r="B1405" s="284" t="s">
        <v>6808</v>
      </c>
      <c r="C1405" s="275" t="s">
        <v>6855</v>
      </c>
      <c r="D1405" s="276">
        <v>2.8</v>
      </c>
      <c r="E1405" s="277">
        <v>3</v>
      </c>
      <c r="F1405" s="1035"/>
      <c r="G1405" s="401">
        <f t="shared" si="4"/>
        <v>7560000</v>
      </c>
      <c r="H1405" s="284" t="s">
        <v>125</v>
      </c>
      <c r="I1405" s="1035"/>
      <c r="J1405" s="644">
        <v>12600000</v>
      </c>
    </row>
    <row r="1406" spans="1:10">
      <c r="A1406" s="638" t="s">
        <v>6808</v>
      </c>
      <c r="B1406" s="284" t="s">
        <v>6808</v>
      </c>
      <c r="C1406" s="275" t="s">
        <v>6856</v>
      </c>
      <c r="D1406" s="276">
        <v>2.9</v>
      </c>
      <c r="E1406" s="277">
        <v>3</v>
      </c>
      <c r="F1406" s="1035" t="s">
        <v>6637</v>
      </c>
      <c r="G1406" s="401">
        <f t="shared" si="4"/>
        <v>7830000</v>
      </c>
      <c r="H1406" s="284" t="s">
        <v>125</v>
      </c>
      <c r="I1406" s="1035" t="s">
        <v>6638</v>
      </c>
      <c r="J1406" s="644">
        <v>13050000</v>
      </c>
    </row>
    <row r="1407" spans="1:10">
      <c r="A1407" s="638" t="s">
        <v>6808</v>
      </c>
      <c r="B1407" s="284" t="s">
        <v>6808</v>
      </c>
      <c r="C1407" s="275" t="s">
        <v>6857</v>
      </c>
      <c r="D1407" s="276">
        <v>1.3</v>
      </c>
      <c r="E1407" s="277">
        <v>3</v>
      </c>
      <c r="F1407" s="1035"/>
      <c r="G1407" s="401">
        <f t="shared" ref="G1407:G1470" si="5">J1407*0.6</f>
        <v>3510000</v>
      </c>
      <c r="H1407" s="284" t="s">
        <v>125</v>
      </c>
      <c r="I1407" s="1035"/>
      <c r="J1407" s="644">
        <v>5850000</v>
      </c>
    </row>
    <row r="1408" spans="1:10">
      <c r="A1408" s="638" t="s">
        <v>6808</v>
      </c>
      <c r="B1408" s="284" t="s">
        <v>6808</v>
      </c>
      <c r="C1408" s="275" t="s">
        <v>6858</v>
      </c>
      <c r="D1408" s="276">
        <v>0.3</v>
      </c>
      <c r="E1408" s="277">
        <v>3</v>
      </c>
      <c r="F1408" s="1035"/>
      <c r="G1408" s="401">
        <f t="shared" si="5"/>
        <v>810000</v>
      </c>
      <c r="H1408" s="284" t="s">
        <v>125</v>
      </c>
      <c r="I1408" s="1035"/>
      <c r="J1408" s="644">
        <v>1350000</v>
      </c>
    </row>
    <row r="1409" spans="1:10">
      <c r="A1409" s="638" t="s">
        <v>6808</v>
      </c>
      <c r="B1409" s="284" t="s">
        <v>6808</v>
      </c>
      <c r="C1409" s="275" t="s">
        <v>6859</v>
      </c>
      <c r="D1409" s="276">
        <v>0.9</v>
      </c>
      <c r="E1409" s="277">
        <v>3</v>
      </c>
      <c r="F1409" s="1035"/>
      <c r="G1409" s="401">
        <f t="shared" si="5"/>
        <v>2430000</v>
      </c>
      <c r="H1409" s="284" t="s">
        <v>125</v>
      </c>
      <c r="I1409" s="1035"/>
      <c r="J1409" s="644">
        <v>4050000</v>
      </c>
    </row>
    <row r="1410" spans="1:10">
      <c r="A1410" s="638" t="s">
        <v>6808</v>
      </c>
      <c r="B1410" s="284" t="s">
        <v>6808</v>
      </c>
      <c r="C1410" s="275" t="s">
        <v>6860</v>
      </c>
      <c r="D1410" s="276">
        <v>0.2</v>
      </c>
      <c r="E1410" s="277">
        <v>4</v>
      </c>
      <c r="F1410" s="1035"/>
      <c r="G1410" s="401">
        <f t="shared" si="5"/>
        <v>720000</v>
      </c>
      <c r="H1410" s="284" t="s">
        <v>125</v>
      </c>
      <c r="I1410" s="1035"/>
      <c r="J1410" s="644">
        <v>1200000</v>
      </c>
    </row>
    <row r="1411" spans="1:10">
      <c r="A1411" s="638" t="s">
        <v>6808</v>
      </c>
      <c r="B1411" s="284" t="s">
        <v>6808</v>
      </c>
      <c r="C1411" s="275" t="s">
        <v>6861</v>
      </c>
      <c r="D1411" s="276">
        <v>0.6</v>
      </c>
      <c r="E1411" s="277">
        <v>3</v>
      </c>
      <c r="F1411" s="1035"/>
      <c r="G1411" s="401">
        <f t="shared" si="5"/>
        <v>1620000</v>
      </c>
      <c r="H1411" s="284" t="s">
        <v>125</v>
      </c>
      <c r="I1411" s="1035"/>
      <c r="J1411" s="644">
        <v>2700000</v>
      </c>
    </row>
    <row r="1412" spans="1:10">
      <c r="A1412" s="638" t="s">
        <v>6808</v>
      </c>
      <c r="B1412" s="284" t="s">
        <v>6808</v>
      </c>
      <c r="C1412" s="275" t="s">
        <v>6862</v>
      </c>
      <c r="D1412" s="276">
        <v>0.7</v>
      </c>
      <c r="E1412" s="277">
        <v>3</v>
      </c>
      <c r="F1412" s="1035"/>
      <c r="G1412" s="401">
        <f t="shared" si="5"/>
        <v>1890000</v>
      </c>
      <c r="H1412" s="284" t="s">
        <v>125</v>
      </c>
      <c r="I1412" s="1035"/>
      <c r="J1412" s="644">
        <v>3150000</v>
      </c>
    </row>
    <row r="1413" spans="1:10">
      <c r="A1413" s="638" t="s">
        <v>6808</v>
      </c>
      <c r="B1413" s="284" t="s">
        <v>6808</v>
      </c>
      <c r="C1413" s="275" t="s">
        <v>6863</v>
      </c>
      <c r="D1413" s="276">
        <v>0.3</v>
      </c>
      <c r="E1413" s="277">
        <v>3</v>
      </c>
      <c r="F1413" s="1035"/>
      <c r="G1413" s="401">
        <f t="shared" si="5"/>
        <v>810000</v>
      </c>
      <c r="H1413" s="284" t="s">
        <v>125</v>
      </c>
      <c r="I1413" s="1035"/>
      <c r="J1413" s="644">
        <v>1350000</v>
      </c>
    </row>
    <row r="1414" spans="1:10">
      <c r="A1414" s="638" t="s">
        <v>6808</v>
      </c>
      <c r="B1414" s="284" t="s">
        <v>6808</v>
      </c>
      <c r="C1414" s="275" t="s">
        <v>6864</v>
      </c>
      <c r="D1414" s="276">
        <v>0.2</v>
      </c>
      <c r="E1414" s="277">
        <v>3</v>
      </c>
      <c r="F1414" s="1035"/>
      <c r="G1414" s="401">
        <f t="shared" si="5"/>
        <v>540000</v>
      </c>
      <c r="H1414" s="284" t="s">
        <v>125</v>
      </c>
      <c r="I1414" s="1035"/>
      <c r="J1414" s="644">
        <v>900000</v>
      </c>
    </row>
    <row r="1415" spans="1:10">
      <c r="A1415" s="638" t="s">
        <v>6808</v>
      </c>
      <c r="B1415" s="284" t="s">
        <v>6808</v>
      </c>
      <c r="C1415" s="275" t="s">
        <v>6865</v>
      </c>
      <c r="D1415" s="276">
        <v>0.3</v>
      </c>
      <c r="E1415" s="277">
        <v>3</v>
      </c>
      <c r="F1415" s="1035"/>
      <c r="G1415" s="401">
        <f t="shared" si="5"/>
        <v>810000</v>
      </c>
      <c r="H1415" s="284" t="s">
        <v>125</v>
      </c>
      <c r="I1415" s="1035"/>
      <c r="J1415" s="644">
        <v>1350000</v>
      </c>
    </row>
    <row r="1416" spans="1:10">
      <c r="A1416" s="638" t="s">
        <v>6808</v>
      </c>
      <c r="B1416" s="284" t="s">
        <v>6808</v>
      </c>
      <c r="C1416" s="275" t="s">
        <v>6866</v>
      </c>
      <c r="D1416" s="276">
        <v>0.4</v>
      </c>
      <c r="E1416" s="277">
        <v>4</v>
      </c>
      <c r="F1416" s="1035" t="s">
        <v>6637</v>
      </c>
      <c r="G1416" s="401">
        <f t="shared" si="5"/>
        <v>1440000</v>
      </c>
      <c r="H1416" s="284" t="s">
        <v>125</v>
      </c>
      <c r="I1416" s="1035"/>
      <c r="J1416" s="644">
        <v>2400000</v>
      </c>
    </row>
    <row r="1417" spans="1:10">
      <c r="A1417" s="638" t="s">
        <v>6808</v>
      </c>
      <c r="B1417" s="284" t="s">
        <v>6808</v>
      </c>
      <c r="C1417" s="275" t="s">
        <v>6867</v>
      </c>
      <c r="D1417" s="276">
        <v>0.6</v>
      </c>
      <c r="E1417" s="277">
        <v>3</v>
      </c>
      <c r="F1417" s="1035"/>
      <c r="G1417" s="401">
        <f t="shared" si="5"/>
        <v>1620000</v>
      </c>
      <c r="H1417" s="284" t="s">
        <v>125</v>
      </c>
      <c r="I1417" s="1035"/>
      <c r="J1417" s="644">
        <v>2700000</v>
      </c>
    </row>
    <row r="1418" spans="1:10">
      <c r="A1418" s="638" t="s">
        <v>6808</v>
      </c>
      <c r="B1418" s="284" t="s">
        <v>6808</v>
      </c>
      <c r="C1418" s="275" t="s">
        <v>6868</v>
      </c>
      <c r="D1418" s="276">
        <v>0.8</v>
      </c>
      <c r="E1418" s="277">
        <v>3</v>
      </c>
      <c r="F1418" s="1035"/>
      <c r="G1418" s="401">
        <f t="shared" si="5"/>
        <v>2160000</v>
      </c>
      <c r="H1418" s="284" t="s">
        <v>125</v>
      </c>
      <c r="I1418" s="1035"/>
      <c r="J1418" s="644">
        <v>3600000</v>
      </c>
    </row>
    <row r="1419" spans="1:10">
      <c r="A1419" s="638" t="s">
        <v>6808</v>
      </c>
      <c r="B1419" s="284" t="s">
        <v>6808</v>
      </c>
      <c r="C1419" s="275" t="s">
        <v>6869</v>
      </c>
      <c r="D1419" s="276">
        <v>0.7</v>
      </c>
      <c r="E1419" s="277">
        <v>3</v>
      </c>
      <c r="F1419" s="1035"/>
      <c r="G1419" s="401">
        <f t="shared" si="5"/>
        <v>1890000</v>
      </c>
      <c r="H1419" s="284" t="s">
        <v>125</v>
      </c>
      <c r="I1419" s="1035"/>
      <c r="J1419" s="644">
        <v>3150000</v>
      </c>
    </row>
    <row r="1420" spans="1:10">
      <c r="A1420" s="638" t="s">
        <v>6808</v>
      </c>
      <c r="B1420" s="284" t="s">
        <v>6808</v>
      </c>
      <c r="C1420" s="275" t="s">
        <v>6870</v>
      </c>
      <c r="D1420" s="276">
        <v>0.6</v>
      </c>
      <c r="E1420" s="277">
        <v>4</v>
      </c>
      <c r="F1420" s="1035"/>
      <c r="G1420" s="401">
        <f t="shared" si="5"/>
        <v>2160000</v>
      </c>
      <c r="H1420" s="284" t="s">
        <v>125</v>
      </c>
      <c r="I1420" s="1035"/>
      <c r="J1420" s="644">
        <v>3600000</v>
      </c>
    </row>
    <row r="1421" spans="1:10">
      <c r="A1421" s="638" t="s">
        <v>6808</v>
      </c>
      <c r="B1421" s="284" t="s">
        <v>6808</v>
      </c>
      <c r="C1421" s="275" t="s">
        <v>6871</v>
      </c>
      <c r="D1421" s="276">
        <v>0.8</v>
      </c>
      <c r="E1421" s="277">
        <v>3</v>
      </c>
      <c r="F1421" s="1035"/>
      <c r="G1421" s="401">
        <f t="shared" si="5"/>
        <v>2160000</v>
      </c>
      <c r="H1421" s="284" t="s">
        <v>125</v>
      </c>
      <c r="I1421" s="1035"/>
      <c r="J1421" s="644">
        <v>3600000</v>
      </c>
    </row>
    <row r="1422" spans="1:10">
      <c r="A1422" s="638" t="s">
        <v>6808</v>
      </c>
      <c r="B1422" s="284" t="s">
        <v>6808</v>
      </c>
      <c r="C1422" s="275" t="s">
        <v>6872</v>
      </c>
      <c r="D1422" s="276">
        <v>0.6</v>
      </c>
      <c r="E1422" s="277">
        <v>3</v>
      </c>
      <c r="F1422" s="1035"/>
      <c r="G1422" s="401">
        <f t="shared" si="5"/>
        <v>1620000</v>
      </c>
      <c r="H1422" s="284" t="s">
        <v>125</v>
      </c>
      <c r="I1422" s="1035"/>
      <c r="J1422" s="644">
        <v>2700000</v>
      </c>
    </row>
    <row r="1423" spans="1:10">
      <c r="A1423" s="638" t="s">
        <v>6808</v>
      </c>
      <c r="B1423" s="284" t="s">
        <v>6808</v>
      </c>
      <c r="C1423" s="275" t="s">
        <v>6873</v>
      </c>
      <c r="D1423" s="276">
        <v>0.8</v>
      </c>
      <c r="E1423" s="277">
        <v>3</v>
      </c>
      <c r="F1423" s="1035"/>
      <c r="G1423" s="401">
        <f t="shared" si="5"/>
        <v>2160000</v>
      </c>
      <c r="H1423" s="284" t="s">
        <v>125</v>
      </c>
      <c r="I1423" s="1035"/>
      <c r="J1423" s="644">
        <v>3600000</v>
      </c>
    </row>
    <row r="1424" spans="1:10">
      <c r="A1424" s="638" t="s">
        <v>6808</v>
      </c>
      <c r="B1424" s="284" t="s">
        <v>6808</v>
      </c>
      <c r="C1424" s="275" t="s">
        <v>6874</v>
      </c>
      <c r="D1424" s="276">
        <v>0.5</v>
      </c>
      <c r="E1424" s="277">
        <v>3</v>
      </c>
      <c r="F1424" s="1035"/>
      <c r="G1424" s="401">
        <f t="shared" si="5"/>
        <v>1350000</v>
      </c>
      <c r="H1424" s="284" t="s">
        <v>125</v>
      </c>
      <c r="I1424" s="1035"/>
      <c r="J1424" s="644">
        <v>2250000</v>
      </c>
    </row>
    <row r="1425" spans="1:10">
      <c r="A1425" s="638" t="s">
        <v>6808</v>
      </c>
      <c r="B1425" s="284" t="s">
        <v>6808</v>
      </c>
      <c r="C1425" s="275" t="s">
        <v>6875</v>
      </c>
      <c r="D1425" s="276">
        <v>0.3</v>
      </c>
      <c r="E1425" s="277">
        <v>3</v>
      </c>
      <c r="F1425" s="1035"/>
      <c r="G1425" s="401">
        <f t="shared" si="5"/>
        <v>810000</v>
      </c>
      <c r="H1425" s="284" t="s">
        <v>125</v>
      </c>
      <c r="I1425" s="1035"/>
      <c r="J1425" s="644">
        <v>1350000</v>
      </c>
    </row>
    <row r="1426" spans="1:10">
      <c r="A1426" s="638" t="s">
        <v>6808</v>
      </c>
      <c r="B1426" s="284" t="s">
        <v>6808</v>
      </c>
      <c r="C1426" s="275" t="s">
        <v>6876</v>
      </c>
      <c r="D1426" s="276">
        <v>0.4</v>
      </c>
      <c r="E1426" s="277">
        <v>3</v>
      </c>
      <c r="F1426" s="1035"/>
      <c r="G1426" s="401">
        <f t="shared" si="5"/>
        <v>1080000</v>
      </c>
      <c r="H1426" s="284" t="s">
        <v>125</v>
      </c>
      <c r="I1426" s="1035"/>
      <c r="J1426" s="644">
        <v>1800000</v>
      </c>
    </row>
    <row r="1427" spans="1:10">
      <c r="A1427" s="638" t="s">
        <v>4452</v>
      </c>
      <c r="B1427" s="284" t="s">
        <v>4452</v>
      </c>
      <c r="C1427" s="275" t="s">
        <v>6877</v>
      </c>
      <c r="D1427" s="276">
        <v>3.7</v>
      </c>
      <c r="E1427" s="277">
        <v>4</v>
      </c>
      <c r="F1427" s="1035" t="s">
        <v>6637</v>
      </c>
      <c r="G1427" s="401">
        <f t="shared" si="5"/>
        <v>13320000</v>
      </c>
      <c r="H1427" s="284" t="s">
        <v>125</v>
      </c>
      <c r="I1427" s="284"/>
      <c r="J1427" s="644">
        <v>22200000</v>
      </c>
    </row>
    <row r="1428" spans="1:10">
      <c r="A1428" s="638" t="s">
        <v>4452</v>
      </c>
      <c r="B1428" s="284" t="s">
        <v>4452</v>
      </c>
      <c r="C1428" s="275" t="s">
        <v>6878</v>
      </c>
      <c r="D1428" s="276">
        <v>4.4000000000000004</v>
      </c>
      <c r="E1428" s="277">
        <v>3</v>
      </c>
      <c r="F1428" s="1035"/>
      <c r="G1428" s="401">
        <f t="shared" si="5"/>
        <v>11880000</v>
      </c>
      <c r="H1428" s="284" t="s">
        <v>125</v>
      </c>
      <c r="I1428" s="284"/>
      <c r="J1428" s="644">
        <v>19800000</v>
      </c>
    </row>
    <row r="1429" spans="1:10">
      <c r="A1429" s="638" t="s">
        <v>4452</v>
      </c>
      <c r="B1429" s="284" t="s">
        <v>4452</v>
      </c>
      <c r="C1429" s="275" t="s">
        <v>6879</v>
      </c>
      <c r="D1429" s="276">
        <v>0.3</v>
      </c>
      <c r="E1429" s="277">
        <v>3</v>
      </c>
      <c r="F1429" s="1035"/>
      <c r="G1429" s="401">
        <f t="shared" si="5"/>
        <v>810000</v>
      </c>
      <c r="H1429" s="284" t="s">
        <v>125</v>
      </c>
      <c r="I1429" s="284"/>
      <c r="J1429" s="644">
        <v>1350000</v>
      </c>
    </row>
    <row r="1430" spans="1:10">
      <c r="A1430" s="638" t="s">
        <v>4452</v>
      </c>
      <c r="B1430" s="284" t="s">
        <v>4452</v>
      </c>
      <c r="C1430" s="275" t="s">
        <v>6880</v>
      </c>
      <c r="D1430" s="276">
        <v>0.4</v>
      </c>
      <c r="E1430" s="277">
        <v>3</v>
      </c>
      <c r="F1430" s="1035"/>
      <c r="G1430" s="401">
        <f t="shared" si="5"/>
        <v>1080000</v>
      </c>
      <c r="H1430" s="284" t="s">
        <v>125</v>
      </c>
      <c r="I1430" s="284"/>
      <c r="J1430" s="644">
        <v>1800000</v>
      </c>
    </row>
    <row r="1431" spans="1:10">
      <c r="A1431" s="638" t="s">
        <v>4452</v>
      </c>
      <c r="B1431" s="284" t="s">
        <v>4452</v>
      </c>
      <c r="C1431" s="275" t="s">
        <v>6881</v>
      </c>
      <c r="D1431" s="276">
        <v>0.16999999999999998</v>
      </c>
      <c r="E1431" s="277">
        <v>3</v>
      </c>
      <c r="F1431" s="1035"/>
      <c r="G1431" s="401">
        <f t="shared" si="5"/>
        <v>458999.99999999994</v>
      </c>
      <c r="H1431" s="284" t="s">
        <v>125</v>
      </c>
      <c r="I1431" s="1035" t="s">
        <v>6638</v>
      </c>
      <c r="J1431" s="644">
        <v>764999.99999999988</v>
      </c>
    </row>
    <row r="1432" spans="1:10">
      <c r="A1432" s="638" t="s">
        <v>4452</v>
      </c>
      <c r="B1432" s="284" t="s">
        <v>4452</v>
      </c>
      <c r="C1432" s="275" t="s">
        <v>6882</v>
      </c>
      <c r="D1432" s="276">
        <v>0.5</v>
      </c>
      <c r="E1432" s="277">
        <v>3</v>
      </c>
      <c r="F1432" s="1035"/>
      <c r="G1432" s="401">
        <f t="shared" si="5"/>
        <v>1350000</v>
      </c>
      <c r="H1432" s="284" t="s">
        <v>125</v>
      </c>
      <c r="I1432" s="1035"/>
      <c r="J1432" s="644">
        <v>2250000</v>
      </c>
    </row>
    <row r="1433" spans="1:10">
      <c r="A1433" s="638" t="s">
        <v>4452</v>
      </c>
      <c r="B1433" s="284" t="s">
        <v>4452</v>
      </c>
      <c r="C1433" s="275" t="s">
        <v>6883</v>
      </c>
      <c r="D1433" s="276">
        <v>0.5</v>
      </c>
      <c r="E1433" s="277">
        <v>3.5</v>
      </c>
      <c r="F1433" s="1035"/>
      <c r="G1433" s="401">
        <f t="shared" si="5"/>
        <v>1575000</v>
      </c>
      <c r="H1433" s="284" t="s">
        <v>125</v>
      </c>
      <c r="I1433" s="1035"/>
      <c r="J1433" s="644">
        <v>2625000</v>
      </c>
    </row>
    <row r="1434" spans="1:10">
      <c r="A1434" s="638" t="s">
        <v>4452</v>
      </c>
      <c r="B1434" s="284" t="s">
        <v>4452</v>
      </c>
      <c r="C1434" s="275" t="s">
        <v>6884</v>
      </c>
      <c r="D1434" s="276">
        <v>0.3</v>
      </c>
      <c r="E1434" s="277">
        <v>3.5</v>
      </c>
      <c r="F1434" s="1035"/>
      <c r="G1434" s="401">
        <f t="shared" si="5"/>
        <v>945000</v>
      </c>
      <c r="H1434" s="284" t="s">
        <v>125</v>
      </c>
      <c r="I1434" s="1035"/>
      <c r="J1434" s="644">
        <v>1575000</v>
      </c>
    </row>
    <row r="1435" spans="1:10">
      <c r="A1435" s="638" t="s">
        <v>4452</v>
      </c>
      <c r="B1435" s="284" t="s">
        <v>4452</v>
      </c>
      <c r="C1435" s="275" t="s">
        <v>6885</v>
      </c>
      <c r="D1435" s="276">
        <v>0.3</v>
      </c>
      <c r="E1435" s="277">
        <v>3.5</v>
      </c>
      <c r="F1435" s="1035"/>
      <c r="G1435" s="401">
        <f t="shared" si="5"/>
        <v>945000</v>
      </c>
      <c r="H1435" s="284" t="s">
        <v>125</v>
      </c>
      <c r="I1435" s="1035"/>
      <c r="J1435" s="644">
        <v>1575000</v>
      </c>
    </row>
    <row r="1436" spans="1:10">
      <c r="A1436" s="638" t="s">
        <v>4452</v>
      </c>
      <c r="B1436" s="284" t="s">
        <v>4452</v>
      </c>
      <c r="C1436" s="275" t="s">
        <v>6886</v>
      </c>
      <c r="D1436" s="276">
        <v>0.3</v>
      </c>
      <c r="E1436" s="277">
        <v>3</v>
      </c>
      <c r="F1436" s="1035"/>
      <c r="G1436" s="401">
        <f t="shared" si="5"/>
        <v>810000</v>
      </c>
      <c r="H1436" s="284" t="s">
        <v>125</v>
      </c>
      <c r="I1436" s="1035"/>
      <c r="J1436" s="644">
        <v>1350000</v>
      </c>
    </row>
    <row r="1437" spans="1:10">
      <c r="A1437" s="638" t="s">
        <v>4452</v>
      </c>
      <c r="B1437" s="284" t="s">
        <v>4452</v>
      </c>
      <c r="C1437" s="275" t="s">
        <v>6887</v>
      </c>
      <c r="D1437" s="276">
        <v>0.4</v>
      </c>
      <c r="E1437" s="277">
        <v>3</v>
      </c>
      <c r="F1437" s="1035"/>
      <c r="G1437" s="401">
        <f t="shared" si="5"/>
        <v>1080000</v>
      </c>
      <c r="H1437" s="284" t="s">
        <v>125</v>
      </c>
      <c r="I1437" s="1035"/>
      <c r="J1437" s="644">
        <v>1800000</v>
      </c>
    </row>
    <row r="1438" spans="1:10">
      <c r="A1438" s="638" t="s">
        <v>4452</v>
      </c>
      <c r="B1438" s="284" t="s">
        <v>4452</v>
      </c>
      <c r="C1438" s="275" t="s">
        <v>6888</v>
      </c>
      <c r="D1438" s="276">
        <v>1.1000000000000001</v>
      </c>
      <c r="E1438" s="277">
        <v>3</v>
      </c>
      <c r="F1438" s="1035"/>
      <c r="G1438" s="401">
        <f t="shared" si="5"/>
        <v>2970000</v>
      </c>
      <c r="H1438" s="284" t="s">
        <v>125</v>
      </c>
      <c r="I1438" s="1035"/>
      <c r="J1438" s="644">
        <v>4950000</v>
      </c>
    </row>
    <row r="1439" spans="1:10">
      <c r="A1439" s="638" t="s">
        <v>4452</v>
      </c>
      <c r="B1439" s="284" t="s">
        <v>4452</v>
      </c>
      <c r="C1439" s="275" t="s">
        <v>6889</v>
      </c>
      <c r="D1439" s="276">
        <v>0.8</v>
      </c>
      <c r="E1439" s="277">
        <v>3</v>
      </c>
      <c r="F1439" s="1035"/>
      <c r="G1439" s="401">
        <f t="shared" si="5"/>
        <v>2160000</v>
      </c>
      <c r="H1439" s="284" t="s">
        <v>125</v>
      </c>
      <c r="I1439" s="1035"/>
      <c r="J1439" s="644">
        <v>3600000</v>
      </c>
    </row>
    <row r="1440" spans="1:10">
      <c r="A1440" s="638" t="s">
        <v>4452</v>
      </c>
      <c r="B1440" s="284" t="s">
        <v>4452</v>
      </c>
      <c r="C1440" s="275" t="s">
        <v>6890</v>
      </c>
      <c r="D1440" s="276">
        <v>2</v>
      </c>
      <c r="E1440" s="277">
        <v>3.5</v>
      </c>
      <c r="F1440" s="1035"/>
      <c r="G1440" s="401">
        <f t="shared" si="5"/>
        <v>6300000</v>
      </c>
      <c r="H1440" s="284" t="s">
        <v>125</v>
      </c>
      <c r="I1440" s="1035"/>
      <c r="J1440" s="644">
        <v>10500000</v>
      </c>
    </row>
    <row r="1441" spans="1:10">
      <c r="A1441" s="638" t="s">
        <v>4452</v>
      </c>
      <c r="B1441" s="284" t="s">
        <v>4452</v>
      </c>
      <c r="C1441" s="275" t="s">
        <v>6891</v>
      </c>
      <c r="D1441" s="276">
        <v>1.3</v>
      </c>
      <c r="E1441" s="277">
        <v>3.2</v>
      </c>
      <c r="F1441" s="1035"/>
      <c r="G1441" s="401">
        <f t="shared" si="5"/>
        <v>3744000</v>
      </c>
      <c r="H1441" s="284" t="s">
        <v>125</v>
      </c>
      <c r="I1441" s="1035"/>
      <c r="J1441" s="644">
        <v>6240000</v>
      </c>
    </row>
    <row r="1442" spans="1:10">
      <c r="A1442" s="638" t="s">
        <v>4452</v>
      </c>
      <c r="B1442" s="284" t="s">
        <v>4452</v>
      </c>
      <c r="C1442" s="275" t="s">
        <v>6892</v>
      </c>
      <c r="D1442" s="276">
        <v>0.2</v>
      </c>
      <c r="E1442" s="277">
        <v>5.8</v>
      </c>
      <c r="F1442" s="1035"/>
      <c r="G1442" s="401">
        <f t="shared" si="5"/>
        <v>1043999.9999999998</v>
      </c>
      <c r="H1442" s="284" t="s">
        <v>125</v>
      </c>
      <c r="I1442" s="1035"/>
      <c r="J1442" s="644">
        <v>1739999.9999999998</v>
      </c>
    </row>
    <row r="1443" spans="1:10">
      <c r="A1443" s="638" t="s">
        <v>6893</v>
      </c>
      <c r="B1443" s="284" t="s">
        <v>6893</v>
      </c>
      <c r="C1443" s="275" t="s">
        <v>6894</v>
      </c>
      <c r="D1443" s="276">
        <v>3.0209999999999999</v>
      </c>
      <c r="E1443" s="277">
        <v>3</v>
      </c>
      <c r="F1443" s="1035" t="s">
        <v>6637</v>
      </c>
      <c r="G1443" s="401">
        <f t="shared" si="5"/>
        <v>8156700</v>
      </c>
      <c r="H1443" s="284" t="s">
        <v>125</v>
      </c>
      <c r="I1443" s="1035" t="s">
        <v>6638</v>
      </c>
      <c r="J1443" s="644">
        <v>13594500</v>
      </c>
    </row>
    <row r="1444" spans="1:10">
      <c r="A1444" s="638" t="s">
        <v>6893</v>
      </c>
      <c r="B1444" s="284" t="s">
        <v>6893</v>
      </c>
      <c r="C1444" s="275" t="s">
        <v>6895</v>
      </c>
      <c r="D1444" s="276">
        <v>1.77</v>
      </c>
      <c r="E1444" s="277">
        <v>4</v>
      </c>
      <c r="F1444" s="1035"/>
      <c r="G1444" s="401">
        <f t="shared" si="5"/>
        <v>6372000</v>
      </c>
      <c r="H1444" s="284" t="s">
        <v>125</v>
      </c>
      <c r="I1444" s="1035"/>
      <c r="J1444" s="644">
        <v>10620000</v>
      </c>
    </row>
    <row r="1445" spans="1:10">
      <c r="A1445" s="638" t="s">
        <v>6893</v>
      </c>
      <c r="B1445" s="284" t="s">
        <v>6893</v>
      </c>
      <c r="C1445" s="275" t="s">
        <v>6896</v>
      </c>
      <c r="D1445" s="276">
        <v>2</v>
      </c>
      <c r="E1445" s="277">
        <v>4</v>
      </c>
      <c r="F1445" s="1035"/>
      <c r="G1445" s="401">
        <f t="shared" si="5"/>
        <v>7200000</v>
      </c>
      <c r="H1445" s="284" t="s">
        <v>125</v>
      </c>
      <c r="I1445" s="1035"/>
      <c r="J1445" s="644">
        <v>12000000</v>
      </c>
    </row>
    <row r="1446" spans="1:10">
      <c r="A1446" s="638" t="s">
        <v>6893</v>
      </c>
      <c r="B1446" s="284" t="s">
        <v>6893</v>
      </c>
      <c r="C1446" s="275" t="s">
        <v>6897</v>
      </c>
      <c r="D1446" s="276">
        <v>0.7</v>
      </c>
      <c r="E1446" s="277">
        <v>3</v>
      </c>
      <c r="F1446" s="1035"/>
      <c r="G1446" s="401">
        <f t="shared" si="5"/>
        <v>1890000</v>
      </c>
      <c r="H1446" s="284" t="s">
        <v>125</v>
      </c>
      <c r="I1446" s="1035"/>
      <c r="J1446" s="644">
        <v>3150000</v>
      </c>
    </row>
    <row r="1447" spans="1:10">
      <c r="A1447" s="638" t="s">
        <v>6893</v>
      </c>
      <c r="B1447" s="284" t="s">
        <v>6893</v>
      </c>
      <c r="C1447" s="275" t="s">
        <v>6898</v>
      </c>
      <c r="D1447" s="276">
        <v>0.15</v>
      </c>
      <c r="E1447" s="277">
        <v>3</v>
      </c>
      <c r="F1447" s="1035"/>
      <c r="G1447" s="401">
        <f t="shared" si="5"/>
        <v>405000</v>
      </c>
      <c r="H1447" s="284" t="s">
        <v>125</v>
      </c>
      <c r="I1447" s="1035"/>
      <c r="J1447" s="644">
        <v>675000</v>
      </c>
    </row>
    <row r="1448" spans="1:10">
      <c r="A1448" s="638" t="s">
        <v>6893</v>
      </c>
      <c r="B1448" s="284" t="s">
        <v>6893</v>
      </c>
      <c r="C1448" s="275" t="s">
        <v>6899</v>
      </c>
      <c r="D1448" s="276">
        <v>0.4</v>
      </c>
      <c r="E1448" s="277">
        <v>3</v>
      </c>
      <c r="F1448" s="1035"/>
      <c r="G1448" s="401">
        <f t="shared" si="5"/>
        <v>1080000</v>
      </c>
      <c r="H1448" s="284" t="s">
        <v>125</v>
      </c>
      <c r="I1448" s="1035"/>
      <c r="J1448" s="644">
        <v>1800000</v>
      </c>
    </row>
    <row r="1449" spans="1:10">
      <c r="A1449" s="638" t="s">
        <v>6893</v>
      </c>
      <c r="B1449" s="284" t="s">
        <v>6893</v>
      </c>
      <c r="C1449" s="275" t="s">
        <v>6900</v>
      </c>
      <c r="D1449" s="276">
        <v>0.8</v>
      </c>
      <c r="E1449" s="277">
        <v>3</v>
      </c>
      <c r="F1449" s="1035"/>
      <c r="G1449" s="401">
        <f t="shared" si="5"/>
        <v>2160000</v>
      </c>
      <c r="H1449" s="284" t="s">
        <v>125</v>
      </c>
      <c r="I1449" s="1035"/>
      <c r="J1449" s="644">
        <v>3600000</v>
      </c>
    </row>
    <row r="1450" spans="1:10">
      <c r="A1450" s="638" t="s">
        <v>6893</v>
      </c>
      <c r="B1450" s="284" t="s">
        <v>6893</v>
      </c>
      <c r="C1450" s="275" t="s">
        <v>6901</v>
      </c>
      <c r="D1450" s="276">
        <v>0.4</v>
      </c>
      <c r="E1450" s="277">
        <v>3</v>
      </c>
      <c r="F1450" s="1035"/>
      <c r="G1450" s="401">
        <f t="shared" si="5"/>
        <v>1080000</v>
      </c>
      <c r="H1450" s="284" t="s">
        <v>125</v>
      </c>
      <c r="I1450" s="1035"/>
      <c r="J1450" s="644">
        <v>1800000</v>
      </c>
    </row>
    <row r="1451" spans="1:10">
      <c r="A1451" s="638" t="s">
        <v>6893</v>
      </c>
      <c r="B1451" s="284" t="s">
        <v>6893</v>
      </c>
      <c r="C1451" s="275" t="s">
        <v>6902</v>
      </c>
      <c r="D1451" s="276">
        <v>1.9</v>
      </c>
      <c r="E1451" s="277">
        <v>3</v>
      </c>
      <c r="F1451" s="1035"/>
      <c r="G1451" s="401">
        <f t="shared" si="5"/>
        <v>5130000</v>
      </c>
      <c r="H1451" s="284" t="s">
        <v>125</v>
      </c>
      <c r="I1451" s="1035"/>
      <c r="J1451" s="644">
        <v>8550000</v>
      </c>
    </row>
    <row r="1452" spans="1:10">
      <c r="A1452" s="638" t="s">
        <v>6893</v>
      </c>
      <c r="B1452" s="284" t="s">
        <v>6893</v>
      </c>
      <c r="C1452" s="275" t="s">
        <v>6903</v>
      </c>
      <c r="D1452" s="276">
        <v>0.6</v>
      </c>
      <c r="E1452" s="277">
        <v>4</v>
      </c>
      <c r="F1452" s="1035"/>
      <c r="G1452" s="401">
        <f t="shared" si="5"/>
        <v>2160000</v>
      </c>
      <c r="H1452" s="284" t="s">
        <v>125</v>
      </c>
      <c r="I1452" s="1035"/>
      <c r="J1452" s="644">
        <v>3600000</v>
      </c>
    </row>
    <row r="1453" spans="1:10">
      <c r="A1453" s="638" t="s">
        <v>6893</v>
      </c>
      <c r="B1453" s="284" t="s">
        <v>6893</v>
      </c>
      <c r="C1453" s="275" t="s">
        <v>6904</v>
      </c>
      <c r="D1453" s="276">
        <v>0.7</v>
      </c>
      <c r="E1453" s="277">
        <v>4</v>
      </c>
      <c r="F1453" s="1035"/>
      <c r="G1453" s="401">
        <f t="shared" si="5"/>
        <v>2520000</v>
      </c>
      <c r="H1453" s="284" t="s">
        <v>125</v>
      </c>
      <c r="I1453" s="1035"/>
      <c r="J1453" s="644">
        <v>4200000</v>
      </c>
    </row>
    <row r="1454" spans="1:10">
      <c r="A1454" s="638" t="s">
        <v>6893</v>
      </c>
      <c r="B1454" s="284" t="s">
        <v>6893</v>
      </c>
      <c r="C1454" s="275" t="s">
        <v>6905</v>
      </c>
      <c r="D1454" s="276">
        <v>0.7</v>
      </c>
      <c r="E1454" s="277">
        <v>3</v>
      </c>
      <c r="F1454" s="1035"/>
      <c r="G1454" s="401">
        <f t="shared" si="5"/>
        <v>1890000</v>
      </c>
      <c r="H1454" s="284" t="s">
        <v>125</v>
      </c>
      <c r="I1454" s="1035"/>
      <c r="J1454" s="644">
        <v>3150000</v>
      </c>
    </row>
    <row r="1455" spans="1:10">
      <c r="A1455" s="638" t="s">
        <v>6893</v>
      </c>
      <c r="B1455" s="284" t="s">
        <v>6893</v>
      </c>
      <c r="C1455" s="275" t="s">
        <v>6906</v>
      </c>
      <c r="D1455" s="276">
        <v>0.3</v>
      </c>
      <c r="E1455" s="277">
        <v>3</v>
      </c>
      <c r="F1455" s="1035"/>
      <c r="G1455" s="401">
        <f t="shared" si="5"/>
        <v>810000</v>
      </c>
      <c r="H1455" s="284" t="s">
        <v>125</v>
      </c>
      <c r="I1455" s="1035"/>
      <c r="J1455" s="644">
        <v>1350000</v>
      </c>
    </row>
    <row r="1456" spans="1:10">
      <c r="A1456" s="638" t="s">
        <v>6893</v>
      </c>
      <c r="B1456" s="284" t="s">
        <v>6893</v>
      </c>
      <c r="C1456" s="275" t="s">
        <v>6907</v>
      </c>
      <c r="D1456" s="276">
        <v>0.3</v>
      </c>
      <c r="E1456" s="277">
        <v>3</v>
      </c>
      <c r="F1456" s="1035"/>
      <c r="G1456" s="401">
        <f t="shared" si="5"/>
        <v>810000</v>
      </c>
      <c r="H1456" s="284" t="s">
        <v>125</v>
      </c>
      <c r="I1456" s="1035" t="s">
        <v>6638</v>
      </c>
      <c r="J1456" s="644">
        <v>1350000</v>
      </c>
    </row>
    <row r="1457" spans="1:10">
      <c r="A1457" s="638" t="s">
        <v>6893</v>
      </c>
      <c r="B1457" s="284" t="s">
        <v>6893</v>
      </c>
      <c r="C1457" s="275" t="s">
        <v>6908</v>
      </c>
      <c r="D1457" s="276">
        <v>1.1000000000000001</v>
      </c>
      <c r="E1457" s="277">
        <v>3</v>
      </c>
      <c r="F1457" s="1035" t="s">
        <v>6637</v>
      </c>
      <c r="G1457" s="401">
        <f t="shared" si="5"/>
        <v>2970000</v>
      </c>
      <c r="H1457" s="284" t="s">
        <v>125</v>
      </c>
      <c r="I1457" s="1035"/>
      <c r="J1457" s="644">
        <v>4950000</v>
      </c>
    </row>
    <row r="1458" spans="1:10">
      <c r="A1458" s="638" t="s">
        <v>6893</v>
      </c>
      <c r="B1458" s="284" t="s">
        <v>6893</v>
      </c>
      <c r="C1458" s="275" t="s">
        <v>6909</v>
      </c>
      <c r="D1458" s="276">
        <v>0.3</v>
      </c>
      <c r="E1458" s="277">
        <v>4</v>
      </c>
      <c r="F1458" s="1035"/>
      <c r="G1458" s="401">
        <f t="shared" si="5"/>
        <v>1080000</v>
      </c>
      <c r="H1458" s="284" t="s">
        <v>125</v>
      </c>
      <c r="I1458" s="1035"/>
      <c r="J1458" s="644">
        <v>1800000</v>
      </c>
    </row>
    <row r="1459" spans="1:10">
      <c r="A1459" s="638" t="s">
        <v>6893</v>
      </c>
      <c r="B1459" s="284" t="s">
        <v>6893</v>
      </c>
      <c r="C1459" s="275" t="s">
        <v>6910</v>
      </c>
      <c r="D1459" s="276">
        <v>1.1000000000000001</v>
      </c>
      <c r="E1459" s="277">
        <v>3</v>
      </c>
      <c r="F1459" s="1035"/>
      <c r="G1459" s="401">
        <f t="shared" si="5"/>
        <v>2970000</v>
      </c>
      <c r="H1459" s="284" t="s">
        <v>125</v>
      </c>
      <c r="I1459" s="1035"/>
      <c r="J1459" s="644">
        <v>4950000</v>
      </c>
    </row>
    <row r="1460" spans="1:10">
      <c r="A1460" s="638" t="s">
        <v>6893</v>
      </c>
      <c r="B1460" s="284" t="s">
        <v>6893</v>
      </c>
      <c r="C1460" s="275" t="s">
        <v>6911</v>
      </c>
      <c r="D1460" s="276">
        <v>1.1000000000000001</v>
      </c>
      <c r="E1460" s="277">
        <v>3</v>
      </c>
      <c r="F1460" s="1035"/>
      <c r="G1460" s="401">
        <f t="shared" si="5"/>
        <v>2970000</v>
      </c>
      <c r="H1460" s="284" t="s">
        <v>125</v>
      </c>
      <c r="I1460" s="1035"/>
      <c r="J1460" s="644">
        <v>4950000</v>
      </c>
    </row>
    <row r="1461" spans="1:10">
      <c r="A1461" s="638" t="s">
        <v>6893</v>
      </c>
      <c r="B1461" s="284" t="s">
        <v>6893</v>
      </c>
      <c r="C1461" s="275" t="s">
        <v>6912</v>
      </c>
      <c r="D1461" s="276">
        <v>0.4</v>
      </c>
      <c r="E1461" s="277">
        <v>3</v>
      </c>
      <c r="F1461" s="1035"/>
      <c r="G1461" s="401">
        <f t="shared" si="5"/>
        <v>1080000</v>
      </c>
      <c r="H1461" s="284" t="s">
        <v>125</v>
      </c>
      <c r="I1461" s="1035"/>
      <c r="J1461" s="644">
        <v>1800000</v>
      </c>
    </row>
    <row r="1462" spans="1:10">
      <c r="A1462" s="638" t="s">
        <v>6893</v>
      </c>
      <c r="B1462" s="284" t="s">
        <v>6893</v>
      </c>
      <c r="C1462" s="275" t="s">
        <v>6913</v>
      </c>
      <c r="D1462" s="276">
        <v>0.5</v>
      </c>
      <c r="E1462" s="277">
        <v>3</v>
      </c>
      <c r="F1462" s="1035"/>
      <c r="G1462" s="401">
        <f t="shared" si="5"/>
        <v>1350000</v>
      </c>
      <c r="H1462" s="284" t="s">
        <v>125</v>
      </c>
      <c r="I1462" s="1035"/>
      <c r="J1462" s="644">
        <v>2250000</v>
      </c>
    </row>
    <row r="1463" spans="1:10">
      <c r="A1463" s="638" t="s">
        <v>6893</v>
      </c>
      <c r="B1463" s="284" t="s">
        <v>6893</v>
      </c>
      <c r="C1463" s="275" t="s">
        <v>6914</v>
      </c>
      <c r="D1463" s="276">
        <v>0.4</v>
      </c>
      <c r="E1463" s="277">
        <v>4</v>
      </c>
      <c r="F1463" s="1035"/>
      <c r="G1463" s="401">
        <f t="shared" si="5"/>
        <v>1440000</v>
      </c>
      <c r="H1463" s="284" t="s">
        <v>125</v>
      </c>
      <c r="I1463" s="1035"/>
      <c r="J1463" s="644">
        <v>2400000</v>
      </c>
    </row>
    <row r="1464" spans="1:10">
      <c r="A1464" s="638" t="s">
        <v>6893</v>
      </c>
      <c r="B1464" s="284" t="s">
        <v>6893</v>
      </c>
      <c r="C1464" s="275" t="s">
        <v>6915</v>
      </c>
      <c r="D1464" s="276">
        <v>0.8</v>
      </c>
      <c r="E1464" s="277">
        <v>2.5</v>
      </c>
      <c r="F1464" s="1035"/>
      <c r="G1464" s="401">
        <f t="shared" si="5"/>
        <v>1800000</v>
      </c>
      <c r="H1464" s="284" t="s">
        <v>125</v>
      </c>
      <c r="I1464" s="1035"/>
      <c r="J1464" s="644">
        <v>3000000</v>
      </c>
    </row>
    <row r="1465" spans="1:10">
      <c r="A1465" s="638" t="s">
        <v>6893</v>
      </c>
      <c r="B1465" s="284" t="s">
        <v>6893</v>
      </c>
      <c r="C1465" s="275" t="s">
        <v>6916</v>
      </c>
      <c r="D1465" s="276">
        <v>0.4</v>
      </c>
      <c r="E1465" s="277">
        <v>5</v>
      </c>
      <c r="F1465" s="1035"/>
      <c r="G1465" s="401">
        <f t="shared" si="5"/>
        <v>1800000</v>
      </c>
      <c r="H1465" s="284" t="s">
        <v>125</v>
      </c>
      <c r="I1465" s="1035"/>
      <c r="J1465" s="644">
        <v>3000000</v>
      </c>
    </row>
    <row r="1466" spans="1:10">
      <c r="A1466" s="638" t="s">
        <v>6893</v>
      </c>
      <c r="B1466" s="284" t="s">
        <v>6893</v>
      </c>
      <c r="C1466" s="275" t="s">
        <v>6917</v>
      </c>
      <c r="D1466" s="276">
        <v>0.6</v>
      </c>
      <c r="E1466" s="277">
        <v>5.7</v>
      </c>
      <c r="F1466" s="1035"/>
      <c r="G1466" s="401">
        <f t="shared" si="5"/>
        <v>3078000</v>
      </c>
      <c r="H1466" s="284" t="s">
        <v>125</v>
      </c>
      <c r="I1466" s="1035"/>
      <c r="J1466" s="644">
        <v>5130000</v>
      </c>
    </row>
    <row r="1467" spans="1:10">
      <c r="A1467" s="638" t="s">
        <v>6893</v>
      </c>
      <c r="B1467" s="284" t="s">
        <v>6893</v>
      </c>
      <c r="C1467" s="275" t="s">
        <v>6918</v>
      </c>
      <c r="D1467" s="276">
        <v>0.6</v>
      </c>
      <c r="E1467" s="277">
        <v>4.8</v>
      </c>
      <c r="F1467" s="1035"/>
      <c r="G1467" s="401">
        <f t="shared" si="5"/>
        <v>2592000</v>
      </c>
      <c r="H1467" s="284" t="s">
        <v>125</v>
      </c>
      <c r="I1467" s="1035"/>
      <c r="J1467" s="644">
        <v>4320000</v>
      </c>
    </row>
    <row r="1468" spans="1:10">
      <c r="A1468" s="638" t="s">
        <v>6893</v>
      </c>
      <c r="B1468" s="284" t="s">
        <v>6893</v>
      </c>
      <c r="C1468" s="275" t="s">
        <v>6919</v>
      </c>
      <c r="D1468" s="276">
        <v>0.2</v>
      </c>
      <c r="E1468" s="277">
        <v>3.6</v>
      </c>
      <c r="F1468" s="1035"/>
      <c r="G1468" s="401">
        <f t="shared" si="5"/>
        <v>648000</v>
      </c>
      <c r="H1468" s="284" t="s">
        <v>125</v>
      </c>
      <c r="I1468" s="1035"/>
      <c r="J1468" s="644">
        <v>1080000</v>
      </c>
    </row>
    <row r="1469" spans="1:10">
      <c r="A1469" s="638" t="s">
        <v>6893</v>
      </c>
      <c r="B1469" s="284" t="s">
        <v>6893</v>
      </c>
      <c r="C1469" s="275" t="s">
        <v>6920</v>
      </c>
      <c r="D1469" s="276">
        <v>0.2</v>
      </c>
      <c r="E1469" s="277">
        <v>5</v>
      </c>
      <c r="F1469" s="1035"/>
      <c r="G1469" s="401">
        <f t="shared" si="5"/>
        <v>900000</v>
      </c>
      <c r="H1469" s="284" t="s">
        <v>125</v>
      </c>
      <c r="I1469" s="1035"/>
      <c r="J1469" s="644">
        <v>1500000</v>
      </c>
    </row>
    <row r="1470" spans="1:10">
      <c r="A1470" s="638" t="s">
        <v>6893</v>
      </c>
      <c r="B1470" s="284" t="s">
        <v>6893</v>
      </c>
      <c r="C1470" s="275" t="s">
        <v>6921</v>
      </c>
      <c r="D1470" s="276">
        <v>1.5</v>
      </c>
      <c r="E1470" s="277">
        <v>5</v>
      </c>
      <c r="F1470" s="1035"/>
      <c r="G1470" s="401">
        <f t="shared" si="5"/>
        <v>6750000</v>
      </c>
      <c r="H1470" s="284" t="s">
        <v>125</v>
      </c>
      <c r="I1470" s="1035"/>
      <c r="J1470" s="644">
        <v>11250000</v>
      </c>
    </row>
    <row r="1471" spans="1:10">
      <c r="A1471" s="638" t="s">
        <v>6922</v>
      </c>
      <c r="B1471" s="284" t="s">
        <v>6922</v>
      </c>
      <c r="C1471" s="275" t="s">
        <v>6923</v>
      </c>
      <c r="D1471" s="276">
        <v>2.7</v>
      </c>
      <c r="E1471" s="277">
        <v>4</v>
      </c>
      <c r="F1471" s="1035" t="s">
        <v>6637</v>
      </c>
      <c r="G1471" s="401">
        <f t="shared" ref="G1471:G1534" si="6">J1471*0.6</f>
        <v>9720000</v>
      </c>
      <c r="H1471" s="284" t="s">
        <v>125</v>
      </c>
      <c r="I1471" s="1035" t="s">
        <v>6638</v>
      </c>
      <c r="J1471" s="644">
        <v>16200000</v>
      </c>
    </row>
    <row r="1472" spans="1:10">
      <c r="A1472" s="638" t="s">
        <v>6922</v>
      </c>
      <c r="B1472" s="284" t="s">
        <v>6922</v>
      </c>
      <c r="C1472" s="275" t="s">
        <v>6924</v>
      </c>
      <c r="D1472" s="276">
        <v>0.19999999999999973</v>
      </c>
      <c r="E1472" s="277">
        <v>4</v>
      </c>
      <c r="F1472" s="1035"/>
      <c r="G1472" s="401">
        <f t="shared" si="6"/>
        <v>719999.99999999895</v>
      </c>
      <c r="H1472" s="284" t="s">
        <v>125</v>
      </c>
      <c r="I1472" s="1035"/>
      <c r="J1472" s="644">
        <v>1199999.9999999984</v>
      </c>
    </row>
    <row r="1473" spans="1:10">
      <c r="A1473" s="638" t="s">
        <v>6922</v>
      </c>
      <c r="B1473" s="284" t="s">
        <v>6922</v>
      </c>
      <c r="C1473" s="275" t="s">
        <v>6925</v>
      </c>
      <c r="D1473" s="276">
        <v>4.0999999999999996</v>
      </c>
      <c r="E1473" s="277">
        <v>3</v>
      </c>
      <c r="F1473" s="1035"/>
      <c r="G1473" s="401">
        <f t="shared" si="6"/>
        <v>11070000</v>
      </c>
      <c r="H1473" s="284" t="s">
        <v>125</v>
      </c>
      <c r="I1473" s="1035"/>
      <c r="J1473" s="644">
        <v>18450000</v>
      </c>
    </row>
    <row r="1474" spans="1:10">
      <c r="A1474" s="638" t="s">
        <v>6922</v>
      </c>
      <c r="B1474" s="284" t="s">
        <v>6922</v>
      </c>
      <c r="C1474" s="275" t="s">
        <v>6926</v>
      </c>
      <c r="D1474" s="276">
        <v>1.55</v>
      </c>
      <c r="E1474" s="277">
        <v>3</v>
      </c>
      <c r="F1474" s="1035"/>
      <c r="G1474" s="401">
        <f t="shared" si="6"/>
        <v>4185000</v>
      </c>
      <c r="H1474" s="284" t="s">
        <v>125</v>
      </c>
      <c r="I1474" s="1035"/>
      <c r="J1474" s="644">
        <v>6975000</v>
      </c>
    </row>
    <row r="1475" spans="1:10">
      <c r="A1475" s="638" t="s">
        <v>6922</v>
      </c>
      <c r="B1475" s="284" t="s">
        <v>6922</v>
      </c>
      <c r="C1475" s="275" t="s">
        <v>6927</v>
      </c>
      <c r="D1475" s="276">
        <v>0.8</v>
      </c>
      <c r="E1475" s="277">
        <v>3</v>
      </c>
      <c r="F1475" s="1035"/>
      <c r="G1475" s="401">
        <f t="shared" si="6"/>
        <v>2160000</v>
      </c>
      <c r="H1475" s="284" t="s">
        <v>125</v>
      </c>
      <c r="I1475" s="1035"/>
      <c r="J1475" s="644">
        <v>3600000</v>
      </c>
    </row>
    <row r="1476" spans="1:10">
      <c r="A1476" s="638" t="s">
        <v>6922</v>
      </c>
      <c r="B1476" s="284" t="s">
        <v>6922</v>
      </c>
      <c r="C1476" s="275" t="s">
        <v>6928</v>
      </c>
      <c r="D1476" s="276">
        <v>0.2</v>
      </c>
      <c r="E1476" s="277">
        <v>3</v>
      </c>
      <c r="F1476" s="1035"/>
      <c r="G1476" s="401">
        <f t="shared" si="6"/>
        <v>540000</v>
      </c>
      <c r="H1476" s="284" t="s">
        <v>125</v>
      </c>
      <c r="I1476" s="1035"/>
      <c r="J1476" s="644">
        <v>900000</v>
      </c>
    </row>
    <row r="1477" spans="1:10">
      <c r="A1477" s="638" t="s">
        <v>6922</v>
      </c>
      <c r="B1477" s="284" t="s">
        <v>6922</v>
      </c>
      <c r="C1477" s="275" t="s">
        <v>6928</v>
      </c>
      <c r="D1477" s="276">
        <v>2.1</v>
      </c>
      <c r="E1477" s="277">
        <v>3</v>
      </c>
      <c r="F1477" s="1035"/>
      <c r="G1477" s="401">
        <f t="shared" si="6"/>
        <v>5670000</v>
      </c>
      <c r="H1477" s="284" t="s">
        <v>125</v>
      </c>
      <c r="I1477" s="1035"/>
      <c r="J1477" s="644">
        <v>9450000</v>
      </c>
    </row>
    <row r="1478" spans="1:10">
      <c r="A1478" s="638" t="s">
        <v>6922</v>
      </c>
      <c r="B1478" s="284" t="s">
        <v>6922</v>
      </c>
      <c r="C1478" s="275" t="s">
        <v>6929</v>
      </c>
      <c r="D1478" s="276">
        <v>4.4000000000000004</v>
      </c>
      <c r="E1478" s="277">
        <v>3</v>
      </c>
      <c r="F1478" s="1035"/>
      <c r="G1478" s="401">
        <f t="shared" si="6"/>
        <v>11880000</v>
      </c>
      <c r="H1478" s="284" t="s">
        <v>125</v>
      </c>
      <c r="I1478" s="1035"/>
      <c r="J1478" s="644">
        <v>19800000</v>
      </c>
    </row>
    <row r="1479" spans="1:10">
      <c r="A1479" s="638" t="s">
        <v>6922</v>
      </c>
      <c r="B1479" s="284" t="s">
        <v>6922</v>
      </c>
      <c r="C1479" s="275" t="s">
        <v>6930</v>
      </c>
      <c r="D1479" s="276">
        <v>0.4</v>
      </c>
      <c r="E1479" s="277">
        <v>3</v>
      </c>
      <c r="F1479" s="1035"/>
      <c r="G1479" s="401">
        <f t="shared" si="6"/>
        <v>1080000</v>
      </c>
      <c r="H1479" s="284" t="s">
        <v>125</v>
      </c>
      <c r="I1479" s="1035"/>
      <c r="J1479" s="644">
        <v>1800000</v>
      </c>
    </row>
    <row r="1480" spans="1:10">
      <c r="A1480" s="638" t="s">
        <v>6922</v>
      </c>
      <c r="B1480" s="284" t="s">
        <v>6922</v>
      </c>
      <c r="C1480" s="275" t="s">
        <v>6930</v>
      </c>
      <c r="D1480" s="276">
        <v>0.6</v>
      </c>
      <c r="E1480" s="277">
        <v>3</v>
      </c>
      <c r="F1480" s="1035"/>
      <c r="G1480" s="401">
        <f t="shared" si="6"/>
        <v>1620000</v>
      </c>
      <c r="H1480" s="284" t="s">
        <v>125</v>
      </c>
      <c r="I1480" s="1035"/>
      <c r="J1480" s="644">
        <v>2700000</v>
      </c>
    </row>
    <row r="1481" spans="1:10">
      <c r="A1481" s="638" t="s">
        <v>6922</v>
      </c>
      <c r="B1481" s="284" t="s">
        <v>6922</v>
      </c>
      <c r="C1481" s="275" t="s">
        <v>6931</v>
      </c>
      <c r="D1481" s="276">
        <v>0.3</v>
      </c>
      <c r="E1481" s="277">
        <v>3</v>
      </c>
      <c r="F1481" s="1035" t="s">
        <v>6637</v>
      </c>
      <c r="G1481" s="401">
        <f t="shared" si="6"/>
        <v>810000</v>
      </c>
      <c r="H1481" s="284" t="s">
        <v>125</v>
      </c>
      <c r="I1481" s="1035" t="s">
        <v>6638</v>
      </c>
      <c r="J1481" s="644">
        <v>1350000</v>
      </c>
    </row>
    <row r="1482" spans="1:10">
      <c r="A1482" s="638" t="s">
        <v>6922</v>
      </c>
      <c r="B1482" s="284" t="s">
        <v>6922</v>
      </c>
      <c r="C1482" s="275" t="s">
        <v>6932</v>
      </c>
      <c r="D1482" s="276">
        <v>0.3</v>
      </c>
      <c r="E1482" s="277">
        <v>3</v>
      </c>
      <c r="F1482" s="1035"/>
      <c r="G1482" s="401">
        <f t="shared" si="6"/>
        <v>810000</v>
      </c>
      <c r="H1482" s="284" t="s">
        <v>125</v>
      </c>
      <c r="I1482" s="1035"/>
      <c r="J1482" s="644">
        <v>1350000</v>
      </c>
    </row>
    <row r="1483" spans="1:10">
      <c r="A1483" s="638" t="s">
        <v>6922</v>
      </c>
      <c r="B1483" s="284" t="s">
        <v>6922</v>
      </c>
      <c r="C1483" s="275" t="s">
        <v>6933</v>
      </c>
      <c r="D1483" s="276">
        <v>0.4</v>
      </c>
      <c r="E1483" s="277">
        <v>3</v>
      </c>
      <c r="F1483" s="1035"/>
      <c r="G1483" s="401">
        <f t="shared" si="6"/>
        <v>1080000</v>
      </c>
      <c r="H1483" s="284" t="s">
        <v>125</v>
      </c>
      <c r="I1483" s="1035"/>
      <c r="J1483" s="644">
        <v>1800000</v>
      </c>
    </row>
    <row r="1484" spans="1:10">
      <c r="A1484" s="638" t="s">
        <v>6922</v>
      </c>
      <c r="B1484" s="284" t="s">
        <v>6922</v>
      </c>
      <c r="C1484" s="275" t="s">
        <v>6934</v>
      </c>
      <c r="D1484" s="276">
        <v>0.6</v>
      </c>
      <c r="E1484" s="277">
        <v>4</v>
      </c>
      <c r="F1484" s="1035"/>
      <c r="G1484" s="401">
        <f t="shared" si="6"/>
        <v>2160000</v>
      </c>
      <c r="H1484" s="284" t="s">
        <v>125</v>
      </c>
      <c r="I1484" s="1035"/>
      <c r="J1484" s="644">
        <v>3600000</v>
      </c>
    </row>
    <row r="1485" spans="1:10">
      <c r="A1485" s="638" t="s">
        <v>6922</v>
      </c>
      <c r="B1485" s="284" t="s">
        <v>6922</v>
      </c>
      <c r="C1485" s="275" t="s">
        <v>6935</v>
      </c>
      <c r="D1485" s="276">
        <v>0.8</v>
      </c>
      <c r="E1485" s="277">
        <v>3</v>
      </c>
      <c r="F1485" s="1035"/>
      <c r="G1485" s="401">
        <f t="shared" si="6"/>
        <v>2160000</v>
      </c>
      <c r="H1485" s="284" t="s">
        <v>125</v>
      </c>
      <c r="I1485" s="1035"/>
      <c r="J1485" s="644">
        <v>3600000</v>
      </c>
    </row>
    <row r="1486" spans="1:10">
      <c r="A1486" s="638" t="s">
        <v>6922</v>
      </c>
      <c r="B1486" s="284" t="s">
        <v>6922</v>
      </c>
      <c r="C1486" s="275" t="s">
        <v>6936</v>
      </c>
      <c r="D1486" s="276">
        <v>0.4</v>
      </c>
      <c r="E1486" s="277">
        <v>3</v>
      </c>
      <c r="F1486" s="1035"/>
      <c r="G1486" s="401">
        <f t="shared" si="6"/>
        <v>1080000</v>
      </c>
      <c r="H1486" s="284" t="s">
        <v>125</v>
      </c>
      <c r="I1486" s="1035"/>
      <c r="J1486" s="644">
        <v>1800000</v>
      </c>
    </row>
    <row r="1487" spans="1:10">
      <c r="A1487" s="638" t="s">
        <v>6922</v>
      </c>
      <c r="B1487" s="284" t="s">
        <v>6922</v>
      </c>
      <c r="C1487" s="275" t="s">
        <v>6937</v>
      </c>
      <c r="D1487" s="276">
        <v>0.3</v>
      </c>
      <c r="E1487" s="277">
        <v>4</v>
      </c>
      <c r="F1487" s="1035"/>
      <c r="G1487" s="401">
        <f t="shared" si="6"/>
        <v>1080000</v>
      </c>
      <c r="H1487" s="284" t="s">
        <v>125</v>
      </c>
      <c r="I1487" s="1035"/>
      <c r="J1487" s="644">
        <v>1800000</v>
      </c>
    </row>
    <row r="1488" spans="1:10">
      <c r="A1488" s="638" t="s">
        <v>6922</v>
      </c>
      <c r="B1488" s="284" t="s">
        <v>6922</v>
      </c>
      <c r="C1488" s="275" t="s">
        <v>6938</v>
      </c>
      <c r="D1488" s="276">
        <v>0.3</v>
      </c>
      <c r="E1488" s="277">
        <v>4</v>
      </c>
      <c r="F1488" s="1035"/>
      <c r="G1488" s="401">
        <f t="shared" si="6"/>
        <v>1080000</v>
      </c>
      <c r="H1488" s="284" t="s">
        <v>125</v>
      </c>
      <c r="I1488" s="1035"/>
      <c r="J1488" s="644">
        <v>1800000</v>
      </c>
    </row>
    <row r="1489" spans="1:10">
      <c r="A1489" s="638" t="s">
        <v>6922</v>
      </c>
      <c r="B1489" s="284" t="s">
        <v>6922</v>
      </c>
      <c r="C1489" s="275" t="s">
        <v>6939</v>
      </c>
      <c r="D1489" s="276">
        <v>0.2</v>
      </c>
      <c r="E1489" s="277">
        <v>3</v>
      </c>
      <c r="F1489" s="1035"/>
      <c r="G1489" s="401">
        <f t="shared" si="6"/>
        <v>540000</v>
      </c>
      <c r="H1489" s="284" t="s">
        <v>125</v>
      </c>
      <c r="I1489" s="1035"/>
      <c r="J1489" s="644">
        <v>900000</v>
      </c>
    </row>
    <row r="1490" spans="1:10">
      <c r="A1490" s="638" t="s">
        <v>6922</v>
      </c>
      <c r="B1490" s="284" t="s">
        <v>6922</v>
      </c>
      <c r="C1490" s="275" t="s">
        <v>6940</v>
      </c>
      <c r="D1490" s="276">
        <v>0.8</v>
      </c>
      <c r="E1490" s="277">
        <v>3</v>
      </c>
      <c r="F1490" s="1035"/>
      <c r="G1490" s="401">
        <f t="shared" si="6"/>
        <v>2160000</v>
      </c>
      <c r="H1490" s="284" t="s">
        <v>125</v>
      </c>
      <c r="I1490" s="1035"/>
      <c r="J1490" s="644">
        <v>3600000</v>
      </c>
    </row>
    <row r="1491" spans="1:10">
      <c r="A1491" s="638" t="s">
        <v>6922</v>
      </c>
      <c r="B1491" s="284" t="s">
        <v>6922</v>
      </c>
      <c r="C1491" s="275" t="s">
        <v>6941</v>
      </c>
      <c r="D1491" s="276">
        <v>1.7</v>
      </c>
      <c r="E1491" s="277">
        <v>4</v>
      </c>
      <c r="F1491" s="1035"/>
      <c r="G1491" s="401">
        <f t="shared" si="6"/>
        <v>6120000</v>
      </c>
      <c r="H1491" s="284" t="s">
        <v>125</v>
      </c>
      <c r="I1491" s="1035"/>
      <c r="J1491" s="644">
        <v>10200000</v>
      </c>
    </row>
    <row r="1492" spans="1:10">
      <c r="A1492" s="638" t="s">
        <v>6922</v>
      </c>
      <c r="B1492" s="284" t="s">
        <v>6922</v>
      </c>
      <c r="C1492" s="275" t="s">
        <v>6942</v>
      </c>
      <c r="D1492" s="276">
        <v>0.4</v>
      </c>
      <c r="E1492" s="277">
        <v>3</v>
      </c>
      <c r="F1492" s="1035"/>
      <c r="G1492" s="401">
        <f t="shared" si="6"/>
        <v>1080000</v>
      </c>
      <c r="H1492" s="284" t="s">
        <v>125</v>
      </c>
      <c r="I1492" s="1035"/>
      <c r="J1492" s="644">
        <v>1800000</v>
      </c>
    </row>
    <row r="1493" spans="1:10">
      <c r="A1493" s="638" t="s">
        <v>6922</v>
      </c>
      <c r="B1493" s="284" t="s">
        <v>6922</v>
      </c>
      <c r="C1493" s="275" t="s">
        <v>6943</v>
      </c>
      <c r="D1493" s="276">
        <v>0.4</v>
      </c>
      <c r="E1493" s="277">
        <v>3</v>
      </c>
      <c r="F1493" s="1035"/>
      <c r="G1493" s="401">
        <f t="shared" si="6"/>
        <v>1080000</v>
      </c>
      <c r="H1493" s="284" t="s">
        <v>125</v>
      </c>
      <c r="I1493" s="1035"/>
      <c r="J1493" s="644">
        <v>1800000</v>
      </c>
    </row>
    <row r="1494" spans="1:10">
      <c r="A1494" s="638" t="s">
        <v>6922</v>
      </c>
      <c r="B1494" s="284" t="s">
        <v>6922</v>
      </c>
      <c r="C1494" s="275" t="s">
        <v>6944</v>
      </c>
      <c r="D1494" s="276">
        <v>0.6</v>
      </c>
      <c r="E1494" s="277">
        <v>3</v>
      </c>
      <c r="F1494" s="1035"/>
      <c r="G1494" s="401">
        <f t="shared" si="6"/>
        <v>1620000</v>
      </c>
      <c r="H1494" s="284" t="s">
        <v>125</v>
      </c>
      <c r="I1494" s="1035"/>
      <c r="J1494" s="644">
        <v>2700000</v>
      </c>
    </row>
    <row r="1495" spans="1:10">
      <c r="A1495" s="638" t="s">
        <v>6945</v>
      </c>
      <c r="B1495" s="284" t="s">
        <v>6945</v>
      </c>
      <c r="C1495" s="275" t="s">
        <v>6946</v>
      </c>
      <c r="D1495" s="276">
        <v>10.818</v>
      </c>
      <c r="E1495" s="277">
        <v>4</v>
      </c>
      <c r="F1495" s="1035" t="s">
        <v>6637</v>
      </c>
      <c r="G1495" s="401">
        <f t="shared" si="6"/>
        <v>38944799.999999993</v>
      </c>
      <c r="H1495" s="284" t="s">
        <v>125</v>
      </c>
      <c r="I1495" s="1035" t="s">
        <v>6638</v>
      </c>
      <c r="J1495" s="644">
        <v>64907999.999999993</v>
      </c>
    </row>
    <row r="1496" spans="1:10">
      <c r="A1496" s="638" t="s">
        <v>6945</v>
      </c>
      <c r="B1496" s="284" t="s">
        <v>6945</v>
      </c>
      <c r="C1496" s="275" t="s">
        <v>6947</v>
      </c>
      <c r="D1496" s="276">
        <v>3.65</v>
      </c>
      <c r="E1496" s="277">
        <v>4</v>
      </c>
      <c r="F1496" s="1035"/>
      <c r="G1496" s="401">
        <f t="shared" si="6"/>
        <v>13140000</v>
      </c>
      <c r="H1496" s="284" t="s">
        <v>125</v>
      </c>
      <c r="I1496" s="1035"/>
      <c r="J1496" s="644">
        <v>21900000</v>
      </c>
    </row>
    <row r="1497" spans="1:10">
      <c r="A1497" s="638" t="s">
        <v>6945</v>
      </c>
      <c r="B1497" s="284" t="s">
        <v>6945</v>
      </c>
      <c r="C1497" s="275" t="s">
        <v>6948</v>
      </c>
      <c r="D1497" s="276">
        <v>9.6</v>
      </c>
      <c r="E1497" s="277">
        <v>4</v>
      </c>
      <c r="F1497" s="1035"/>
      <c r="G1497" s="401">
        <f t="shared" si="6"/>
        <v>34560000</v>
      </c>
      <c r="H1497" s="284" t="s">
        <v>125</v>
      </c>
      <c r="I1497" s="1035"/>
      <c r="J1497" s="644">
        <v>57600000</v>
      </c>
    </row>
    <row r="1498" spans="1:10">
      <c r="A1498" s="638" t="s">
        <v>6945</v>
      </c>
      <c r="B1498" s="284" t="s">
        <v>6945</v>
      </c>
      <c r="C1498" s="275" t="s">
        <v>6949</v>
      </c>
      <c r="D1498" s="276">
        <v>8.3000000000000007</v>
      </c>
      <c r="E1498" s="277">
        <v>3.5</v>
      </c>
      <c r="F1498" s="1035"/>
      <c r="G1498" s="401">
        <f t="shared" si="6"/>
        <v>26145000</v>
      </c>
      <c r="H1498" s="284" t="s">
        <v>125</v>
      </c>
      <c r="I1498" s="1035"/>
      <c r="J1498" s="644">
        <v>43575000</v>
      </c>
    </row>
    <row r="1499" spans="1:10">
      <c r="A1499" s="638" t="s">
        <v>6945</v>
      </c>
      <c r="B1499" s="284" t="s">
        <v>6945</v>
      </c>
      <c r="C1499" s="275" t="s">
        <v>6950</v>
      </c>
      <c r="D1499" s="276">
        <v>0.3</v>
      </c>
      <c r="E1499" s="277">
        <v>3</v>
      </c>
      <c r="F1499" s="1035"/>
      <c r="G1499" s="401">
        <f t="shared" si="6"/>
        <v>810000</v>
      </c>
      <c r="H1499" s="284" t="s">
        <v>125</v>
      </c>
      <c r="I1499" s="1035"/>
      <c r="J1499" s="644">
        <v>1350000</v>
      </c>
    </row>
    <row r="1500" spans="1:10">
      <c r="A1500" s="638" t="s">
        <v>6945</v>
      </c>
      <c r="B1500" s="284" t="s">
        <v>6945</v>
      </c>
      <c r="C1500" s="275" t="s">
        <v>6951</v>
      </c>
      <c r="D1500" s="276">
        <v>2.9</v>
      </c>
      <c r="E1500" s="277">
        <v>3</v>
      </c>
      <c r="F1500" s="1035"/>
      <c r="G1500" s="401">
        <f t="shared" si="6"/>
        <v>7830000</v>
      </c>
      <c r="H1500" s="284" t="s">
        <v>125</v>
      </c>
      <c r="I1500" s="1035"/>
      <c r="J1500" s="644">
        <v>13050000</v>
      </c>
    </row>
    <row r="1501" spans="1:10">
      <c r="A1501" s="638" t="s">
        <v>6945</v>
      </c>
      <c r="B1501" s="284" t="s">
        <v>6945</v>
      </c>
      <c r="C1501" s="275" t="s">
        <v>6952</v>
      </c>
      <c r="D1501" s="276">
        <v>0.3</v>
      </c>
      <c r="E1501" s="277">
        <v>3</v>
      </c>
      <c r="F1501" s="1035"/>
      <c r="G1501" s="401">
        <f t="shared" si="6"/>
        <v>810000</v>
      </c>
      <c r="H1501" s="284" t="s">
        <v>125</v>
      </c>
      <c r="I1501" s="1035"/>
      <c r="J1501" s="644">
        <v>1350000</v>
      </c>
    </row>
    <row r="1502" spans="1:10">
      <c r="A1502" s="638" t="s">
        <v>6945</v>
      </c>
      <c r="B1502" s="284" t="s">
        <v>6945</v>
      </c>
      <c r="C1502" s="275" t="s">
        <v>6953</v>
      </c>
      <c r="D1502" s="276">
        <v>2.5</v>
      </c>
      <c r="E1502" s="277">
        <v>3</v>
      </c>
      <c r="F1502" s="1035"/>
      <c r="G1502" s="401">
        <f t="shared" si="6"/>
        <v>6750000</v>
      </c>
      <c r="H1502" s="284" t="s">
        <v>125</v>
      </c>
      <c r="I1502" s="1035"/>
      <c r="J1502" s="644">
        <v>11250000</v>
      </c>
    </row>
    <row r="1503" spans="1:10">
      <c r="A1503" s="638" t="s">
        <v>6945</v>
      </c>
      <c r="B1503" s="284" t="s">
        <v>6945</v>
      </c>
      <c r="C1503" s="275" t="s">
        <v>6954</v>
      </c>
      <c r="D1503" s="276">
        <v>0.4</v>
      </c>
      <c r="E1503" s="277">
        <v>3</v>
      </c>
      <c r="F1503" s="1035"/>
      <c r="G1503" s="401">
        <f t="shared" si="6"/>
        <v>1080000</v>
      </c>
      <c r="H1503" s="284" t="s">
        <v>125</v>
      </c>
      <c r="I1503" s="1035"/>
      <c r="J1503" s="644">
        <v>1800000</v>
      </c>
    </row>
    <row r="1504" spans="1:10">
      <c r="A1504" s="638" t="s">
        <v>6945</v>
      </c>
      <c r="B1504" s="284" t="s">
        <v>6945</v>
      </c>
      <c r="C1504" s="275" t="s">
        <v>6955</v>
      </c>
      <c r="D1504" s="276">
        <v>3</v>
      </c>
      <c r="E1504" s="277">
        <v>3</v>
      </c>
      <c r="F1504" s="1035"/>
      <c r="G1504" s="401">
        <f t="shared" si="6"/>
        <v>8100000</v>
      </c>
      <c r="H1504" s="284" t="s">
        <v>125</v>
      </c>
      <c r="I1504" s="1035"/>
      <c r="J1504" s="644">
        <v>13500000</v>
      </c>
    </row>
    <row r="1505" spans="1:10">
      <c r="A1505" s="638" t="s">
        <v>6945</v>
      </c>
      <c r="B1505" s="284" t="s">
        <v>6945</v>
      </c>
      <c r="C1505" s="275" t="s">
        <v>6956</v>
      </c>
      <c r="D1505" s="276">
        <v>1.9</v>
      </c>
      <c r="E1505" s="277">
        <v>3</v>
      </c>
      <c r="F1505" s="1035"/>
      <c r="G1505" s="401">
        <f t="shared" si="6"/>
        <v>5130000</v>
      </c>
      <c r="H1505" s="284" t="s">
        <v>125</v>
      </c>
      <c r="I1505" s="1035"/>
      <c r="J1505" s="644">
        <v>8550000</v>
      </c>
    </row>
    <row r="1506" spans="1:10">
      <c r="A1506" s="638" t="s">
        <v>6945</v>
      </c>
      <c r="B1506" s="284" t="s">
        <v>6945</v>
      </c>
      <c r="C1506" s="275" t="s">
        <v>6957</v>
      </c>
      <c r="D1506" s="276">
        <v>3.5</v>
      </c>
      <c r="E1506" s="277">
        <v>3</v>
      </c>
      <c r="F1506" s="1035" t="s">
        <v>6637</v>
      </c>
      <c r="G1506" s="401">
        <f t="shared" si="6"/>
        <v>9450000</v>
      </c>
      <c r="H1506" s="284" t="s">
        <v>125</v>
      </c>
      <c r="I1506" s="1035" t="s">
        <v>6638</v>
      </c>
      <c r="J1506" s="644">
        <v>15750000</v>
      </c>
    </row>
    <row r="1507" spans="1:10">
      <c r="A1507" s="638" t="s">
        <v>6945</v>
      </c>
      <c r="B1507" s="284" t="s">
        <v>6945</v>
      </c>
      <c r="C1507" s="275" t="s">
        <v>6958</v>
      </c>
      <c r="D1507" s="276">
        <v>0.8</v>
      </c>
      <c r="E1507" s="277">
        <v>3</v>
      </c>
      <c r="F1507" s="1035"/>
      <c r="G1507" s="401">
        <f t="shared" si="6"/>
        <v>2160000</v>
      </c>
      <c r="H1507" s="284" t="s">
        <v>125</v>
      </c>
      <c r="I1507" s="1035"/>
      <c r="J1507" s="644">
        <v>3600000</v>
      </c>
    </row>
    <row r="1508" spans="1:10">
      <c r="A1508" s="638" t="s">
        <v>6945</v>
      </c>
      <c r="B1508" s="284" t="s">
        <v>6945</v>
      </c>
      <c r="C1508" s="275" t="s">
        <v>6959</v>
      </c>
      <c r="D1508" s="276">
        <v>0.5</v>
      </c>
      <c r="E1508" s="277">
        <v>3</v>
      </c>
      <c r="F1508" s="1035"/>
      <c r="G1508" s="401">
        <f t="shared" si="6"/>
        <v>1350000</v>
      </c>
      <c r="H1508" s="284" t="s">
        <v>125</v>
      </c>
      <c r="I1508" s="1035"/>
      <c r="J1508" s="644">
        <v>2250000</v>
      </c>
    </row>
    <row r="1509" spans="1:10">
      <c r="A1509" s="638" t="s">
        <v>6945</v>
      </c>
      <c r="B1509" s="284" t="s">
        <v>6945</v>
      </c>
      <c r="C1509" s="275" t="s">
        <v>6960</v>
      </c>
      <c r="D1509" s="276">
        <v>3.8</v>
      </c>
      <c r="E1509" s="277">
        <v>3</v>
      </c>
      <c r="F1509" s="1035"/>
      <c r="G1509" s="401">
        <f t="shared" si="6"/>
        <v>10260000</v>
      </c>
      <c r="H1509" s="284" t="s">
        <v>125</v>
      </c>
      <c r="I1509" s="1035"/>
      <c r="J1509" s="644">
        <v>17100000</v>
      </c>
    </row>
    <row r="1510" spans="1:10">
      <c r="A1510" s="638" t="s">
        <v>6945</v>
      </c>
      <c r="B1510" s="284" t="s">
        <v>6945</v>
      </c>
      <c r="C1510" s="275" t="s">
        <v>6961</v>
      </c>
      <c r="D1510" s="276">
        <v>2.4</v>
      </c>
      <c r="E1510" s="277">
        <v>3</v>
      </c>
      <c r="F1510" s="1035"/>
      <c r="G1510" s="401">
        <f t="shared" si="6"/>
        <v>6480000</v>
      </c>
      <c r="H1510" s="284" t="s">
        <v>125</v>
      </c>
      <c r="I1510" s="1035"/>
      <c r="J1510" s="644">
        <v>10800000</v>
      </c>
    </row>
    <row r="1511" spans="1:10">
      <c r="A1511" s="638" t="s">
        <v>6945</v>
      </c>
      <c r="B1511" s="284" t="s">
        <v>6945</v>
      </c>
      <c r="C1511" s="275" t="s">
        <v>6962</v>
      </c>
      <c r="D1511" s="276">
        <v>1.5</v>
      </c>
      <c r="E1511" s="277">
        <v>3</v>
      </c>
      <c r="F1511" s="1035"/>
      <c r="G1511" s="401">
        <f t="shared" si="6"/>
        <v>4050000</v>
      </c>
      <c r="H1511" s="284" t="s">
        <v>125</v>
      </c>
      <c r="I1511" s="1035"/>
      <c r="J1511" s="644">
        <v>6750000</v>
      </c>
    </row>
    <row r="1512" spans="1:10">
      <c r="A1512" s="638" t="s">
        <v>6945</v>
      </c>
      <c r="B1512" s="284" t="s">
        <v>6945</v>
      </c>
      <c r="C1512" s="275" t="s">
        <v>6962</v>
      </c>
      <c r="D1512" s="276">
        <v>1.5</v>
      </c>
      <c r="E1512" s="277">
        <v>3</v>
      </c>
      <c r="F1512" s="1035"/>
      <c r="G1512" s="401">
        <f t="shared" si="6"/>
        <v>4050000</v>
      </c>
      <c r="H1512" s="284" t="s">
        <v>125</v>
      </c>
      <c r="I1512" s="1035"/>
      <c r="J1512" s="644">
        <v>6750000</v>
      </c>
    </row>
    <row r="1513" spans="1:10">
      <c r="A1513" s="638" t="s">
        <v>6945</v>
      </c>
      <c r="B1513" s="284" t="s">
        <v>6945</v>
      </c>
      <c r="C1513" s="275" t="s">
        <v>6963</v>
      </c>
      <c r="D1513" s="276">
        <v>1.8</v>
      </c>
      <c r="E1513" s="277">
        <v>3</v>
      </c>
      <c r="F1513" s="1035"/>
      <c r="G1513" s="401">
        <f t="shared" si="6"/>
        <v>4860000</v>
      </c>
      <c r="H1513" s="284" t="s">
        <v>125</v>
      </c>
      <c r="I1513" s="1035"/>
      <c r="J1513" s="644">
        <v>8100000</v>
      </c>
    </row>
    <row r="1514" spans="1:10">
      <c r="A1514" s="638" t="s">
        <v>6945</v>
      </c>
      <c r="B1514" s="284" t="s">
        <v>6945</v>
      </c>
      <c r="C1514" s="275" t="s">
        <v>6964</v>
      </c>
      <c r="D1514" s="276">
        <v>0.3</v>
      </c>
      <c r="E1514" s="277">
        <v>3</v>
      </c>
      <c r="F1514" s="1035"/>
      <c r="G1514" s="401">
        <f t="shared" si="6"/>
        <v>810000</v>
      </c>
      <c r="H1514" s="284" t="s">
        <v>125</v>
      </c>
      <c r="I1514" s="1035"/>
      <c r="J1514" s="644">
        <v>1350000</v>
      </c>
    </row>
    <row r="1515" spans="1:10">
      <c r="A1515" s="638" t="s">
        <v>6945</v>
      </c>
      <c r="B1515" s="284" t="s">
        <v>6945</v>
      </c>
      <c r="C1515" s="275" t="s">
        <v>6965</v>
      </c>
      <c r="D1515" s="276">
        <v>1.1000000000000001</v>
      </c>
      <c r="E1515" s="277">
        <v>4</v>
      </c>
      <c r="F1515" s="1035"/>
      <c r="G1515" s="401">
        <f t="shared" si="6"/>
        <v>3960000</v>
      </c>
      <c r="H1515" s="284" t="s">
        <v>125</v>
      </c>
      <c r="I1515" s="1035"/>
      <c r="J1515" s="644">
        <v>6600000</v>
      </c>
    </row>
    <row r="1516" spans="1:10">
      <c r="A1516" s="638" t="s">
        <v>6945</v>
      </c>
      <c r="B1516" s="284" t="s">
        <v>6945</v>
      </c>
      <c r="C1516" s="275" t="s">
        <v>6966</v>
      </c>
      <c r="D1516" s="276">
        <v>1.4</v>
      </c>
      <c r="E1516" s="277">
        <v>3.5</v>
      </c>
      <c r="F1516" s="1035"/>
      <c r="G1516" s="401">
        <f t="shared" si="6"/>
        <v>4410000</v>
      </c>
      <c r="H1516" s="284" t="s">
        <v>125</v>
      </c>
      <c r="I1516" s="1035"/>
      <c r="J1516" s="644">
        <v>7350000</v>
      </c>
    </row>
    <row r="1517" spans="1:10">
      <c r="A1517" s="638" t="s">
        <v>6945</v>
      </c>
      <c r="B1517" s="284" t="s">
        <v>6945</v>
      </c>
      <c r="C1517" s="275" t="s">
        <v>6967</v>
      </c>
      <c r="D1517" s="276">
        <v>2.4</v>
      </c>
      <c r="E1517" s="277">
        <v>3</v>
      </c>
      <c r="F1517" s="1035"/>
      <c r="G1517" s="401">
        <f t="shared" si="6"/>
        <v>6480000</v>
      </c>
      <c r="H1517" s="284" t="s">
        <v>125</v>
      </c>
      <c r="I1517" s="1035"/>
      <c r="J1517" s="644">
        <v>10800000</v>
      </c>
    </row>
    <row r="1518" spans="1:10">
      <c r="A1518" s="638" t="s">
        <v>6945</v>
      </c>
      <c r="B1518" s="284" t="s">
        <v>6945</v>
      </c>
      <c r="C1518" s="275" t="s">
        <v>6968</v>
      </c>
      <c r="D1518" s="276">
        <v>0.6</v>
      </c>
      <c r="E1518" s="277">
        <v>3</v>
      </c>
      <c r="F1518" s="1035"/>
      <c r="G1518" s="401">
        <f t="shared" si="6"/>
        <v>1620000</v>
      </c>
      <c r="H1518" s="284" t="s">
        <v>125</v>
      </c>
      <c r="I1518" s="1035"/>
      <c r="J1518" s="644">
        <v>2700000</v>
      </c>
    </row>
    <row r="1519" spans="1:10">
      <c r="A1519" s="638" t="s">
        <v>6945</v>
      </c>
      <c r="B1519" s="284" t="s">
        <v>6945</v>
      </c>
      <c r="C1519" s="275" t="s">
        <v>6969</v>
      </c>
      <c r="D1519" s="276">
        <v>1.2</v>
      </c>
      <c r="E1519" s="277">
        <v>6.4</v>
      </c>
      <c r="F1519" s="1035"/>
      <c r="G1519" s="401">
        <f t="shared" si="6"/>
        <v>6911999.9999999991</v>
      </c>
      <c r="H1519" s="284" t="s">
        <v>125</v>
      </c>
      <c r="I1519" s="1035"/>
      <c r="J1519" s="644">
        <v>11519999.999999998</v>
      </c>
    </row>
    <row r="1520" spans="1:10">
      <c r="A1520" s="638" t="s">
        <v>6945</v>
      </c>
      <c r="B1520" s="284" t="s">
        <v>6945</v>
      </c>
      <c r="C1520" s="275" t="s">
        <v>6970</v>
      </c>
      <c r="D1520" s="276">
        <v>0.2</v>
      </c>
      <c r="E1520" s="277">
        <v>3</v>
      </c>
      <c r="F1520" s="1035"/>
      <c r="G1520" s="401">
        <f t="shared" si="6"/>
        <v>540000</v>
      </c>
      <c r="H1520" s="284" t="s">
        <v>125</v>
      </c>
      <c r="I1520" s="1035"/>
      <c r="J1520" s="644">
        <v>900000</v>
      </c>
    </row>
    <row r="1521" spans="1:10">
      <c r="A1521" s="638" t="s">
        <v>6945</v>
      </c>
      <c r="B1521" s="284" t="s">
        <v>6945</v>
      </c>
      <c r="C1521" s="275" t="s">
        <v>6971</v>
      </c>
      <c r="D1521" s="276">
        <v>1.4</v>
      </c>
      <c r="E1521" s="277">
        <v>2.5</v>
      </c>
      <c r="F1521" s="1035"/>
      <c r="G1521" s="401">
        <f t="shared" si="6"/>
        <v>3150000</v>
      </c>
      <c r="H1521" s="284" t="s">
        <v>125</v>
      </c>
      <c r="I1521" s="1035"/>
      <c r="J1521" s="644">
        <v>5250000</v>
      </c>
    </row>
    <row r="1522" spans="1:10">
      <c r="A1522" s="638" t="s">
        <v>6945</v>
      </c>
      <c r="B1522" s="284" t="s">
        <v>6945</v>
      </c>
      <c r="C1522" s="275" t="s">
        <v>6972</v>
      </c>
      <c r="D1522" s="276">
        <v>0.6</v>
      </c>
      <c r="E1522" s="277">
        <v>2.5</v>
      </c>
      <c r="F1522" s="1035"/>
      <c r="G1522" s="401">
        <f t="shared" si="6"/>
        <v>1350000</v>
      </c>
      <c r="H1522" s="284" t="s">
        <v>125</v>
      </c>
      <c r="I1522" s="1035"/>
      <c r="J1522" s="644">
        <v>2250000</v>
      </c>
    </row>
    <row r="1523" spans="1:10">
      <c r="A1523" s="638" t="s">
        <v>6945</v>
      </c>
      <c r="B1523" s="284" t="s">
        <v>6945</v>
      </c>
      <c r="C1523" s="275" t="s">
        <v>6973</v>
      </c>
      <c r="D1523" s="276">
        <v>0.8</v>
      </c>
      <c r="E1523" s="277">
        <v>2.5</v>
      </c>
      <c r="F1523" s="1035"/>
      <c r="G1523" s="401">
        <f t="shared" si="6"/>
        <v>1800000</v>
      </c>
      <c r="H1523" s="284" t="s">
        <v>125</v>
      </c>
      <c r="I1523" s="1035"/>
      <c r="J1523" s="644">
        <v>3000000</v>
      </c>
    </row>
    <row r="1524" spans="1:10">
      <c r="A1524" s="638" t="s">
        <v>6974</v>
      </c>
      <c r="B1524" s="284" t="s">
        <v>6974</v>
      </c>
      <c r="C1524" s="275" t="s">
        <v>6975</v>
      </c>
      <c r="D1524" s="276">
        <v>4.5</v>
      </c>
      <c r="E1524" s="277">
        <v>4</v>
      </c>
      <c r="F1524" s="1035" t="s">
        <v>6637</v>
      </c>
      <c r="G1524" s="401">
        <f t="shared" si="6"/>
        <v>16200000</v>
      </c>
      <c r="H1524" s="284" t="s">
        <v>125</v>
      </c>
      <c r="I1524" s="1035" t="s">
        <v>6976</v>
      </c>
      <c r="J1524" s="644">
        <v>27000000</v>
      </c>
    </row>
    <row r="1525" spans="1:10">
      <c r="A1525" s="638" t="s">
        <v>6974</v>
      </c>
      <c r="B1525" s="284" t="s">
        <v>6974</v>
      </c>
      <c r="C1525" s="275" t="s">
        <v>6977</v>
      </c>
      <c r="D1525" s="276">
        <v>0.85</v>
      </c>
      <c r="E1525" s="277">
        <v>3</v>
      </c>
      <c r="F1525" s="1035"/>
      <c r="G1525" s="401">
        <f t="shared" si="6"/>
        <v>2295000</v>
      </c>
      <c r="H1525" s="284" t="s">
        <v>125</v>
      </c>
      <c r="I1525" s="1035"/>
      <c r="J1525" s="644">
        <v>3825000</v>
      </c>
    </row>
    <row r="1526" spans="1:10">
      <c r="A1526" s="638" t="s">
        <v>6974</v>
      </c>
      <c r="B1526" s="284" t="s">
        <v>6974</v>
      </c>
      <c r="C1526" s="275" t="s">
        <v>6978</v>
      </c>
      <c r="D1526" s="276">
        <v>2.4250000000000003</v>
      </c>
      <c r="E1526" s="277">
        <v>5</v>
      </c>
      <c r="F1526" s="1035"/>
      <c r="G1526" s="401">
        <f t="shared" si="6"/>
        <v>10912500.000000002</v>
      </c>
      <c r="H1526" s="284" t="s">
        <v>125</v>
      </c>
      <c r="I1526" s="1035"/>
      <c r="J1526" s="644">
        <v>18187500.000000004</v>
      </c>
    </row>
    <row r="1527" spans="1:10">
      <c r="A1527" s="638" t="s">
        <v>6974</v>
      </c>
      <c r="B1527" s="284" t="s">
        <v>6974</v>
      </c>
      <c r="C1527" s="275" t="s">
        <v>6979</v>
      </c>
      <c r="D1527" s="276">
        <v>5.0999999999999996</v>
      </c>
      <c r="E1527" s="277">
        <v>4</v>
      </c>
      <c r="F1527" s="1035"/>
      <c r="G1527" s="401">
        <f t="shared" si="6"/>
        <v>18360000</v>
      </c>
      <c r="H1527" s="284" t="s">
        <v>125</v>
      </c>
      <c r="I1527" s="1035"/>
      <c r="J1527" s="644">
        <v>30600000</v>
      </c>
    </row>
    <row r="1528" spans="1:10">
      <c r="A1528" s="638" t="s">
        <v>6974</v>
      </c>
      <c r="B1528" s="284" t="s">
        <v>6974</v>
      </c>
      <c r="C1528" s="275" t="s">
        <v>6980</v>
      </c>
      <c r="D1528" s="276">
        <v>9.8000000000000007</v>
      </c>
      <c r="E1528" s="277">
        <v>4</v>
      </c>
      <c r="F1528" s="1035"/>
      <c r="G1528" s="401">
        <f t="shared" si="6"/>
        <v>35280000</v>
      </c>
      <c r="H1528" s="284" t="s">
        <v>125</v>
      </c>
      <c r="I1528" s="1035"/>
      <c r="J1528" s="644">
        <v>58800000</v>
      </c>
    </row>
    <row r="1529" spans="1:10">
      <c r="A1529" s="638" t="s">
        <v>6974</v>
      </c>
      <c r="B1529" s="284" t="s">
        <v>6974</v>
      </c>
      <c r="C1529" s="275" t="s">
        <v>6981</v>
      </c>
      <c r="D1529" s="276">
        <v>2.1</v>
      </c>
      <c r="E1529" s="277">
        <v>3</v>
      </c>
      <c r="F1529" s="1035"/>
      <c r="G1529" s="401">
        <f t="shared" si="6"/>
        <v>5670000</v>
      </c>
      <c r="H1529" s="284" t="s">
        <v>125</v>
      </c>
      <c r="I1529" s="1035"/>
      <c r="J1529" s="644">
        <v>9450000</v>
      </c>
    </row>
    <row r="1530" spans="1:10">
      <c r="A1530" s="638" t="s">
        <v>6974</v>
      </c>
      <c r="B1530" s="284" t="s">
        <v>6974</v>
      </c>
      <c r="C1530" s="275" t="s">
        <v>6982</v>
      </c>
      <c r="D1530" s="276">
        <v>3.3</v>
      </c>
      <c r="E1530" s="277">
        <v>3</v>
      </c>
      <c r="F1530" s="1035"/>
      <c r="G1530" s="401">
        <f t="shared" si="6"/>
        <v>8910000</v>
      </c>
      <c r="H1530" s="284" t="s">
        <v>125</v>
      </c>
      <c r="I1530" s="1035"/>
      <c r="J1530" s="644">
        <v>14850000</v>
      </c>
    </row>
    <row r="1531" spans="1:10">
      <c r="A1531" s="638" t="s">
        <v>6974</v>
      </c>
      <c r="B1531" s="284" t="s">
        <v>6974</v>
      </c>
      <c r="C1531" s="275" t="s">
        <v>6983</v>
      </c>
      <c r="D1531" s="276">
        <v>4.5</v>
      </c>
      <c r="E1531" s="277">
        <v>3</v>
      </c>
      <c r="F1531" s="1035" t="s">
        <v>6637</v>
      </c>
      <c r="G1531" s="401">
        <f t="shared" si="6"/>
        <v>12150000</v>
      </c>
      <c r="H1531" s="284" t="s">
        <v>125</v>
      </c>
      <c r="I1531" s="1035" t="s">
        <v>6638</v>
      </c>
      <c r="J1531" s="644">
        <v>20250000</v>
      </c>
    </row>
    <row r="1532" spans="1:10">
      <c r="A1532" s="638" t="s">
        <v>6974</v>
      </c>
      <c r="B1532" s="284" t="s">
        <v>6974</v>
      </c>
      <c r="C1532" s="275" t="s">
        <v>6984</v>
      </c>
      <c r="D1532" s="276">
        <v>0.3</v>
      </c>
      <c r="E1532" s="277">
        <v>3</v>
      </c>
      <c r="F1532" s="1035"/>
      <c r="G1532" s="401">
        <f t="shared" si="6"/>
        <v>810000</v>
      </c>
      <c r="H1532" s="284" t="s">
        <v>125</v>
      </c>
      <c r="I1532" s="1035"/>
      <c r="J1532" s="644">
        <v>1350000</v>
      </c>
    </row>
    <row r="1533" spans="1:10">
      <c r="A1533" s="638" t="s">
        <v>6974</v>
      </c>
      <c r="B1533" s="284" t="s">
        <v>6974</v>
      </c>
      <c r="C1533" s="284" t="s">
        <v>6985</v>
      </c>
      <c r="D1533" s="276">
        <v>0.8</v>
      </c>
      <c r="E1533" s="277">
        <v>3</v>
      </c>
      <c r="F1533" s="1035"/>
      <c r="G1533" s="401">
        <f t="shared" si="6"/>
        <v>2160000</v>
      </c>
      <c r="H1533" s="284" t="s">
        <v>125</v>
      </c>
      <c r="I1533" s="1035"/>
      <c r="J1533" s="644">
        <v>3600000</v>
      </c>
    </row>
    <row r="1534" spans="1:10">
      <c r="A1534" s="638" t="s">
        <v>6974</v>
      </c>
      <c r="B1534" s="284" t="s">
        <v>6974</v>
      </c>
      <c r="C1534" s="275" t="s">
        <v>6986</v>
      </c>
      <c r="D1534" s="276">
        <v>1.4</v>
      </c>
      <c r="E1534" s="277">
        <v>3</v>
      </c>
      <c r="F1534" s="1035"/>
      <c r="G1534" s="401">
        <f t="shared" si="6"/>
        <v>3780000</v>
      </c>
      <c r="H1534" s="284" t="s">
        <v>125</v>
      </c>
      <c r="I1534" s="1035"/>
      <c r="J1534" s="644">
        <v>6300000</v>
      </c>
    </row>
    <row r="1535" spans="1:10">
      <c r="A1535" s="638" t="s">
        <v>6974</v>
      </c>
      <c r="B1535" s="284" t="s">
        <v>6974</v>
      </c>
      <c r="C1535" s="275" t="s">
        <v>6987</v>
      </c>
      <c r="D1535" s="276">
        <v>3.7</v>
      </c>
      <c r="E1535" s="277">
        <v>3</v>
      </c>
      <c r="F1535" s="1035"/>
      <c r="G1535" s="401">
        <f t="shared" ref="G1535:G1598" si="7">J1535*0.6</f>
        <v>9990000</v>
      </c>
      <c r="H1535" s="284" t="s">
        <v>125</v>
      </c>
      <c r="I1535" s="1035"/>
      <c r="J1535" s="644">
        <v>16650000</v>
      </c>
    </row>
    <row r="1536" spans="1:10">
      <c r="A1536" s="638" t="s">
        <v>6974</v>
      </c>
      <c r="B1536" s="284" t="s">
        <v>6974</v>
      </c>
      <c r="C1536" s="275" t="s">
        <v>6988</v>
      </c>
      <c r="D1536" s="276">
        <v>2.6</v>
      </c>
      <c r="E1536" s="277">
        <v>3</v>
      </c>
      <c r="F1536" s="1035"/>
      <c r="G1536" s="401">
        <f t="shared" si="7"/>
        <v>7020000</v>
      </c>
      <c r="H1536" s="284" t="s">
        <v>125</v>
      </c>
      <c r="I1536" s="1035"/>
      <c r="J1536" s="644">
        <v>11700000</v>
      </c>
    </row>
    <row r="1537" spans="1:10">
      <c r="A1537" s="638" t="s">
        <v>6974</v>
      </c>
      <c r="B1537" s="284" t="s">
        <v>6974</v>
      </c>
      <c r="C1537" s="275" t="s">
        <v>6989</v>
      </c>
      <c r="D1537" s="276">
        <v>0.9</v>
      </c>
      <c r="E1537" s="277">
        <v>3</v>
      </c>
      <c r="F1537" s="1035"/>
      <c r="G1537" s="401">
        <f t="shared" si="7"/>
        <v>2430000</v>
      </c>
      <c r="H1537" s="284" t="s">
        <v>125</v>
      </c>
      <c r="I1537" s="1035"/>
      <c r="J1537" s="644">
        <v>4050000</v>
      </c>
    </row>
    <row r="1538" spans="1:10">
      <c r="A1538" s="638" t="s">
        <v>6974</v>
      </c>
      <c r="B1538" s="284" t="s">
        <v>6974</v>
      </c>
      <c r="C1538" s="275" t="s">
        <v>6990</v>
      </c>
      <c r="D1538" s="276">
        <v>1.4</v>
      </c>
      <c r="E1538" s="277">
        <v>3</v>
      </c>
      <c r="F1538" s="1035"/>
      <c r="G1538" s="401">
        <f t="shared" si="7"/>
        <v>3780000</v>
      </c>
      <c r="H1538" s="284" t="s">
        <v>125</v>
      </c>
      <c r="I1538" s="1035"/>
      <c r="J1538" s="644">
        <v>6300000</v>
      </c>
    </row>
    <row r="1539" spans="1:10">
      <c r="A1539" s="638" t="s">
        <v>6974</v>
      </c>
      <c r="B1539" s="284" t="s">
        <v>6974</v>
      </c>
      <c r="C1539" s="275" t="s">
        <v>6991</v>
      </c>
      <c r="D1539" s="276">
        <v>2.5</v>
      </c>
      <c r="E1539" s="277">
        <v>3</v>
      </c>
      <c r="F1539" s="1035"/>
      <c r="G1539" s="401">
        <f t="shared" si="7"/>
        <v>6750000</v>
      </c>
      <c r="H1539" s="284" t="s">
        <v>125</v>
      </c>
      <c r="I1539" s="1035"/>
      <c r="J1539" s="644">
        <v>11250000</v>
      </c>
    </row>
    <row r="1540" spans="1:10">
      <c r="A1540" s="638" t="s">
        <v>6974</v>
      </c>
      <c r="B1540" s="284" t="s">
        <v>6974</v>
      </c>
      <c r="C1540" s="275" t="s">
        <v>6992</v>
      </c>
      <c r="D1540" s="276">
        <v>0.4</v>
      </c>
      <c r="E1540" s="277">
        <v>3</v>
      </c>
      <c r="F1540" s="1035"/>
      <c r="G1540" s="401">
        <f t="shared" si="7"/>
        <v>1080000</v>
      </c>
      <c r="H1540" s="284" t="s">
        <v>125</v>
      </c>
      <c r="I1540" s="1035"/>
      <c r="J1540" s="644">
        <v>1800000</v>
      </c>
    </row>
    <row r="1541" spans="1:10">
      <c r="A1541" s="638" t="s">
        <v>6974</v>
      </c>
      <c r="B1541" s="284" t="s">
        <v>6974</v>
      </c>
      <c r="C1541" s="275" t="s">
        <v>6993</v>
      </c>
      <c r="D1541" s="276">
        <v>0.4</v>
      </c>
      <c r="E1541" s="277">
        <v>3</v>
      </c>
      <c r="F1541" s="1035"/>
      <c r="G1541" s="401">
        <f t="shared" si="7"/>
        <v>1080000</v>
      </c>
      <c r="H1541" s="284" t="s">
        <v>125</v>
      </c>
      <c r="I1541" s="1035"/>
      <c r="J1541" s="644">
        <v>1800000</v>
      </c>
    </row>
    <row r="1542" spans="1:10">
      <c r="A1542" s="638" t="s">
        <v>6974</v>
      </c>
      <c r="B1542" s="284" t="s">
        <v>6974</v>
      </c>
      <c r="C1542" s="275" t="s">
        <v>6994</v>
      </c>
      <c r="D1542" s="276">
        <v>2</v>
      </c>
      <c r="E1542" s="277">
        <v>3.5</v>
      </c>
      <c r="F1542" s="1035"/>
      <c r="G1542" s="401">
        <f t="shared" si="7"/>
        <v>6300000</v>
      </c>
      <c r="H1542" s="284" t="s">
        <v>125</v>
      </c>
      <c r="I1542" s="1035"/>
      <c r="J1542" s="644">
        <v>10500000</v>
      </c>
    </row>
    <row r="1543" spans="1:10">
      <c r="A1543" s="638" t="s">
        <v>6974</v>
      </c>
      <c r="B1543" s="284" t="s">
        <v>6974</v>
      </c>
      <c r="C1543" s="275" t="s">
        <v>6995</v>
      </c>
      <c r="D1543" s="276">
        <v>2.5</v>
      </c>
      <c r="E1543" s="277">
        <v>3</v>
      </c>
      <c r="F1543" s="1035"/>
      <c r="G1543" s="401">
        <f t="shared" si="7"/>
        <v>6750000</v>
      </c>
      <c r="H1543" s="284" t="s">
        <v>125</v>
      </c>
      <c r="I1543" s="1035"/>
      <c r="J1543" s="644">
        <v>11250000</v>
      </c>
    </row>
    <row r="1544" spans="1:10">
      <c r="A1544" s="638" t="s">
        <v>6974</v>
      </c>
      <c r="B1544" s="284" t="s">
        <v>6974</v>
      </c>
      <c r="C1544" s="275" t="s">
        <v>6996</v>
      </c>
      <c r="D1544" s="276">
        <v>1.1000000000000001</v>
      </c>
      <c r="E1544" s="277">
        <v>3</v>
      </c>
      <c r="F1544" s="1035"/>
      <c r="G1544" s="401">
        <f t="shared" si="7"/>
        <v>2970000</v>
      </c>
      <c r="H1544" s="284" t="s">
        <v>125</v>
      </c>
      <c r="I1544" s="1035"/>
      <c r="J1544" s="644">
        <v>4950000</v>
      </c>
    </row>
    <row r="1545" spans="1:10">
      <c r="A1545" s="638" t="s">
        <v>6974</v>
      </c>
      <c r="B1545" s="284" t="s">
        <v>6974</v>
      </c>
      <c r="C1545" s="275" t="s">
        <v>6997</v>
      </c>
      <c r="D1545" s="276">
        <v>4.9000000000000004</v>
      </c>
      <c r="E1545" s="277">
        <v>3.5</v>
      </c>
      <c r="F1545" s="1035"/>
      <c r="G1545" s="401">
        <f t="shared" si="7"/>
        <v>15435000</v>
      </c>
      <c r="H1545" s="284" t="s">
        <v>125</v>
      </c>
      <c r="I1545" s="1035"/>
      <c r="J1545" s="644">
        <v>25725000</v>
      </c>
    </row>
    <row r="1546" spans="1:10">
      <c r="A1546" s="638" t="s">
        <v>6974</v>
      </c>
      <c r="B1546" s="284" t="s">
        <v>6974</v>
      </c>
      <c r="C1546" s="275" t="s">
        <v>6998</v>
      </c>
      <c r="D1546" s="276">
        <v>1.7</v>
      </c>
      <c r="E1546" s="277">
        <v>3</v>
      </c>
      <c r="F1546" s="1035"/>
      <c r="G1546" s="401">
        <f t="shared" si="7"/>
        <v>4590000</v>
      </c>
      <c r="H1546" s="284" t="s">
        <v>125</v>
      </c>
      <c r="I1546" s="1035"/>
      <c r="J1546" s="644">
        <v>7650000</v>
      </c>
    </row>
    <row r="1547" spans="1:10">
      <c r="A1547" s="638" t="s">
        <v>6974</v>
      </c>
      <c r="B1547" s="284" t="s">
        <v>6974</v>
      </c>
      <c r="C1547" s="275" t="s">
        <v>6999</v>
      </c>
      <c r="D1547" s="276">
        <v>0.7</v>
      </c>
      <c r="E1547" s="277">
        <v>3</v>
      </c>
      <c r="F1547" s="1035"/>
      <c r="G1547" s="401">
        <f t="shared" si="7"/>
        <v>1890000</v>
      </c>
      <c r="H1547" s="284" t="s">
        <v>125</v>
      </c>
      <c r="I1547" s="1035"/>
      <c r="J1547" s="644">
        <v>3150000</v>
      </c>
    </row>
    <row r="1548" spans="1:10">
      <c r="A1548" s="638" t="s">
        <v>6974</v>
      </c>
      <c r="B1548" s="284" t="s">
        <v>6974</v>
      </c>
      <c r="C1548" s="275" t="s">
        <v>7000</v>
      </c>
      <c r="D1548" s="276">
        <v>3.9</v>
      </c>
      <c r="E1548" s="277">
        <v>3</v>
      </c>
      <c r="F1548" s="1035"/>
      <c r="G1548" s="401">
        <f t="shared" si="7"/>
        <v>10530000</v>
      </c>
      <c r="H1548" s="284" t="s">
        <v>125</v>
      </c>
      <c r="I1548" s="1035"/>
      <c r="J1548" s="644">
        <v>17550000</v>
      </c>
    </row>
    <row r="1549" spans="1:10">
      <c r="A1549" s="638" t="s">
        <v>6974</v>
      </c>
      <c r="B1549" s="284" t="s">
        <v>6974</v>
      </c>
      <c r="C1549" s="275" t="s">
        <v>7001</v>
      </c>
      <c r="D1549" s="276">
        <v>0.6</v>
      </c>
      <c r="E1549" s="277">
        <v>3</v>
      </c>
      <c r="F1549" s="1035"/>
      <c r="G1549" s="401">
        <f t="shared" si="7"/>
        <v>1620000</v>
      </c>
      <c r="H1549" s="284" t="s">
        <v>125</v>
      </c>
      <c r="I1549" s="1035"/>
      <c r="J1549" s="644">
        <v>2700000</v>
      </c>
    </row>
    <row r="1550" spans="1:10">
      <c r="A1550" s="638" t="s">
        <v>6974</v>
      </c>
      <c r="B1550" s="284" t="s">
        <v>6974</v>
      </c>
      <c r="C1550" s="275" t="s">
        <v>7002</v>
      </c>
      <c r="D1550" s="276">
        <v>1.1000000000000001</v>
      </c>
      <c r="E1550" s="277">
        <v>3.5</v>
      </c>
      <c r="F1550" s="1035"/>
      <c r="G1550" s="401">
        <f t="shared" si="7"/>
        <v>3465000</v>
      </c>
      <c r="H1550" s="284" t="s">
        <v>125</v>
      </c>
      <c r="I1550" s="1035"/>
      <c r="J1550" s="644">
        <v>5775000</v>
      </c>
    </row>
    <row r="1551" spans="1:10">
      <c r="A1551" s="638" t="s">
        <v>6974</v>
      </c>
      <c r="B1551" s="284" t="s">
        <v>6974</v>
      </c>
      <c r="C1551" s="275" t="s">
        <v>7003</v>
      </c>
      <c r="D1551" s="276">
        <v>1.8</v>
      </c>
      <c r="E1551" s="277">
        <v>3.5</v>
      </c>
      <c r="F1551" s="1035"/>
      <c r="G1551" s="401">
        <f t="shared" si="7"/>
        <v>5670000</v>
      </c>
      <c r="H1551" s="284" t="s">
        <v>125</v>
      </c>
      <c r="I1551" s="1035"/>
      <c r="J1551" s="644">
        <v>9450000</v>
      </c>
    </row>
    <row r="1552" spans="1:10">
      <c r="A1552" s="638" t="s">
        <v>6974</v>
      </c>
      <c r="B1552" s="284" t="s">
        <v>6974</v>
      </c>
      <c r="C1552" s="275" t="s">
        <v>7004</v>
      </c>
      <c r="D1552" s="276">
        <v>1.8</v>
      </c>
      <c r="E1552" s="277">
        <v>3</v>
      </c>
      <c r="F1552" s="1035"/>
      <c r="G1552" s="401">
        <f t="shared" si="7"/>
        <v>4860000</v>
      </c>
      <c r="H1552" s="284" t="s">
        <v>125</v>
      </c>
      <c r="I1552" s="1035"/>
      <c r="J1552" s="644">
        <v>8100000</v>
      </c>
    </row>
    <row r="1553" spans="1:10">
      <c r="A1553" s="638" t="s">
        <v>6974</v>
      </c>
      <c r="B1553" s="284" t="s">
        <v>6974</v>
      </c>
      <c r="C1553" s="275" t="s">
        <v>7005</v>
      </c>
      <c r="D1553" s="276">
        <v>1.0900000000000001</v>
      </c>
      <c r="E1553" s="277">
        <v>3</v>
      </c>
      <c r="F1553" s="1035"/>
      <c r="G1553" s="401">
        <f t="shared" si="7"/>
        <v>2943000</v>
      </c>
      <c r="H1553" s="284" t="s">
        <v>125</v>
      </c>
      <c r="I1553" s="1035"/>
      <c r="J1553" s="644">
        <v>4905000</v>
      </c>
    </row>
    <row r="1554" spans="1:10">
      <c r="A1554" s="638" t="s">
        <v>6974</v>
      </c>
      <c r="B1554" s="284" t="s">
        <v>6974</v>
      </c>
      <c r="C1554" s="275" t="s">
        <v>7005</v>
      </c>
      <c r="D1554" s="276">
        <v>0.61</v>
      </c>
      <c r="E1554" s="277">
        <v>3</v>
      </c>
      <c r="F1554" s="1035"/>
      <c r="G1554" s="401">
        <f t="shared" si="7"/>
        <v>1647000</v>
      </c>
      <c r="H1554" s="284" t="s">
        <v>125</v>
      </c>
      <c r="I1554" s="1035"/>
      <c r="J1554" s="644">
        <v>2745000</v>
      </c>
    </row>
    <row r="1555" spans="1:10">
      <c r="A1555" s="638" t="s">
        <v>6974</v>
      </c>
      <c r="B1555" s="284" t="s">
        <v>6974</v>
      </c>
      <c r="C1555" s="275" t="s">
        <v>7006</v>
      </c>
      <c r="D1555" s="276">
        <v>2.8</v>
      </c>
      <c r="E1555" s="277">
        <v>3</v>
      </c>
      <c r="F1555" s="1035"/>
      <c r="G1555" s="401">
        <f t="shared" si="7"/>
        <v>7560000</v>
      </c>
      <c r="H1555" s="284" t="s">
        <v>125</v>
      </c>
      <c r="I1555" s="1035"/>
      <c r="J1555" s="644">
        <v>12600000</v>
      </c>
    </row>
    <row r="1556" spans="1:10">
      <c r="A1556" s="638" t="s">
        <v>6974</v>
      </c>
      <c r="B1556" s="284" t="s">
        <v>6974</v>
      </c>
      <c r="C1556" s="275" t="s">
        <v>7007</v>
      </c>
      <c r="D1556" s="276">
        <v>2.4</v>
      </c>
      <c r="E1556" s="277">
        <v>3</v>
      </c>
      <c r="F1556" s="1035"/>
      <c r="G1556" s="401">
        <f t="shared" si="7"/>
        <v>6480000</v>
      </c>
      <c r="H1556" s="284" t="s">
        <v>125</v>
      </c>
      <c r="I1556" s="1035"/>
      <c r="J1556" s="644">
        <v>10800000</v>
      </c>
    </row>
    <row r="1557" spans="1:10">
      <c r="A1557" s="638" t="s">
        <v>6974</v>
      </c>
      <c r="B1557" s="284" t="s">
        <v>6974</v>
      </c>
      <c r="C1557" s="275" t="s">
        <v>7008</v>
      </c>
      <c r="D1557" s="276">
        <v>0.5</v>
      </c>
      <c r="E1557" s="277">
        <v>3</v>
      </c>
      <c r="F1557" s="1035" t="s">
        <v>6637</v>
      </c>
      <c r="G1557" s="401">
        <f t="shared" si="7"/>
        <v>1350000</v>
      </c>
      <c r="H1557" s="284" t="s">
        <v>125</v>
      </c>
      <c r="I1557" s="1035" t="s">
        <v>6638</v>
      </c>
      <c r="J1557" s="644">
        <v>2250000</v>
      </c>
    </row>
    <row r="1558" spans="1:10">
      <c r="A1558" s="638" t="s">
        <v>6974</v>
      </c>
      <c r="B1558" s="284" t="s">
        <v>6974</v>
      </c>
      <c r="C1558" s="275" t="s">
        <v>7009</v>
      </c>
      <c r="D1558" s="276">
        <v>0.4</v>
      </c>
      <c r="E1558" s="277">
        <v>3</v>
      </c>
      <c r="F1558" s="1035"/>
      <c r="G1558" s="401">
        <f t="shared" si="7"/>
        <v>1080000</v>
      </c>
      <c r="H1558" s="284" t="s">
        <v>125</v>
      </c>
      <c r="I1558" s="1035"/>
      <c r="J1558" s="644">
        <v>1800000</v>
      </c>
    </row>
    <row r="1559" spans="1:10">
      <c r="A1559" s="638" t="s">
        <v>6974</v>
      </c>
      <c r="B1559" s="284" t="s">
        <v>6974</v>
      </c>
      <c r="C1559" s="275" t="s">
        <v>7010</v>
      </c>
      <c r="D1559" s="276">
        <v>2.4</v>
      </c>
      <c r="E1559" s="277">
        <v>3</v>
      </c>
      <c r="F1559" s="1035"/>
      <c r="G1559" s="401">
        <f t="shared" si="7"/>
        <v>6480000</v>
      </c>
      <c r="H1559" s="284" t="s">
        <v>125</v>
      </c>
      <c r="I1559" s="1035"/>
      <c r="J1559" s="644">
        <v>10800000</v>
      </c>
    </row>
    <row r="1560" spans="1:10">
      <c r="A1560" s="638" t="s">
        <v>6974</v>
      </c>
      <c r="B1560" s="284" t="s">
        <v>6974</v>
      </c>
      <c r="C1560" s="275" t="s">
        <v>7011</v>
      </c>
      <c r="D1560" s="276">
        <v>0.2</v>
      </c>
      <c r="E1560" s="277">
        <v>3</v>
      </c>
      <c r="F1560" s="1035"/>
      <c r="G1560" s="401">
        <f t="shared" si="7"/>
        <v>540000</v>
      </c>
      <c r="H1560" s="284" t="s">
        <v>125</v>
      </c>
      <c r="I1560" s="1035"/>
      <c r="J1560" s="644">
        <v>900000</v>
      </c>
    </row>
    <row r="1561" spans="1:10">
      <c r="A1561" s="638" t="s">
        <v>6974</v>
      </c>
      <c r="B1561" s="284" t="s">
        <v>6974</v>
      </c>
      <c r="C1561" s="275" t="s">
        <v>7011</v>
      </c>
      <c r="D1561" s="276">
        <v>1.8</v>
      </c>
      <c r="E1561" s="277">
        <v>3</v>
      </c>
      <c r="F1561" s="1035"/>
      <c r="G1561" s="401">
        <f t="shared" si="7"/>
        <v>4860000</v>
      </c>
      <c r="H1561" s="284" t="s">
        <v>125</v>
      </c>
      <c r="I1561" s="1035"/>
      <c r="J1561" s="644">
        <v>8100000</v>
      </c>
    </row>
    <row r="1562" spans="1:10">
      <c r="A1562" s="638" t="s">
        <v>6974</v>
      </c>
      <c r="B1562" s="284" t="s">
        <v>6974</v>
      </c>
      <c r="C1562" s="275" t="s">
        <v>7012</v>
      </c>
      <c r="D1562" s="276">
        <v>0.40000000000000013</v>
      </c>
      <c r="E1562" s="277">
        <v>3</v>
      </c>
      <c r="F1562" s="1035"/>
      <c r="G1562" s="401">
        <f t="shared" si="7"/>
        <v>1080000.0000000005</v>
      </c>
      <c r="H1562" s="284" t="s">
        <v>125</v>
      </c>
      <c r="I1562" s="1035"/>
      <c r="J1562" s="644">
        <v>1800000.0000000007</v>
      </c>
    </row>
    <row r="1563" spans="1:10">
      <c r="A1563" s="638" t="s">
        <v>6974</v>
      </c>
      <c r="B1563" s="284" t="s">
        <v>6974</v>
      </c>
      <c r="C1563" s="275" t="s">
        <v>7013</v>
      </c>
      <c r="D1563" s="276">
        <v>0.9</v>
      </c>
      <c r="E1563" s="277">
        <v>3</v>
      </c>
      <c r="F1563" s="1035"/>
      <c r="G1563" s="401">
        <f t="shared" si="7"/>
        <v>2430000</v>
      </c>
      <c r="H1563" s="284" t="s">
        <v>125</v>
      </c>
      <c r="I1563" s="1035"/>
      <c r="J1563" s="644">
        <v>4050000</v>
      </c>
    </row>
    <row r="1564" spans="1:10">
      <c r="A1564" s="638" t="s">
        <v>6974</v>
      </c>
      <c r="B1564" s="284" t="s">
        <v>6974</v>
      </c>
      <c r="C1564" s="275" t="s">
        <v>7014</v>
      </c>
      <c r="D1564" s="276">
        <v>2</v>
      </c>
      <c r="E1564" s="277">
        <v>3</v>
      </c>
      <c r="F1564" s="1035"/>
      <c r="G1564" s="401">
        <f t="shared" si="7"/>
        <v>5400000</v>
      </c>
      <c r="H1564" s="284" t="s">
        <v>125</v>
      </c>
      <c r="I1564" s="1035"/>
      <c r="J1564" s="644">
        <v>9000000</v>
      </c>
    </row>
    <row r="1565" spans="1:10">
      <c r="A1565" s="638" t="s">
        <v>6974</v>
      </c>
      <c r="B1565" s="284" t="s">
        <v>6974</v>
      </c>
      <c r="C1565" s="275" t="s">
        <v>7015</v>
      </c>
      <c r="D1565" s="276">
        <v>0.9</v>
      </c>
      <c r="E1565" s="277">
        <v>3</v>
      </c>
      <c r="F1565" s="1035"/>
      <c r="G1565" s="401">
        <f t="shared" si="7"/>
        <v>2430000</v>
      </c>
      <c r="H1565" s="284" t="s">
        <v>125</v>
      </c>
      <c r="I1565" s="1035"/>
      <c r="J1565" s="644">
        <v>4050000</v>
      </c>
    </row>
    <row r="1566" spans="1:10">
      <c r="A1566" s="638" t="s">
        <v>6974</v>
      </c>
      <c r="B1566" s="284" t="s">
        <v>6974</v>
      </c>
      <c r="C1566" s="275" t="s">
        <v>7016</v>
      </c>
      <c r="D1566" s="276">
        <v>0.45999999999999996</v>
      </c>
      <c r="E1566" s="277">
        <v>3</v>
      </c>
      <c r="F1566" s="1035"/>
      <c r="G1566" s="401">
        <f t="shared" si="7"/>
        <v>1241999.9999999998</v>
      </c>
      <c r="H1566" s="284" t="s">
        <v>125</v>
      </c>
      <c r="I1566" s="1035"/>
      <c r="J1566" s="644">
        <v>2069999.9999999995</v>
      </c>
    </row>
    <row r="1567" spans="1:10">
      <c r="A1567" s="638" t="s">
        <v>6974</v>
      </c>
      <c r="B1567" s="284" t="s">
        <v>6974</v>
      </c>
      <c r="C1567" s="275" t="s">
        <v>7016</v>
      </c>
      <c r="D1567" s="276">
        <v>0.54</v>
      </c>
      <c r="E1567" s="277">
        <v>3</v>
      </c>
      <c r="F1567" s="1035"/>
      <c r="G1567" s="401">
        <f t="shared" si="7"/>
        <v>1458000</v>
      </c>
      <c r="H1567" s="284" t="s">
        <v>125</v>
      </c>
      <c r="I1567" s="1035"/>
      <c r="J1567" s="644">
        <v>2430000</v>
      </c>
    </row>
    <row r="1568" spans="1:10">
      <c r="A1568" s="638" t="s">
        <v>6974</v>
      </c>
      <c r="B1568" s="284" t="s">
        <v>6974</v>
      </c>
      <c r="C1568" s="275" t="s">
        <v>7017</v>
      </c>
      <c r="D1568" s="276">
        <v>1.1000000000000001</v>
      </c>
      <c r="E1568" s="277">
        <v>3</v>
      </c>
      <c r="F1568" s="1035"/>
      <c r="G1568" s="401">
        <f t="shared" si="7"/>
        <v>2970000</v>
      </c>
      <c r="H1568" s="284" t="s">
        <v>125</v>
      </c>
      <c r="I1568" s="1035"/>
      <c r="J1568" s="644">
        <v>4950000</v>
      </c>
    </row>
    <row r="1569" spans="1:10">
      <c r="A1569" s="638" t="s">
        <v>6974</v>
      </c>
      <c r="B1569" s="284" t="s">
        <v>6974</v>
      </c>
      <c r="C1569" s="275" t="s">
        <v>7018</v>
      </c>
      <c r="D1569" s="276">
        <v>1.5</v>
      </c>
      <c r="E1569" s="277">
        <v>3</v>
      </c>
      <c r="F1569" s="1035"/>
      <c r="G1569" s="401">
        <f t="shared" si="7"/>
        <v>4050000</v>
      </c>
      <c r="H1569" s="284" t="s">
        <v>125</v>
      </c>
      <c r="I1569" s="1035"/>
      <c r="J1569" s="644">
        <v>6750000</v>
      </c>
    </row>
    <row r="1570" spans="1:10">
      <c r="A1570" s="638" t="s">
        <v>6974</v>
      </c>
      <c r="B1570" s="284" t="s">
        <v>6974</v>
      </c>
      <c r="C1570" s="275" t="s">
        <v>7019</v>
      </c>
      <c r="D1570" s="276">
        <v>1.6</v>
      </c>
      <c r="E1570" s="277">
        <v>10</v>
      </c>
      <c r="F1570" s="1035"/>
      <c r="G1570" s="401">
        <f t="shared" si="7"/>
        <v>14400000</v>
      </c>
      <c r="H1570" s="284" t="s">
        <v>125</v>
      </c>
      <c r="I1570" s="1035"/>
      <c r="J1570" s="644">
        <v>24000000</v>
      </c>
    </row>
    <row r="1571" spans="1:10">
      <c r="A1571" s="638" t="s">
        <v>6974</v>
      </c>
      <c r="B1571" s="284" t="s">
        <v>6974</v>
      </c>
      <c r="C1571" s="275" t="s">
        <v>7020</v>
      </c>
      <c r="D1571" s="276">
        <v>0.2</v>
      </c>
      <c r="E1571" s="277">
        <v>1</v>
      </c>
      <c r="F1571" s="1035"/>
      <c r="G1571" s="401">
        <f t="shared" si="7"/>
        <v>180000</v>
      </c>
      <c r="H1571" s="284" t="s">
        <v>125</v>
      </c>
      <c r="I1571" s="1035"/>
      <c r="J1571" s="644">
        <v>300000</v>
      </c>
    </row>
    <row r="1572" spans="1:10">
      <c r="A1572" s="638" t="s">
        <v>6974</v>
      </c>
      <c r="B1572" s="284" t="s">
        <v>6974</v>
      </c>
      <c r="C1572" s="275" t="s">
        <v>7021</v>
      </c>
      <c r="D1572" s="276">
        <v>1.1000000000000001</v>
      </c>
      <c r="E1572" s="277">
        <v>2.5</v>
      </c>
      <c r="F1572" s="1035"/>
      <c r="G1572" s="401">
        <f t="shared" si="7"/>
        <v>2475000</v>
      </c>
      <c r="H1572" s="284" t="s">
        <v>125</v>
      </c>
      <c r="I1572" s="1035"/>
      <c r="J1572" s="644">
        <v>4125000</v>
      </c>
    </row>
    <row r="1573" spans="1:10">
      <c r="A1573" s="638" t="s">
        <v>6974</v>
      </c>
      <c r="B1573" s="284" t="s">
        <v>6974</v>
      </c>
      <c r="C1573" s="275" t="s">
        <v>7022</v>
      </c>
      <c r="D1573" s="276">
        <v>1</v>
      </c>
      <c r="E1573" s="277">
        <v>2.5</v>
      </c>
      <c r="F1573" s="1035"/>
      <c r="G1573" s="401">
        <f t="shared" si="7"/>
        <v>2250000</v>
      </c>
      <c r="H1573" s="284" t="s">
        <v>125</v>
      </c>
      <c r="I1573" s="1035"/>
      <c r="J1573" s="644">
        <v>3750000</v>
      </c>
    </row>
    <row r="1574" spans="1:10">
      <c r="A1574" s="638" t="s">
        <v>7023</v>
      </c>
      <c r="B1574" s="284" t="s">
        <v>7023</v>
      </c>
      <c r="C1574" s="275" t="s">
        <v>7024</v>
      </c>
      <c r="D1574" s="276">
        <v>0.5</v>
      </c>
      <c r="E1574" s="277">
        <v>4</v>
      </c>
      <c r="F1574" s="1035" t="s">
        <v>6637</v>
      </c>
      <c r="G1574" s="401">
        <f t="shared" si="7"/>
        <v>1800000</v>
      </c>
      <c r="H1574" s="284" t="s">
        <v>125</v>
      </c>
      <c r="I1574" s="1035" t="s">
        <v>6638</v>
      </c>
      <c r="J1574" s="644">
        <v>3000000</v>
      </c>
    </row>
    <row r="1575" spans="1:10">
      <c r="A1575" s="638" t="s">
        <v>7023</v>
      </c>
      <c r="B1575" s="284" t="s">
        <v>7023</v>
      </c>
      <c r="C1575" s="275" t="s">
        <v>7025</v>
      </c>
      <c r="D1575" s="276">
        <v>0.76500000000000001</v>
      </c>
      <c r="E1575" s="277">
        <v>3</v>
      </c>
      <c r="F1575" s="1035"/>
      <c r="G1575" s="401">
        <f t="shared" si="7"/>
        <v>2065499.9999999995</v>
      </c>
      <c r="H1575" s="284" t="s">
        <v>125</v>
      </c>
      <c r="I1575" s="1035"/>
      <c r="J1575" s="644">
        <v>3442499.9999999995</v>
      </c>
    </row>
    <row r="1576" spans="1:10">
      <c r="A1576" s="638" t="s">
        <v>7023</v>
      </c>
      <c r="B1576" s="284" t="s">
        <v>7023</v>
      </c>
      <c r="C1576" s="275" t="s">
        <v>7026</v>
      </c>
      <c r="D1576" s="276">
        <v>0.8</v>
      </c>
      <c r="E1576" s="277">
        <v>3</v>
      </c>
      <c r="F1576" s="1035"/>
      <c r="G1576" s="401">
        <f t="shared" si="7"/>
        <v>2160000</v>
      </c>
      <c r="H1576" s="284" t="s">
        <v>125</v>
      </c>
      <c r="I1576" s="1035"/>
      <c r="J1576" s="644">
        <v>3600000</v>
      </c>
    </row>
    <row r="1577" spans="1:10">
      <c r="A1577" s="638" t="s">
        <v>7023</v>
      </c>
      <c r="B1577" s="284" t="s">
        <v>7023</v>
      </c>
      <c r="C1577" s="275" t="s">
        <v>7027</v>
      </c>
      <c r="D1577" s="276">
        <v>5.05</v>
      </c>
      <c r="E1577" s="277">
        <v>4</v>
      </c>
      <c r="F1577" s="1035"/>
      <c r="G1577" s="401">
        <f t="shared" si="7"/>
        <v>18180000</v>
      </c>
      <c r="H1577" s="284" t="s">
        <v>125</v>
      </c>
      <c r="I1577" s="1035"/>
      <c r="J1577" s="644">
        <v>30300000</v>
      </c>
    </row>
    <row r="1578" spans="1:10">
      <c r="A1578" s="638" t="s">
        <v>7023</v>
      </c>
      <c r="B1578" s="284" t="s">
        <v>7023</v>
      </c>
      <c r="C1578" s="275" t="s">
        <v>6926</v>
      </c>
      <c r="D1578" s="276">
        <v>0.65</v>
      </c>
      <c r="E1578" s="277">
        <v>3</v>
      </c>
      <c r="F1578" s="1035"/>
      <c r="G1578" s="401">
        <f t="shared" si="7"/>
        <v>1755000</v>
      </c>
      <c r="H1578" s="284" t="s">
        <v>125</v>
      </c>
      <c r="I1578" s="1035"/>
      <c r="J1578" s="644">
        <v>2925000</v>
      </c>
    </row>
    <row r="1579" spans="1:10">
      <c r="A1579" s="638" t="s">
        <v>7023</v>
      </c>
      <c r="B1579" s="284" t="s">
        <v>7023</v>
      </c>
      <c r="C1579" s="275" t="s">
        <v>7028</v>
      </c>
      <c r="D1579" s="276">
        <v>1</v>
      </c>
      <c r="E1579" s="277">
        <v>3</v>
      </c>
      <c r="F1579" s="1035"/>
      <c r="G1579" s="401">
        <f t="shared" si="7"/>
        <v>2700000</v>
      </c>
      <c r="H1579" s="284" t="s">
        <v>125</v>
      </c>
      <c r="I1579" s="1035"/>
      <c r="J1579" s="644">
        <v>4500000</v>
      </c>
    </row>
    <row r="1580" spans="1:10">
      <c r="A1580" s="638" t="s">
        <v>7023</v>
      </c>
      <c r="B1580" s="284" t="s">
        <v>7023</v>
      </c>
      <c r="C1580" s="276" t="s">
        <v>7029</v>
      </c>
      <c r="D1580" s="276">
        <v>2.4</v>
      </c>
      <c r="E1580" s="277">
        <v>3.5</v>
      </c>
      <c r="F1580" s="1035"/>
      <c r="G1580" s="401">
        <f t="shared" si="7"/>
        <v>7560000</v>
      </c>
      <c r="H1580" s="284" t="s">
        <v>125</v>
      </c>
      <c r="I1580" s="1035"/>
      <c r="J1580" s="644">
        <v>12600000</v>
      </c>
    </row>
    <row r="1581" spans="1:10">
      <c r="A1581" s="638" t="s">
        <v>7023</v>
      </c>
      <c r="B1581" s="284" t="s">
        <v>7023</v>
      </c>
      <c r="C1581" s="284" t="s">
        <v>7030</v>
      </c>
      <c r="D1581" s="276">
        <v>1.1000000000000001</v>
      </c>
      <c r="E1581" s="277">
        <v>3</v>
      </c>
      <c r="F1581" s="1035"/>
      <c r="G1581" s="401">
        <f t="shared" si="7"/>
        <v>2970000</v>
      </c>
      <c r="H1581" s="284" t="s">
        <v>125</v>
      </c>
      <c r="I1581" s="1035"/>
      <c r="J1581" s="644">
        <v>4950000</v>
      </c>
    </row>
    <row r="1582" spans="1:10">
      <c r="A1582" s="638" t="s">
        <v>7023</v>
      </c>
      <c r="B1582" s="284" t="s">
        <v>7023</v>
      </c>
      <c r="C1582" s="284" t="s">
        <v>7031</v>
      </c>
      <c r="D1582" s="276">
        <v>1.2</v>
      </c>
      <c r="E1582" s="277">
        <v>3</v>
      </c>
      <c r="F1582" s="1035" t="s">
        <v>6637</v>
      </c>
      <c r="G1582" s="401">
        <f t="shared" si="7"/>
        <v>3240000</v>
      </c>
      <c r="H1582" s="284" t="s">
        <v>125</v>
      </c>
      <c r="I1582" s="1035" t="s">
        <v>6638</v>
      </c>
      <c r="J1582" s="644">
        <v>5400000</v>
      </c>
    </row>
    <row r="1583" spans="1:10">
      <c r="A1583" s="638" t="s">
        <v>7023</v>
      </c>
      <c r="B1583" s="284" t="s">
        <v>7023</v>
      </c>
      <c r="C1583" s="284" t="s">
        <v>7032</v>
      </c>
      <c r="D1583" s="276">
        <v>0.5</v>
      </c>
      <c r="E1583" s="277">
        <v>3</v>
      </c>
      <c r="F1583" s="1035"/>
      <c r="G1583" s="401">
        <f t="shared" si="7"/>
        <v>1350000</v>
      </c>
      <c r="H1583" s="284" t="s">
        <v>125</v>
      </c>
      <c r="I1583" s="1035"/>
      <c r="J1583" s="644">
        <v>2250000</v>
      </c>
    </row>
    <row r="1584" spans="1:10">
      <c r="A1584" s="638" t="s">
        <v>7023</v>
      </c>
      <c r="B1584" s="284" t="s">
        <v>7023</v>
      </c>
      <c r="C1584" s="284" t="s">
        <v>7033</v>
      </c>
      <c r="D1584" s="276">
        <v>1.6</v>
      </c>
      <c r="E1584" s="277">
        <v>3</v>
      </c>
      <c r="F1584" s="1035"/>
      <c r="G1584" s="401">
        <f t="shared" si="7"/>
        <v>4320000</v>
      </c>
      <c r="H1584" s="284" t="s">
        <v>125</v>
      </c>
      <c r="I1584" s="1035"/>
      <c r="J1584" s="644">
        <v>7200000</v>
      </c>
    </row>
    <row r="1585" spans="1:10">
      <c r="A1585" s="638" t="s">
        <v>7023</v>
      </c>
      <c r="B1585" s="284" t="s">
        <v>7023</v>
      </c>
      <c r="C1585" s="284" t="s">
        <v>7034</v>
      </c>
      <c r="D1585" s="276">
        <v>1.4</v>
      </c>
      <c r="E1585" s="277">
        <v>3</v>
      </c>
      <c r="F1585" s="1035"/>
      <c r="G1585" s="401">
        <f t="shared" si="7"/>
        <v>3780000</v>
      </c>
      <c r="H1585" s="284" t="s">
        <v>125</v>
      </c>
      <c r="I1585" s="1035"/>
      <c r="J1585" s="644">
        <v>6300000</v>
      </c>
    </row>
    <row r="1586" spans="1:10">
      <c r="A1586" s="638" t="s">
        <v>7023</v>
      </c>
      <c r="B1586" s="284" t="s">
        <v>7023</v>
      </c>
      <c r="C1586" s="275" t="s">
        <v>7035</v>
      </c>
      <c r="D1586" s="276">
        <v>1.7</v>
      </c>
      <c r="E1586" s="277">
        <v>3</v>
      </c>
      <c r="F1586" s="1035"/>
      <c r="G1586" s="401">
        <f t="shared" si="7"/>
        <v>4590000</v>
      </c>
      <c r="H1586" s="284" t="s">
        <v>125</v>
      </c>
      <c r="I1586" s="1035"/>
      <c r="J1586" s="644">
        <v>7650000</v>
      </c>
    </row>
    <row r="1587" spans="1:10">
      <c r="A1587" s="638" t="s">
        <v>7023</v>
      </c>
      <c r="B1587" s="284" t="s">
        <v>7023</v>
      </c>
      <c r="C1587" s="275" t="s">
        <v>7036</v>
      </c>
      <c r="D1587" s="276">
        <v>1.7</v>
      </c>
      <c r="E1587" s="277">
        <v>3</v>
      </c>
      <c r="F1587" s="1035"/>
      <c r="G1587" s="401">
        <f t="shared" si="7"/>
        <v>4590000</v>
      </c>
      <c r="H1587" s="284" t="s">
        <v>125</v>
      </c>
      <c r="I1587" s="1035"/>
      <c r="J1587" s="644">
        <v>7650000</v>
      </c>
    </row>
    <row r="1588" spans="1:10">
      <c r="A1588" s="638" t="s">
        <v>7023</v>
      </c>
      <c r="B1588" s="284" t="s">
        <v>7023</v>
      </c>
      <c r="C1588" s="275" t="s">
        <v>7037</v>
      </c>
      <c r="D1588" s="276">
        <v>1.2</v>
      </c>
      <c r="E1588" s="277">
        <v>3</v>
      </c>
      <c r="F1588" s="1035"/>
      <c r="G1588" s="401">
        <f t="shared" si="7"/>
        <v>3240000</v>
      </c>
      <c r="H1588" s="284" t="s">
        <v>125</v>
      </c>
      <c r="I1588" s="1035"/>
      <c r="J1588" s="644">
        <v>5400000</v>
      </c>
    </row>
    <row r="1589" spans="1:10">
      <c r="A1589" s="638" t="s">
        <v>7023</v>
      </c>
      <c r="B1589" s="284" t="s">
        <v>7023</v>
      </c>
      <c r="C1589" s="275" t="s">
        <v>7038</v>
      </c>
      <c r="D1589" s="276">
        <v>4.7</v>
      </c>
      <c r="E1589" s="277">
        <v>7.6</v>
      </c>
      <c r="F1589" s="1035"/>
      <c r="G1589" s="401">
        <f t="shared" si="7"/>
        <v>32147999.999999993</v>
      </c>
      <c r="H1589" s="284" t="s">
        <v>125</v>
      </c>
      <c r="I1589" s="1035"/>
      <c r="J1589" s="644">
        <v>53579999.999999993</v>
      </c>
    </row>
    <row r="1590" spans="1:10">
      <c r="A1590" s="638" t="s">
        <v>7023</v>
      </c>
      <c r="B1590" s="284" t="s">
        <v>7023</v>
      </c>
      <c r="C1590" s="275" t="s">
        <v>7039</v>
      </c>
      <c r="D1590" s="276">
        <v>2.4</v>
      </c>
      <c r="E1590" s="277">
        <v>3</v>
      </c>
      <c r="F1590" s="1035"/>
      <c r="G1590" s="401">
        <f t="shared" si="7"/>
        <v>6480000</v>
      </c>
      <c r="H1590" s="284" t="s">
        <v>125</v>
      </c>
      <c r="I1590" s="1035"/>
      <c r="J1590" s="644">
        <v>10800000</v>
      </c>
    </row>
    <row r="1591" spans="1:10">
      <c r="A1591" s="638" t="s">
        <v>7023</v>
      </c>
      <c r="B1591" s="284" t="s">
        <v>7023</v>
      </c>
      <c r="C1591" s="275" t="s">
        <v>7040</v>
      </c>
      <c r="D1591" s="276">
        <v>0.4</v>
      </c>
      <c r="E1591" s="277">
        <v>3</v>
      </c>
      <c r="F1591" s="1035"/>
      <c r="G1591" s="401">
        <f t="shared" si="7"/>
        <v>1080000</v>
      </c>
      <c r="H1591" s="284" t="s">
        <v>125</v>
      </c>
      <c r="I1591" s="1035"/>
      <c r="J1591" s="644">
        <v>1800000</v>
      </c>
    </row>
    <row r="1592" spans="1:10">
      <c r="A1592" s="638" t="s">
        <v>7023</v>
      </c>
      <c r="B1592" s="284" t="s">
        <v>7023</v>
      </c>
      <c r="C1592" s="275" t="s">
        <v>7041</v>
      </c>
      <c r="D1592" s="276">
        <v>0.6</v>
      </c>
      <c r="E1592" s="277">
        <v>3</v>
      </c>
      <c r="F1592" s="1035"/>
      <c r="G1592" s="401">
        <f t="shared" si="7"/>
        <v>1620000</v>
      </c>
      <c r="H1592" s="284" t="s">
        <v>125</v>
      </c>
      <c r="I1592" s="1035"/>
      <c r="J1592" s="644">
        <v>2700000</v>
      </c>
    </row>
    <row r="1593" spans="1:10">
      <c r="A1593" s="638" t="s">
        <v>7023</v>
      </c>
      <c r="B1593" s="284" t="s">
        <v>7023</v>
      </c>
      <c r="C1593" s="275" t="s">
        <v>7042</v>
      </c>
      <c r="D1593" s="276">
        <v>0.4</v>
      </c>
      <c r="E1593" s="277">
        <v>3</v>
      </c>
      <c r="F1593" s="1035"/>
      <c r="G1593" s="401">
        <f t="shared" si="7"/>
        <v>1080000</v>
      </c>
      <c r="H1593" s="284" t="s">
        <v>125</v>
      </c>
      <c r="I1593" s="1035"/>
      <c r="J1593" s="644">
        <v>1800000</v>
      </c>
    </row>
    <row r="1594" spans="1:10">
      <c r="A1594" s="638" t="s">
        <v>7023</v>
      </c>
      <c r="B1594" s="284" t="s">
        <v>7023</v>
      </c>
      <c r="C1594" s="275" t="s">
        <v>7043</v>
      </c>
      <c r="D1594" s="276">
        <v>0.9</v>
      </c>
      <c r="E1594" s="277">
        <v>3</v>
      </c>
      <c r="F1594" s="1035"/>
      <c r="G1594" s="401">
        <f t="shared" si="7"/>
        <v>2430000</v>
      </c>
      <c r="H1594" s="284" t="s">
        <v>125</v>
      </c>
      <c r="I1594" s="1035"/>
      <c r="J1594" s="644">
        <v>4050000</v>
      </c>
    </row>
    <row r="1595" spans="1:10">
      <c r="A1595" s="638" t="s">
        <v>7023</v>
      </c>
      <c r="B1595" s="284" t="s">
        <v>7023</v>
      </c>
      <c r="C1595" s="275" t="s">
        <v>7044</v>
      </c>
      <c r="D1595" s="276">
        <v>1.9</v>
      </c>
      <c r="E1595" s="277">
        <v>3</v>
      </c>
      <c r="F1595" s="1035"/>
      <c r="G1595" s="401">
        <f t="shared" si="7"/>
        <v>5130000</v>
      </c>
      <c r="H1595" s="284" t="s">
        <v>125</v>
      </c>
      <c r="I1595" s="1035"/>
      <c r="J1595" s="644">
        <v>8550000</v>
      </c>
    </row>
    <row r="1596" spans="1:10">
      <c r="A1596" s="638" t="s">
        <v>7023</v>
      </c>
      <c r="B1596" s="284" t="s">
        <v>7023</v>
      </c>
      <c r="C1596" s="275" t="s">
        <v>7045</v>
      </c>
      <c r="D1596" s="276">
        <v>1</v>
      </c>
      <c r="E1596" s="277">
        <v>4</v>
      </c>
      <c r="F1596" s="1035"/>
      <c r="G1596" s="401">
        <f t="shared" si="7"/>
        <v>3600000</v>
      </c>
      <c r="H1596" s="284" t="s">
        <v>125</v>
      </c>
      <c r="I1596" s="1035"/>
      <c r="J1596" s="644">
        <v>6000000</v>
      </c>
    </row>
    <row r="1597" spans="1:10">
      <c r="A1597" s="638" t="s">
        <v>7023</v>
      </c>
      <c r="B1597" s="284" t="s">
        <v>7023</v>
      </c>
      <c r="C1597" s="275" t="s">
        <v>7046</v>
      </c>
      <c r="D1597" s="276">
        <v>0.7</v>
      </c>
      <c r="E1597" s="277">
        <v>4</v>
      </c>
      <c r="F1597" s="1035"/>
      <c r="G1597" s="401">
        <f t="shared" si="7"/>
        <v>2520000</v>
      </c>
      <c r="H1597" s="284" t="s">
        <v>125</v>
      </c>
      <c r="I1597" s="1035"/>
      <c r="J1597" s="644">
        <v>4200000</v>
      </c>
    </row>
    <row r="1598" spans="1:10">
      <c r="A1598" s="638" t="s">
        <v>7023</v>
      </c>
      <c r="B1598" s="284" t="s">
        <v>7023</v>
      </c>
      <c r="C1598" s="275" t="s">
        <v>7047</v>
      </c>
      <c r="D1598" s="276">
        <v>0.9</v>
      </c>
      <c r="E1598" s="277">
        <v>4</v>
      </c>
      <c r="F1598" s="1035"/>
      <c r="G1598" s="401">
        <f t="shared" si="7"/>
        <v>3240000</v>
      </c>
      <c r="H1598" s="284" t="s">
        <v>125</v>
      </c>
      <c r="I1598" s="1035"/>
      <c r="J1598" s="644">
        <v>5400000</v>
      </c>
    </row>
    <row r="1599" spans="1:10">
      <c r="A1599" s="638" t="s">
        <v>7023</v>
      </c>
      <c r="B1599" s="284" t="s">
        <v>7023</v>
      </c>
      <c r="C1599" s="275" t="s">
        <v>7048</v>
      </c>
      <c r="D1599" s="276">
        <v>0.8</v>
      </c>
      <c r="E1599" s="277">
        <v>4</v>
      </c>
      <c r="F1599" s="1035"/>
      <c r="G1599" s="401">
        <f t="shared" ref="G1599:G1616" si="8">J1599*0.6</f>
        <v>2880000</v>
      </c>
      <c r="H1599" s="284" t="s">
        <v>125</v>
      </c>
      <c r="I1599" s="1035"/>
      <c r="J1599" s="644">
        <v>4800000</v>
      </c>
    </row>
    <row r="1600" spans="1:10">
      <c r="A1600" s="638" t="s">
        <v>7023</v>
      </c>
      <c r="B1600" s="284" t="s">
        <v>7023</v>
      </c>
      <c r="C1600" s="275" t="s">
        <v>7049</v>
      </c>
      <c r="D1600" s="276">
        <v>0.3</v>
      </c>
      <c r="E1600" s="277">
        <v>3</v>
      </c>
      <c r="F1600" s="1035"/>
      <c r="G1600" s="401">
        <f t="shared" si="8"/>
        <v>810000</v>
      </c>
      <c r="H1600" s="284" t="s">
        <v>125</v>
      </c>
      <c r="I1600" s="1035"/>
      <c r="J1600" s="644">
        <v>1350000</v>
      </c>
    </row>
    <row r="1601" spans="1:10">
      <c r="A1601" s="638" t="s">
        <v>7023</v>
      </c>
      <c r="B1601" s="284" t="s">
        <v>7023</v>
      </c>
      <c r="C1601" s="275" t="s">
        <v>7050</v>
      </c>
      <c r="D1601" s="276">
        <v>0.3</v>
      </c>
      <c r="E1601" s="277">
        <v>3</v>
      </c>
      <c r="F1601" s="1035"/>
      <c r="G1601" s="401">
        <f t="shared" si="8"/>
        <v>810000</v>
      </c>
      <c r="H1601" s="284" t="s">
        <v>125</v>
      </c>
      <c r="I1601" s="1035"/>
      <c r="J1601" s="644">
        <v>1350000</v>
      </c>
    </row>
    <row r="1602" spans="1:10">
      <c r="A1602" s="638" t="s">
        <v>7023</v>
      </c>
      <c r="B1602" s="284" t="s">
        <v>7023</v>
      </c>
      <c r="C1602" s="275" t="s">
        <v>7051</v>
      </c>
      <c r="D1602" s="276">
        <v>0.3</v>
      </c>
      <c r="E1602" s="277">
        <v>3</v>
      </c>
      <c r="F1602" s="1035"/>
      <c r="G1602" s="401">
        <f t="shared" si="8"/>
        <v>810000</v>
      </c>
      <c r="H1602" s="284" t="s">
        <v>125</v>
      </c>
      <c r="I1602" s="1035"/>
      <c r="J1602" s="644">
        <v>1350000</v>
      </c>
    </row>
    <row r="1603" spans="1:10">
      <c r="A1603" s="638" t="s">
        <v>7023</v>
      </c>
      <c r="B1603" s="284" t="s">
        <v>7023</v>
      </c>
      <c r="C1603" s="275" t="s">
        <v>7052</v>
      </c>
      <c r="D1603" s="276">
        <v>1.5</v>
      </c>
      <c r="E1603" s="277">
        <v>3</v>
      </c>
      <c r="F1603" s="1035"/>
      <c r="G1603" s="401">
        <f t="shared" si="8"/>
        <v>4050000</v>
      </c>
      <c r="H1603" s="284" t="s">
        <v>125</v>
      </c>
      <c r="I1603" s="1035"/>
      <c r="J1603" s="644">
        <v>6750000</v>
      </c>
    </row>
    <row r="1604" spans="1:10">
      <c r="A1604" s="638" t="s">
        <v>7023</v>
      </c>
      <c r="B1604" s="284" t="s">
        <v>7023</v>
      </c>
      <c r="C1604" s="275" t="s">
        <v>7053</v>
      </c>
      <c r="D1604" s="276">
        <v>0.6</v>
      </c>
      <c r="E1604" s="277">
        <v>3</v>
      </c>
      <c r="F1604" s="1035"/>
      <c r="G1604" s="401">
        <f t="shared" si="8"/>
        <v>1620000</v>
      </c>
      <c r="H1604" s="284" t="s">
        <v>125</v>
      </c>
      <c r="I1604" s="1035"/>
      <c r="J1604" s="644">
        <v>2700000</v>
      </c>
    </row>
    <row r="1605" spans="1:10">
      <c r="A1605" s="638" t="s">
        <v>7023</v>
      </c>
      <c r="B1605" s="284" t="s">
        <v>7023</v>
      </c>
      <c r="C1605" s="275" t="s">
        <v>7054</v>
      </c>
      <c r="D1605" s="276">
        <v>0.4</v>
      </c>
      <c r="E1605" s="277">
        <v>4</v>
      </c>
      <c r="F1605" s="1035"/>
      <c r="G1605" s="401">
        <f t="shared" si="8"/>
        <v>1440000</v>
      </c>
      <c r="H1605" s="284" t="s">
        <v>125</v>
      </c>
      <c r="I1605" s="1035"/>
      <c r="J1605" s="644">
        <v>2400000</v>
      </c>
    </row>
    <row r="1606" spans="1:10">
      <c r="A1606" s="638" t="s">
        <v>7023</v>
      </c>
      <c r="B1606" s="284" t="s">
        <v>7023</v>
      </c>
      <c r="C1606" s="275" t="s">
        <v>7055</v>
      </c>
      <c r="D1606" s="276">
        <v>0.3</v>
      </c>
      <c r="E1606" s="277">
        <v>3</v>
      </c>
      <c r="F1606" s="1035"/>
      <c r="G1606" s="401">
        <f t="shared" si="8"/>
        <v>810000</v>
      </c>
      <c r="H1606" s="284" t="s">
        <v>125</v>
      </c>
      <c r="I1606" s="1035"/>
      <c r="J1606" s="644">
        <v>1350000</v>
      </c>
    </row>
    <row r="1607" spans="1:10">
      <c r="A1607" s="638" t="s">
        <v>7023</v>
      </c>
      <c r="B1607" s="284" t="s">
        <v>7023</v>
      </c>
      <c r="C1607" s="275" t="s">
        <v>7056</v>
      </c>
      <c r="D1607" s="276">
        <v>0.2</v>
      </c>
      <c r="E1607" s="277">
        <v>3</v>
      </c>
      <c r="F1607" s="1035"/>
      <c r="G1607" s="401">
        <f t="shared" si="8"/>
        <v>540000</v>
      </c>
      <c r="H1607" s="284" t="s">
        <v>125</v>
      </c>
      <c r="I1607" s="1035"/>
      <c r="J1607" s="644">
        <v>900000</v>
      </c>
    </row>
    <row r="1608" spans="1:10">
      <c r="A1608" s="638" t="s">
        <v>7023</v>
      </c>
      <c r="B1608" s="284" t="s">
        <v>7023</v>
      </c>
      <c r="C1608" s="275" t="s">
        <v>7057</v>
      </c>
      <c r="D1608" s="276">
        <v>0.56999999999999995</v>
      </c>
      <c r="E1608" s="277">
        <v>3</v>
      </c>
      <c r="F1608" s="1035" t="s">
        <v>6637</v>
      </c>
      <c r="G1608" s="401">
        <f t="shared" si="8"/>
        <v>1539000</v>
      </c>
      <c r="H1608" s="284" t="s">
        <v>125</v>
      </c>
      <c r="I1608" s="1035" t="s">
        <v>6638</v>
      </c>
      <c r="J1608" s="644">
        <v>2565000</v>
      </c>
    </row>
    <row r="1609" spans="1:10">
      <c r="A1609" s="638" t="s">
        <v>7023</v>
      </c>
      <c r="B1609" s="284" t="s">
        <v>7023</v>
      </c>
      <c r="C1609" s="275" t="s">
        <v>7058</v>
      </c>
      <c r="D1609" s="276">
        <v>0.3</v>
      </c>
      <c r="E1609" s="277">
        <v>3</v>
      </c>
      <c r="F1609" s="1035"/>
      <c r="G1609" s="401">
        <f t="shared" si="8"/>
        <v>810000</v>
      </c>
      <c r="H1609" s="284" t="s">
        <v>125</v>
      </c>
      <c r="I1609" s="1035"/>
      <c r="J1609" s="644">
        <v>1350000</v>
      </c>
    </row>
    <row r="1610" spans="1:10">
      <c r="A1610" s="638" t="s">
        <v>7023</v>
      </c>
      <c r="B1610" s="284" t="s">
        <v>7023</v>
      </c>
      <c r="C1610" s="275" t="s">
        <v>7059</v>
      </c>
      <c r="D1610" s="276">
        <v>0.2</v>
      </c>
      <c r="E1610" s="277">
        <v>3</v>
      </c>
      <c r="F1610" s="1035"/>
      <c r="G1610" s="401">
        <f t="shared" si="8"/>
        <v>540000</v>
      </c>
      <c r="H1610" s="284" t="s">
        <v>125</v>
      </c>
      <c r="I1610" s="1035"/>
      <c r="J1610" s="644">
        <v>900000</v>
      </c>
    </row>
    <row r="1611" spans="1:10">
      <c r="A1611" s="638" t="s">
        <v>7023</v>
      </c>
      <c r="B1611" s="284" t="s">
        <v>7023</v>
      </c>
      <c r="C1611" s="275" t="s">
        <v>7060</v>
      </c>
      <c r="D1611" s="276">
        <v>0.9</v>
      </c>
      <c r="E1611" s="277">
        <v>3</v>
      </c>
      <c r="F1611" s="1035"/>
      <c r="G1611" s="401">
        <f t="shared" si="8"/>
        <v>2430000</v>
      </c>
      <c r="H1611" s="284" t="s">
        <v>125</v>
      </c>
      <c r="I1611" s="1035"/>
      <c r="J1611" s="644">
        <v>4050000</v>
      </c>
    </row>
    <row r="1612" spans="1:10">
      <c r="A1612" s="638" t="s">
        <v>7023</v>
      </c>
      <c r="B1612" s="284" t="s">
        <v>7023</v>
      </c>
      <c r="C1612" s="275" t="s">
        <v>7061</v>
      </c>
      <c r="D1612" s="276">
        <v>1.2</v>
      </c>
      <c r="E1612" s="277">
        <v>5</v>
      </c>
      <c r="F1612" s="1035"/>
      <c r="G1612" s="401">
        <f t="shared" si="8"/>
        <v>5400000</v>
      </c>
      <c r="H1612" s="284" t="s">
        <v>125</v>
      </c>
      <c r="I1612" s="1035"/>
      <c r="J1612" s="644">
        <v>9000000</v>
      </c>
    </row>
    <row r="1613" spans="1:10">
      <c r="A1613" s="638" t="s">
        <v>7023</v>
      </c>
      <c r="B1613" s="284" t="s">
        <v>7023</v>
      </c>
      <c r="C1613" s="275" t="s">
        <v>7062</v>
      </c>
      <c r="D1613" s="276">
        <v>1</v>
      </c>
      <c r="E1613" s="277">
        <v>5</v>
      </c>
      <c r="F1613" s="1035"/>
      <c r="G1613" s="401">
        <f t="shared" si="8"/>
        <v>4500000</v>
      </c>
      <c r="H1613" s="284" t="s">
        <v>125</v>
      </c>
      <c r="I1613" s="1035"/>
      <c r="J1613" s="644">
        <v>7500000</v>
      </c>
    </row>
    <row r="1614" spans="1:10">
      <c r="A1614" s="638" t="s">
        <v>7023</v>
      </c>
      <c r="B1614" s="284" t="s">
        <v>7023</v>
      </c>
      <c r="C1614" s="275" t="s">
        <v>7063</v>
      </c>
      <c r="D1614" s="276">
        <v>0.3</v>
      </c>
      <c r="E1614" s="277">
        <v>5</v>
      </c>
      <c r="F1614" s="1035"/>
      <c r="G1614" s="401">
        <f t="shared" si="8"/>
        <v>1350000</v>
      </c>
      <c r="H1614" s="284" t="s">
        <v>125</v>
      </c>
      <c r="I1614" s="1035"/>
      <c r="J1614" s="644">
        <v>2250000</v>
      </c>
    </row>
    <row r="1615" spans="1:10">
      <c r="A1615" s="638" t="s">
        <v>7023</v>
      </c>
      <c r="B1615" s="284" t="s">
        <v>7023</v>
      </c>
      <c r="C1615" s="275" t="s">
        <v>7064</v>
      </c>
      <c r="D1615" s="276">
        <v>0.7</v>
      </c>
      <c r="E1615" s="277">
        <v>5</v>
      </c>
      <c r="F1615" s="1035"/>
      <c r="G1615" s="401">
        <f t="shared" si="8"/>
        <v>3150000</v>
      </c>
      <c r="H1615" s="284" t="s">
        <v>125</v>
      </c>
      <c r="I1615" s="1035"/>
      <c r="J1615" s="644">
        <v>5250000</v>
      </c>
    </row>
    <row r="1616" spans="1:10">
      <c r="A1616" s="638" t="s">
        <v>7023</v>
      </c>
      <c r="B1616" s="284" t="s">
        <v>7023</v>
      </c>
      <c r="C1616" s="275" t="s">
        <v>7065</v>
      </c>
      <c r="D1616" s="276">
        <v>0.8</v>
      </c>
      <c r="E1616" s="277">
        <v>5</v>
      </c>
      <c r="F1616" s="1035"/>
      <c r="G1616" s="401">
        <f t="shared" si="8"/>
        <v>3600000</v>
      </c>
      <c r="H1616" s="284" t="s">
        <v>125</v>
      </c>
      <c r="I1616" s="1035"/>
      <c r="J1616" s="644">
        <v>6000000</v>
      </c>
    </row>
    <row r="1617" spans="1:10" ht="67.5">
      <c r="A1617" s="22" t="s">
        <v>6726</v>
      </c>
      <c r="B1617" s="26" t="s">
        <v>24420</v>
      </c>
      <c r="C1617" s="569" t="s">
        <v>24421</v>
      </c>
      <c r="D1617" s="569">
        <v>9.6300000000000008</v>
      </c>
      <c r="E1617" s="569">
        <v>7.5</v>
      </c>
      <c r="F1617" s="569" t="s">
        <v>24422</v>
      </c>
      <c r="G1617" s="73">
        <v>875000</v>
      </c>
      <c r="H1617" s="569">
        <v>1</v>
      </c>
      <c r="I1617" s="569" t="s">
        <v>24423</v>
      </c>
      <c r="J1617" s="531">
        <v>750000</v>
      </c>
    </row>
    <row r="1618" spans="1:10" ht="56.25">
      <c r="A1618" s="22" t="s">
        <v>24424</v>
      </c>
      <c r="B1618" s="26" t="s">
        <v>24425</v>
      </c>
      <c r="C1618" s="569" t="s">
        <v>24426</v>
      </c>
      <c r="D1618" s="569">
        <v>7.8250000000000002</v>
      </c>
      <c r="E1618" s="569">
        <v>7.5</v>
      </c>
      <c r="F1618" s="569" t="s">
        <v>23577</v>
      </c>
      <c r="G1618" s="73">
        <v>0</v>
      </c>
      <c r="H1618" s="569">
        <v>2</v>
      </c>
      <c r="I1618" s="569" t="s">
        <v>23581</v>
      </c>
      <c r="J1618" s="531">
        <v>125500</v>
      </c>
    </row>
    <row r="1619" spans="1:10" ht="56.25">
      <c r="A1619" s="22" t="s">
        <v>24424</v>
      </c>
      <c r="B1619" s="26" t="s">
        <v>24427</v>
      </c>
      <c r="C1619" s="569" t="s">
        <v>24428</v>
      </c>
      <c r="D1619" s="569">
        <v>7.8250000000000002</v>
      </c>
      <c r="E1619" s="569">
        <v>7</v>
      </c>
      <c r="F1619" s="569" t="s">
        <v>23577</v>
      </c>
      <c r="G1619" s="73">
        <v>0</v>
      </c>
      <c r="H1619" s="569">
        <v>2</v>
      </c>
      <c r="I1619" s="569" t="s">
        <v>23581</v>
      </c>
      <c r="J1619" s="531">
        <v>89500</v>
      </c>
    </row>
    <row r="1620" spans="1:10" ht="45">
      <c r="A1620" s="22" t="s">
        <v>6945</v>
      </c>
      <c r="B1620" s="26" t="s">
        <v>6945</v>
      </c>
      <c r="C1620" s="569" t="s">
        <v>24429</v>
      </c>
      <c r="D1620" s="569">
        <v>8.3000000000000007</v>
      </c>
      <c r="E1620" s="569">
        <v>3</v>
      </c>
      <c r="F1620" s="569" t="s">
        <v>24430</v>
      </c>
      <c r="G1620" s="73">
        <v>1200000</v>
      </c>
      <c r="H1620" s="569">
        <v>1</v>
      </c>
      <c r="I1620" s="569" t="s">
        <v>24431</v>
      </c>
      <c r="J1620" s="531">
        <v>1200000</v>
      </c>
    </row>
    <row r="1621" spans="1:10" ht="45">
      <c r="A1621" s="22" t="s">
        <v>6945</v>
      </c>
      <c r="B1621" s="26" t="s">
        <v>24432</v>
      </c>
      <c r="C1621" s="569" t="s">
        <v>24433</v>
      </c>
      <c r="D1621" s="569">
        <v>18.38</v>
      </c>
      <c r="E1621" s="569">
        <v>3</v>
      </c>
      <c r="F1621" s="569" t="s">
        <v>24430</v>
      </c>
      <c r="G1621" s="73">
        <v>600000</v>
      </c>
      <c r="H1621" s="569">
        <v>1</v>
      </c>
      <c r="I1621" s="569" t="s">
        <v>24431</v>
      </c>
      <c r="J1621" s="531">
        <v>600000</v>
      </c>
    </row>
    <row r="1622" spans="1:10" ht="45">
      <c r="A1622" s="22" t="s">
        <v>6726</v>
      </c>
      <c r="B1622" s="26" t="s">
        <v>7528</v>
      </c>
      <c r="C1622" s="569" t="s">
        <v>24434</v>
      </c>
      <c r="D1622" s="569">
        <v>4.2450000000000001</v>
      </c>
      <c r="E1622" s="569">
        <v>3</v>
      </c>
      <c r="F1622" s="569" t="s">
        <v>24430</v>
      </c>
      <c r="G1622" s="73">
        <v>400000</v>
      </c>
      <c r="H1622" s="569">
        <v>1</v>
      </c>
      <c r="I1622" s="569" t="s">
        <v>24431</v>
      </c>
      <c r="J1622" s="531">
        <v>400000</v>
      </c>
    </row>
    <row r="1623" spans="1:10">
      <c r="A1623" s="640"/>
      <c r="B1623" s="377"/>
      <c r="C1623" s="377"/>
      <c r="D1623" s="377"/>
      <c r="E1623" s="272"/>
      <c r="F1623" s="377"/>
      <c r="G1623" s="493"/>
      <c r="H1623" s="377"/>
      <c r="I1623" s="377"/>
      <c r="J1623" s="641"/>
    </row>
    <row r="1624" spans="1:10" ht="15.75">
      <c r="A1624" s="1013" t="s">
        <v>6444</v>
      </c>
      <c r="B1624" s="1014"/>
      <c r="C1624" s="1014"/>
      <c r="D1624" s="1014"/>
      <c r="E1624" s="1014"/>
      <c r="F1624" s="1014"/>
      <c r="G1624" s="550">
        <f>SUM(G1151:G1623)</f>
        <v>1761413055</v>
      </c>
      <c r="H1624" s="564"/>
      <c r="I1624" s="564"/>
      <c r="J1624" s="626">
        <f>SUM(J1151:J1623)</f>
        <v>2933728425</v>
      </c>
    </row>
    <row r="1625" spans="1:10" ht="15.75">
      <c r="A1625" s="1013" t="s">
        <v>7066</v>
      </c>
      <c r="B1625" s="1014"/>
      <c r="C1625" s="1014"/>
      <c r="D1625" s="1014"/>
      <c r="E1625" s="1014"/>
      <c r="F1625" s="1014"/>
      <c r="G1625" s="1014"/>
      <c r="H1625" s="1014"/>
      <c r="I1625" s="1014"/>
      <c r="J1625" s="1015"/>
    </row>
    <row r="1626" spans="1:10" ht="51">
      <c r="A1626" s="638" t="s">
        <v>1879</v>
      </c>
      <c r="B1626" s="284" t="s">
        <v>7067</v>
      </c>
      <c r="C1626" s="284" t="s">
        <v>7068</v>
      </c>
      <c r="D1626" s="284" t="s">
        <v>7069</v>
      </c>
      <c r="E1626" s="284" t="s">
        <v>7070</v>
      </c>
      <c r="F1626" s="284" t="s">
        <v>7071</v>
      </c>
      <c r="G1626" s="401">
        <v>20000000</v>
      </c>
      <c r="H1626" s="284" t="s">
        <v>31</v>
      </c>
      <c r="I1626" s="284" t="s">
        <v>7072</v>
      </c>
      <c r="J1626" s="639">
        <v>40000000</v>
      </c>
    </row>
    <row r="1627" spans="1:10" ht="38.25">
      <c r="A1627" s="638" t="s">
        <v>7073</v>
      </c>
      <c r="B1627" s="284" t="s">
        <v>7074</v>
      </c>
      <c r="C1627" s="284" t="s">
        <v>7075</v>
      </c>
      <c r="D1627" s="284" t="s">
        <v>7076</v>
      </c>
      <c r="E1627" s="284">
        <v>4</v>
      </c>
      <c r="F1627" s="284" t="s">
        <v>7071</v>
      </c>
      <c r="G1627" s="401">
        <v>30000000</v>
      </c>
      <c r="H1627" s="284" t="s">
        <v>31</v>
      </c>
      <c r="I1627" s="284" t="s">
        <v>7077</v>
      </c>
      <c r="J1627" s="639">
        <v>50000000</v>
      </c>
    </row>
    <row r="1628" spans="1:10" ht="45">
      <c r="A1628" s="22" t="s">
        <v>5247</v>
      </c>
      <c r="B1628" s="26" t="s">
        <v>7073</v>
      </c>
      <c r="C1628" s="569" t="s">
        <v>23615</v>
      </c>
      <c r="D1628" s="569">
        <v>11.49</v>
      </c>
      <c r="E1628" s="569">
        <v>2</v>
      </c>
      <c r="F1628" s="569" t="s">
        <v>23616</v>
      </c>
      <c r="G1628" s="73">
        <v>54387.077999999994</v>
      </c>
      <c r="H1628" s="569">
        <v>1</v>
      </c>
      <c r="I1628" s="569" t="s">
        <v>23584</v>
      </c>
      <c r="J1628" s="531">
        <v>54387.077999999994</v>
      </c>
    </row>
    <row r="1629" spans="1:10" ht="45">
      <c r="A1629" s="22" t="s">
        <v>4004</v>
      </c>
      <c r="B1629" s="26">
        <v>0</v>
      </c>
      <c r="C1629" s="569" t="s">
        <v>23617</v>
      </c>
      <c r="D1629" s="569">
        <v>10.055</v>
      </c>
      <c r="E1629" s="569">
        <v>3</v>
      </c>
      <c r="F1629" s="569" t="s">
        <v>23586</v>
      </c>
      <c r="G1629" s="73">
        <v>121180.52559999998</v>
      </c>
      <c r="H1629" s="569">
        <v>1</v>
      </c>
      <c r="I1629" s="569" t="s">
        <v>23584</v>
      </c>
      <c r="J1629" s="531">
        <v>121180.52559999998</v>
      </c>
    </row>
    <row r="1630" spans="1:10" ht="45">
      <c r="A1630" s="22" t="s">
        <v>5247</v>
      </c>
      <c r="B1630" s="26" t="s">
        <v>7073</v>
      </c>
      <c r="C1630" s="569" t="s">
        <v>23618</v>
      </c>
      <c r="D1630" s="569">
        <v>11.49</v>
      </c>
      <c r="E1630" s="569">
        <v>4</v>
      </c>
      <c r="F1630" s="569" t="s">
        <v>23616</v>
      </c>
      <c r="G1630" s="73">
        <v>240000</v>
      </c>
      <c r="H1630" s="569">
        <v>1</v>
      </c>
      <c r="I1630" s="569" t="s">
        <v>23584</v>
      </c>
      <c r="J1630" s="531">
        <v>995370.9</v>
      </c>
    </row>
    <row r="1631" spans="1:10" ht="45">
      <c r="A1631" s="22" t="s">
        <v>5247</v>
      </c>
      <c r="B1631" s="26" t="s">
        <v>23619</v>
      </c>
      <c r="C1631" s="569" t="s">
        <v>23620</v>
      </c>
      <c r="D1631" s="569">
        <v>11.49</v>
      </c>
      <c r="E1631" s="569">
        <v>3</v>
      </c>
      <c r="F1631" s="569" t="s">
        <v>23586</v>
      </c>
      <c r="G1631" s="73">
        <v>60000</v>
      </c>
      <c r="H1631" s="569">
        <v>1</v>
      </c>
      <c r="I1631" s="569" t="s">
        <v>23584</v>
      </c>
      <c r="J1631" s="531">
        <v>349444.15</v>
      </c>
    </row>
    <row r="1632" spans="1:10" ht="45">
      <c r="A1632" s="22" t="s">
        <v>5247</v>
      </c>
      <c r="B1632" s="26" t="s">
        <v>23619</v>
      </c>
      <c r="C1632" s="569" t="s">
        <v>23621</v>
      </c>
      <c r="D1632" s="569">
        <v>11.49</v>
      </c>
      <c r="E1632" s="569">
        <v>2</v>
      </c>
      <c r="F1632" s="569" t="s">
        <v>23586</v>
      </c>
      <c r="G1632" s="73">
        <v>35000</v>
      </c>
      <c r="H1632" s="569">
        <v>1</v>
      </c>
      <c r="I1632" s="569" t="s">
        <v>23584</v>
      </c>
      <c r="J1632" s="531">
        <v>416268.65</v>
      </c>
    </row>
    <row r="1633" spans="1:10" ht="45">
      <c r="A1633" s="22" t="s">
        <v>5247</v>
      </c>
      <c r="B1633" s="26" t="s">
        <v>23619</v>
      </c>
      <c r="C1633" s="569" t="s">
        <v>23622</v>
      </c>
      <c r="D1633" s="569">
        <v>11.49</v>
      </c>
      <c r="E1633" s="569">
        <v>5</v>
      </c>
      <c r="F1633" s="569" t="s">
        <v>23623</v>
      </c>
      <c r="G1633" s="73">
        <v>450000</v>
      </c>
      <c r="H1633" s="569">
        <v>1</v>
      </c>
      <c r="I1633" s="569" t="s">
        <v>23584</v>
      </c>
      <c r="J1633" s="531">
        <v>318546.64</v>
      </c>
    </row>
    <row r="1634" spans="1:10" ht="45">
      <c r="A1634" s="22" t="s">
        <v>5247</v>
      </c>
      <c r="B1634" s="26" t="s">
        <v>23619</v>
      </c>
      <c r="C1634" s="569" t="s">
        <v>23624</v>
      </c>
      <c r="D1634" s="569">
        <v>11.49</v>
      </c>
      <c r="E1634" s="569">
        <v>4</v>
      </c>
      <c r="F1634" s="569" t="s">
        <v>23623</v>
      </c>
      <c r="G1634" s="73">
        <v>150000</v>
      </c>
      <c r="H1634" s="569">
        <v>1</v>
      </c>
      <c r="I1634" s="569" t="s">
        <v>23584</v>
      </c>
      <c r="J1634" s="531">
        <v>290983.09999999998</v>
      </c>
    </row>
    <row r="1635" spans="1:10" ht="45">
      <c r="A1635" s="22" t="s">
        <v>5247</v>
      </c>
      <c r="B1635" s="26" t="s">
        <v>23619</v>
      </c>
      <c r="C1635" s="569" t="s">
        <v>23625</v>
      </c>
      <c r="D1635" s="569">
        <v>11.49</v>
      </c>
      <c r="E1635" s="569">
        <v>9</v>
      </c>
      <c r="F1635" s="569" t="s">
        <v>23623</v>
      </c>
      <c r="G1635" s="73">
        <v>290000</v>
      </c>
      <c r="H1635" s="569">
        <v>1</v>
      </c>
      <c r="I1635" s="569" t="s">
        <v>23584</v>
      </c>
      <c r="J1635" s="531">
        <v>416268.65</v>
      </c>
    </row>
    <row r="1636" spans="1:10">
      <c r="A1636" s="640"/>
      <c r="B1636" s="377"/>
      <c r="C1636" s="377"/>
      <c r="D1636" s="377"/>
      <c r="E1636" s="272"/>
      <c r="F1636" s="377"/>
      <c r="G1636" s="493"/>
      <c r="H1636" s="377"/>
      <c r="I1636" s="377"/>
      <c r="J1636" s="641"/>
    </row>
    <row r="1637" spans="1:10" ht="15.75">
      <c r="A1637" s="1013" t="s">
        <v>6444</v>
      </c>
      <c r="B1637" s="1014"/>
      <c r="C1637" s="1014"/>
      <c r="D1637" s="1014"/>
      <c r="E1637" s="1014"/>
      <c r="F1637" s="1014"/>
      <c r="G1637" s="550">
        <f>SUM(G1626:G1636)</f>
        <v>51400567.603600003</v>
      </c>
      <c r="H1637" s="564"/>
      <c r="I1637" s="564"/>
      <c r="J1637" s="626">
        <f>SUM(J1626:J1636)</f>
        <v>92962449.693600014</v>
      </c>
    </row>
    <row r="1638" spans="1:10" ht="15.75">
      <c r="A1638" s="1013" t="s">
        <v>7078</v>
      </c>
      <c r="B1638" s="1014"/>
      <c r="C1638" s="1014"/>
      <c r="D1638" s="1014"/>
      <c r="E1638" s="1014"/>
      <c r="F1638" s="1014"/>
      <c r="G1638" s="1014"/>
      <c r="H1638" s="1014"/>
      <c r="I1638" s="1014"/>
      <c r="J1638" s="1015"/>
    </row>
    <row r="1639" spans="1:10" ht="280.5">
      <c r="A1639" s="638" t="s">
        <v>7079</v>
      </c>
      <c r="B1639" s="284" t="s">
        <v>7080</v>
      </c>
      <c r="C1639" s="284" t="s">
        <v>7081</v>
      </c>
      <c r="D1639" s="284">
        <v>3.32</v>
      </c>
      <c r="E1639" s="284">
        <v>7.5</v>
      </c>
      <c r="F1639" s="284" t="s">
        <v>7082</v>
      </c>
      <c r="G1639" s="401">
        <v>50000000</v>
      </c>
      <c r="H1639" s="284">
        <v>1</v>
      </c>
      <c r="I1639" s="284" t="s">
        <v>7083</v>
      </c>
      <c r="J1639" s="639">
        <v>500000000</v>
      </c>
    </row>
    <row r="1640" spans="1:10">
      <c r="A1640" s="22">
        <v>0</v>
      </c>
      <c r="B1640" s="26">
        <v>0</v>
      </c>
      <c r="C1640" s="569" t="e">
        <v>#DIV/0!</v>
      </c>
      <c r="D1640" s="569">
        <v>4.8250000000000002</v>
      </c>
      <c r="E1640" s="569">
        <v>0</v>
      </c>
      <c r="F1640" s="569" t="s">
        <v>23608</v>
      </c>
      <c r="G1640" s="73">
        <v>0</v>
      </c>
      <c r="H1640" s="569">
        <v>0</v>
      </c>
      <c r="I1640" s="569" t="s">
        <v>23609</v>
      </c>
      <c r="J1640" s="531">
        <v>2214576</v>
      </c>
    </row>
    <row r="1641" spans="1:10" ht="22.5">
      <c r="A1641" s="22">
        <v>0</v>
      </c>
      <c r="B1641" s="26">
        <v>0</v>
      </c>
      <c r="C1641" s="569" t="s">
        <v>24680</v>
      </c>
      <c r="D1641" s="569">
        <v>1.81</v>
      </c>
      <c r="E1641" s="569">
        <v>0</v>
      </c>
      <c r="F1641" s="569" t="s">
        <v>23608</v>
      </c>
      <c r="G1641" s="73">
        <v>0</v>
      </c>
      <c r="H1641" s="569">
        <v>0</v>
      </c>
      <c r="I1641" s="569" t="s">
        <v>23609</v>
      </c>
      <c r="J1641" s="531">
        <v>0</v>
      </c>
    </row>
    <row r="1642" spans="1:10" ht="22.5">
      <c r="A1642" s="22" t="s">
        <v>24683</v>
      </c>
      <c r="B1642" s="26">
        <v>0</v>
      </c>
      <c r="C1642" s="569" t="s">
        <v>24681</v>
      </c>
      <c r="D1642" s="569">
        <v>5.36</v>
      </c>
      <c r="E1642" s="569">
        <v>0</v>
      </c>
      <c r="F1642" s="569" t="s">
        <v>23608</v>
      </c>
      <c r="G1642" s="73">
        <v>0</v>
      </c>
      <c r="H1642" s="569">
        <v>0</v>
      </c>
      <c r="I1642" s="569" t="s">
        <v>23609</v>
      </c>
      <c r="J1642" s="531">
        <v>476985</v>
      </c>
    </row>
    <row r="1643" spans="1:10" ht="33.75">
      <c r="A1643" s="22" t="s">
        <v>24683</v>
      </c>
      <c r="B1643" s="26">
        <v>0</v>
      </c>
      <c r="C1643" s="569" t="s">
        <v>24682</v>
      </c>
      <c r="D1643" s="569">
        <v>1.81</v>
      </c>
      <c r="E1643" s="569">
        <v>0</v>
      </c>
      <c r="F1643" s="569" t="s">
        <v>23608</v>
      </c>
      <c r="G1643" s="73">
        <v>0</v>
      </c>
      <c r="H1643" s="569">
        <v>0</v>
      </c>
      <c r="I1643" s="569" t="s">
        <v>23609</v>
      </c>
      <c r="J1643" s="531">
        <v>170352</v>
      </c>
    </row>
    <row r="1644" spans="1:10">
      <c r="A1644" s="640"/>
      <c r="B1644" s="377"/>
      <c r="C1644" s="377"/>
      <c r="D1644" s="377"/>
      <c r="E1644" s="272"/>
      <c r="F1644" s="377"/>
      <c r="G1644" s="493"/>
      <c r="H1644" s="377"/>
      <c r="I1644" s="377"/>
      <c r="J1644" s="641"/>
    </row>
    <row r="1645" spans="1:10" ht="15.75">
      <c r="A1645" s="1013" t="s">
        <v>6444</v>
      </c>
      <c r="B1645" s="1014"/>
      <c r="C1645" s="1014"/>
      <c r="D1645" s="1014"/>
      <c r="E1645" s="1014"/>
      <c r="F1645" s="1014"/>
      <c r="G1645" s="550">
        <f>SUM(G1639:G1644)</f>
        <v>50000000</v>
      </c>
      <c r="H1645" s="564"/>
      <c r="I1645" s="564"/>
      <c r="J1645" s="626">
        <f>SUM(J1639:J1644)</f>
        <v>502861913</v>
      </c>
    </row>
    <row r="1646" spans="1:10" ht="15.75">
      <c r="A1646" s="1013" t="s">
        <v>7084</v>
      </c>
      <c r="B1646" s="1014"/>
      <c r="C1646" s="1014"/>
      <c r="D1646" s="1014"/>
      <c r="E1646" s="1014"/>
      <c r="F1646" s="1014"/>
      <c r="G1646" s="1014"/>
      <c r="H1646" s="1014"/>
      <c r="I1646" s="1014"/>
      <c r="J1646" s="1015"/>
    </row>
    <row r="1647" spans="1:10" ht="45">
      <c r="A1647" s="22" t="s">
        <v>24674</v>
      </c>
      <c r="B1647" s="26" t="s">
        <v>24674</v>
      </c>
      <c r="C1647" s="569" t="s">
        <v>24675</v>
      </c>
      <c r="D1647" s="569">
        <v>7.1950000000000003</v>
      </c>
      <c r="E1647" s="569">
        <v>7</v>
      </c>
      <c r="F1647" s="569" t="s">
        <v>24676</v>
      </c>
      <c r="G1647" s="73">
        <v>0</v>
      </c>
      <c r="H1647" s="569">
        <v>0</v>
      </c>
      <c r="I1647" s="569" t="s">
        <v>23532</v>
      </c>
      <c r="J1647" s="531">
        <v>300000</v>
      </c>
    </row>
    <row r="1648" spans="1:10" ht="45">
      <c r="A1648" s="22" t="s">
        <v>24677</v>
      </c>
      <c r="B1648" s="26" t="s">
        <v>24677</v>
      </c>
      <c r="C1648" s="569" t="s">
        <v>24678</v>
      </c>
      <c r="D1648" s="569">
        <v>17.715</v>
      </c>
      <c r="E1648" s="569">
        <v>9</v>
      </c>
      <c r="F1648" s="569" t="s">
        <v>23723</v>
      </c>
      <c r="G1648" s="73">
        <v>0</v>
      </c>
      <c r="H1648" s="569">
        <v>0</v>
      </c>
      <c r="I1648" s="569" t="s">
        <v>24679</v>
      </c>
      <c r="J1648" s="531">
        <v>8000000</v>
      </c>
    </row>
    <row r="1649" spans="1:10" ht="15.75">
      <c r="A1649" s="1013" t="s">
        <v>6444</v>
      </c>
      <c r="B1649" s="1014"/>
      <c r="C1649" s="1014"/>
      <c r="D1649" s="1014"/>
      <c r="E1649" s="1014"/>
      <c r="F1649" s="1014"/>
      <c r="G1649" s="550">
        <f>SUM(G1647:G1648)</f>
        <v>0</v>
      </c>
      <c r="H1649" s="564"/>
      <c r="I1649" s="564"/>
      <c r="J1649" s="626">
        <f>SUM(J1647:J1648)</f>
        <v>8300000</v>
      </c>
    </row>
    <row r="1650" spans="1:10" ht="15.75">
      <c r="A1650" s="1013" t="s">
        <v>7085</v>
      </c>
      <c r="B1650" s="1014"/>
      <c r="C1650" s="1014"/>
      <c r="D1650" s="1014"/>
      <c r="E1650" s="1014"/>
      <c r="F1650" s="1014"/>
      <c r="G1650" s="1014"/>
      <c r="H1650" s="1014"/>
      <c r="I1650" s="1014"/>
      <c r="J1650" s="1015"/>
    </row>
    <row r="1651" spans="1:10" ht="89.25">
      <c r="A1651" s="638" t="s">
        <v>81</v>
      </c>
      <c r="B1651" s="284" t="s">
        <v>355</v>
      </c>
      <c r="C1651" s="284" t="s">
        <v>356</v>
      </c>
      <c r="D1651" s="284">
        <v>5.3</v>
      </c>
      <c r="E1651" s="284">
        <v>5</v>
      </c>
      <c r="F1651" s="284" t="s">
        <v>357</v>
      </c>
      <c r="G1651" s="401">
        <v>45050000</v>
      </c>
      <c r="H1651" s="284">
        <v>1</v>
      </c>
      <c r="I1651" s="284" t="s">
        <v>358</v>
      </c>
      <c r="J1651" s="639">
        <v>82150000</v>
      </c>
    </row>
    <row r="1652" spans="1:10" ht="45">
      <c r="A1652" s="22" t="s">
        <v>23943</v>
      </c>
      <c r="B1652" s="26" t="s">
        <v>23944</v>
      </c>
      <c r="C1652" s="569" t="s">
        <v>23945</v>
      </c>
      <c r="D1652" s="569">
        <v>21.93</v>
      </c>
      <c r="E1652" s="569">
        <v>5</v>
      </c>
      <c r="F1652" s="569" t="s">
        <v>23946</v>
      </c>
      <c r="G1652" s="73">
        <v>15000000</v>
      </c>
      <c r="H1652" s="569">
        <v>1</v>
      </c>
      <c r="I1652" s="569" t="s">
        <v>23947</v>
      </c>
      <c r="J1652" s="531">
        <v>3500000</v>
      </c>
    </row>
    <row r="1653" spans="1:10">
      <c r="A1653" s="640"/>
      <c r="B1653" s="377"/>
      <c r="C1653" s="377"/>
      <c r="D1653" s="377"/>
      <c r="E1653" s="272"/>
      <c r="F1653" s="377"/>
      <c r="G1653" s="493"/>
      <c r="H1653" s="377"/>
      <c r="I1653" s="377"/>
      <c r="J1653" s="641"/>
    </row>
    <row r="1654" spans="1:10" ht="15.75">
      <c r="A1654" s="1013" t="s">
        <v>6444</v>
      </c>
      <c r="B1654" s="1014"/>
      <c r="C1654" s="1014"/>
      <c r="D1654" s="1014"/>
      <c r="E1654" s="1014"/>
      <c r="F1654" s="1014"/>
      <c r="G1654" s="550">
        <f>SUM(G1651:G1653)</f>
        <v>60050000</v>
      </c>
      <c r="H1654" s="564"/>
      <c r="I1654" s="564"/>
      <c r="J1654" s="626">
        <f>SUM(J1651:J1653)</f>
        <v>85650000</v>
      </c>
    </row>
    <row r="1655" spans="1:10" ht="15.75">
      <c r="A1655" s="1013" t="s">
        <v>4084</v>
      </c>
      <c r="B1655" s="1014"/>
      <c r="C1655" s="1014"/>
      <c r="D1655" s="1014"/>
      <c r="E1655" s="1014"/>
      <c r="F1655" s="1014"/>
      <c r="G1655" s="1014"/>
      <c r="H1655" s="1014"/>
      <c r="I1655" s="1014"/>
      <c r="J1655" s="1015"/>
    </row>
    <row r="1656" spans="1:10" ht="180">
      <c r="A1656" s="645" t="s">
        <v>1697</v>
      </c>
      <c r="B1656" s="236" t="s">
        <v>5343</v>
      </c>
      <c r="C1656" s="237" t="s">
        <v>5344</v>
      </c>
      <c r="D1656" s="237">
        <v>3.8</v>
      </c>
      <c r="E1656" s="237">
        <v>5.5</v>
      </c>
      <c r="F1656" s="237" t="s">
        <v>5345</v>
      </c>
      <c r="G1656" s="529"/>
      <c r="H1656" s="237"/>
      <c r="I1656" s="237" t="s">
        <v>5346</v>
      </c>
      <c r="J1656" s="646">
        <v>258347560.41</v>
      </c>
    </row>
    <row r="1657" spans="1:10" ht="191.25">
      <c r="A1657" s="645" t="s">
        <v>1697</v>
      </c>
      <c r="B1657" s="236" t="s">
        <v>5347</v>
      </c>
      <c r="C1657" s="237" t="s">
        <v>5348</v>
      </c>
      <c r="D1657" s="237">
        <v>0.8</v>
      </c>
      <c r="E1657" s="237">
        <v>6</v>
      </c>
      <c r="F1657" s="237" t="s">
        <v>5349</v>
      </c>
      <c r="G1657" s="529"/>
      <c r="H1657" s="237"/>
      <c r="I1657" s="237" t="s">
        <v>5350</v>
      </c>
      <c r="J1657" s="646">
        <v>72119419.030000001</v>
      </c>
    </row>
    <row r="1658" spans="1:10" ht="123.75">
      <c r="A1658" s="645" t="s">
        <v>4300</v>
      </c>
      <c r="B1658" s="236" t="s">
        <v>5351</v>
      </c>
      <c r="C1658" s="237" t="s">
        <v>5352</v>
      </c>
      <c r="D1658" s="237">
        <v>5</v>
      </c>
      <c r="E1658" s="237">
        <v>5.5</v>
      </c>
      <c r="F1658" s="237" t="s">
        <v>5353</v>
      </c>
      <c r="G1658" s="529"/>
      <c r="H1658" s="237"/>
      <c r="I1658" s="237" t="s">
        <v>5354</v>
      </c>
      <c r="J1658" s="646">
        <v>455719873.94999999</v>
      </c>
    </row>
    <row r="1659" spans="1:10" ht="112.5">
      <c r="A1659" s="645" t="s">
        <v>5355</v>
      </c>
      <c r="B1659" s="236" t="s">
        <v>1819</v>
      </c>
      <c r="C1659" s="237" t="s">
        <v>5356</v>
      </c>
      <c r="D1659" s="237">
        <v>4.5</v>
      </c>
      <c r="E1659" s="237">
        <v>5.5</v>
      </c>
      <c r="F1659" s="237" t="s">
        <v>5357</v>
      </c>
      <c r="G1659" s="529"/>
      <c r="H1659" s="237"/>
      <c r="I1659" s="237" t="s">
        <v>5358</v>
      </c>
      <c r="J1659" s="646">
        <v>72091168.090000004</v>
      </c>
    </row>
    <row r="1660" spans="1:10" ht="123.75">
      <c r="A1660" s="645" t="s">
        <v>1064</v>
      </c>
      <c r="B1660" s="236" t="s">
        <v>5359</v>
      </c>
      <c r="C1660" s="237" t="s">
        <v>5360</v>
      </c>
      <c r="D1660" s="237">
        <v>2.8</v>
      </c>
      <c r="E1660" s="237">
        <v>5.5</v>
      </c>
      <c r="F1660" s="237" t="s">
        <v>5353</v>
      </c>
      <c r="G1660" s="529"/>
      <c r="H1660" s="237"/>
      <c r="I1660" s="237" t="s">
        <v>5361</v>
      </c>
      <c r="J1660" s="646">
        <v>299097855.81</v>
      </c>
    </row>
    <row r="1661" spans="1:10" ht="123.75">
      <c r="A1661" s="645" t="s">
        <v>1064</v>
      </c>
      <c r="B1661" s="236" t="s">
        <v>5362</v>
      </c>
      <c r="C1661" s="237" t="s">
        <v>5363</v>
      </c>
      <c r="D1661" s="237">
        <v>2.5</v>
      </c>
      <c r="E1661" s="237">
        <v>5.5</v>
      </c>
      <c r="F1661" s="237" t="s">
        <v>5364</v>
      </c>
      <c r="G1661" s="529"/>
      <c r="H1661" s="237"/>
      <c r="I1661" s="237" t="s">
        <v>5361</v>
      </c>
      <c r="J1661" s="646">
        <v>282201836.18000001</v>
      </c>
    </row>
    <row r="1662" spans="1:10" ht="67.5">
      <c r="A1662" s="645" t="s">
        <v>4126</v>
      </c>
      <c r="B1662" s="236" t="s">
        <v>5365</v>
      </c>
      <c r="C1662" s="237" t="s">
        <v>5366</v>
      </c>
      <c r="D1662" s="237">
        <v>0.74</v>
      </c>
      <c r="E1662" s="237">
        <v>5.5</v>
      </c>
      <c r="F1662" s="237" t="s">
        <v>5364</v>
      </c>
      <c r="G1662" s="529"/>
      <c r="H1662" s="237"/>
      <c r="I1662" s="237" t="s">
        <v>5367</v>
      </c>
      <c r="J1662" s="646">
        <v>80251190</v>
      </c>
    </row>
    <row r="1663" spans="1:10" ht="123.75">
      <c r="A1663" s="645" t="s">
        <v>4318</v>
      </c>
      <c r="B1663" s="236" t="s">
        <v>5368</v>
      </c>
      <c r="C1663" s="237" t="s">
        <v>5369</v>
      </c>
      <c r="D1663" s="237">
        <v>2.7</v>
      </c>
      <c r="E1663" s="237">
        <v>5.5</v>
      </c>
      <c r="F1663" s="237" t="s">
        <v>5353</v>
      </c>
      <c r="G1663" s="529"/>
      <c r="H1663" s="237"/>
      <c r="I1663" s="237" t="s">
        <v>5361</v>
      </c>
      <c r="J1663" s="646">
        <v>327278556.73000002</v>
      </c>
    </row>
    <row r="1664" spans="1:10" ht="56.25">
      <c r="A1664" s="22" t="s">
        <v>23728</v>
      </c>
      <c r="B1664" s="26" t="s">
        <v>23728</v>
      </c>
      <c r="C1664" s="569" t="s">
        <v>23729</v>
      </c>
      <c r="D1664" s="569">
        <v>4.74</v>
      </c>
      <c r="E1664" s="569">
        <v>8</v>
      </c>
      <c r="F1664" s="569" t="s">
        <v>23730</v>
      </c>
      <c r="G1664" s="73">
        <v>0</v>
      </c>
      <c r="H1664" s="569" t="s">
        <v>1635</v>
      </c>
      <c r="I1664" s="569" t="s">
        <v>23629</v>
      </c>
      <c r="J1664" s="531">
        <v>1350000</v>
      </c>
    </row>
    <row r="1665" spans="1:10" ht="45">
      <c r="A1665" s="22" t="s">
        <v>5444</v>
      </c>
      <c r="B1665" s="26" t="s">
        <v>5444</v>
      </c>
      <c r="C1665" s="569" t="s">
        <v>23731</v>
      </c>
      <c r="D1665" s="569">
        <v>4.0750000000000002</v>
      </c>
      <c r="E1665" s="569">
        <v>4</v>
      </c>
      <c r="F1665" s="569" t="s">
        <v>23732</v>
      </c>
      <c r="G1665" s="73">
        <v>0</v>
      </c>
      <c r="H1665" s="569" t="s">
        <v>1635</v>
      </c>
      <c r="I1665" s="569" t="s">
        <v>23629</v>
      </c>
      <c r="J1665" s="531">
        <v>150000</v>
      </c>
    </row>
    <row r="1666" spans="1:10" ht="33.75">
      <c r="A1666" s="22" t="s">
        <v>5761</v>
      </c>
      <c r="B1666" s="26" t="s">
        <v>23733</v>
      </c>
      <c r="C1666" s="569" t="s">
        <v>23734</v>
      </c>
      <c r="D1666" s="569">
        <v>3.0950000000000002</v>
      </c>
      <c r="E1666" s="569">
        <v>7</v>
      </c>
      <c r="F1666" s="569" t="s">
        <v>23735</v>
      </c>
      <c r="G1666" s="73">
        <v>0</v>
      </c>
      <c r="H1666" s="569" t="s">
        <v>1628</v>
      </c>
      <c r="I1666" s="569" t="s">
        <v>23629</v>
      </c>
      <c r="J1666" s="531">
        <v>899677.09</v>
      </c>
    </row>
    <row r="1667" spans="1:10" ht="78.75">
      <c r="A1667" s="22">
        <v>0</v>
      </c>
      <c r="B1667" s="26">
        <v>0</v>
      </c>
      <c r="C1667" s="569" t="s">
        <v>23736</v>
      </c>
      <c r="D1667" s="569">
        <v>9.25</v>
      </c>
      <c r="E1667" s="569">
        <v>8</v>
      </c>
      <c r="F1667" s="569" t="s">
        <v>23737</v>
      </c>
      <c r="G1667" s="73">
        <v>0</v>
      </c>
      <c r="H1667" s="569">
        <v>1</v>
      </c>
      <c r="I1667" s="569" t="s">
        <v>23738</v>
      </c>
      <c r="J1667" s="531">
        <v>30000000</v>
      </c>
    </row>
    <row r="1668" spans="1:10" ht="33.75">
      <c r="A1668" s="22">
        <v>0</v>
      </c>
      <c r="B1668" s="26">
        <v>0</v>
      </c>
      <c r="C1668" s="569" t="s">
        <v>23739</v>
      </c>
      <c r="D1668" s="569">
        <v>4.71</v>
      </c>
      <c r="E1668" s="569">
        <v>4</v>
      </c>
      <c r="F1668" s="569" t="s">
        <v>23564</v>
      </c>
      <c r="G1668" s="73">
        <v>0</v>
      </c>
      <c r="H1668" s="569">
        <v>1</v>
      </c>
      <c r="I1668" s="569" t="s">
        <v>23565</v>
      </c>
      <c r="J1668" s="531">
        <v>6465000</v>
      </c>
    </row>
    <row r="1669" spans="1:10" ht="33.75">
      <c r="A1669" s="22">
        <v>0</v>
      </c>
      <c r="B1669" s="26">
        <v>0</v>
      </c>
      <c r="C1669" s="569" t="s">
        <v>23740</v>
      </c>
      <c r="D1669" s="569">
        <v>4.9550000000000001</v>
      </c>
      <c r="E1669" s="569">
        <v>0</v>
      </c>
      <c r="F1669" s="569" t="s">
        <v>23564</v>
      </c>
      <c r="G1669" s="73">
        <v>0</v>
      </c>
      <c r="H1669" s="569">
        <v>1</v>
      </c>
      <c r="I1669" s="569" t="s">
        <v>23565</v>
      </c>
      <c r="J1669" s="531">
        <v>1293000</v>
      </c>
    </row>
    <row r="1670" spans="1:10" ht="33.75">
      <c r="A1670" s="22">
        <v>0</v>
      </c>
      <c r="B1670" s="26">
        <v>0</v>
      </c>
      <c r="C1670" s="569" t="s">
        <v>23741</v>
      </c>
      <c r="D1670" s="569">
        <v>5.08</v>
      </c>
      <c r="E1670" s="569">
        <v>0</v>
      </c>
      <c r="F1670" s="569" t="s">
        <v>23564</v>
      </c>
      <c r="G1670" s="73">
        <v>0</v>
      </c>
      <c r="H1670" s="569">
        <v>1</v>
      </c>
      <c r="I1670" s="569" t="s">
        <v>23565</v>
      </c>
      <c r="J1670" s="531">
        <v>646500</v>
      </c>
    </row>
    <row r="1671" spans="1:10" ht="33.75">
      <c r="A1671" s="22">
        <v>0</v>
      </c>
      <c r="B1671" s="26">
        <v>0</v>
      </c>
      <c r="C1671" s="569" t="s">
        <v>23742</v>
      </c>
      <c r="D1671" s="569">
        <v>6.91</v>
      </c>
      <c r="E1671" s="569">
        <v>0</v>
      </c>
      <c r="F1671" s="569" t="s">
        <v>23564</v>
      </c>
      <c r="G1671" s="73">
        <v>0</v>
      </c>
      <c r="H1671" s="569">
        <v>1</v>
      </c>
      <c r="I1671" s="569" t="s">
        <v>23565</v>
      </c>
      <c r="J1671" s="531">
        <v>2155000</v>
      </c>
    </row>
    <row r="1672" spans="1:10" ht="33.75">
      <c r="A1672" s="22">
        <v>0</v>
      </c>
      <c r="B1672" s="26">
        <v>0</v>
      </c>
      <c r="C1672" s="569" t="s">
        <v>23743</v>
      </c>
      <c r="D1672" s="569">
        <v>4.84</v>
      </c>
      <c r="E1672" s="569">
        <v>0</v>
      </c>
      <c r="F1672" s="569" t="s">
        <v>23564</v>
      </c>
      <c r="G1672" s="73">
        <v>0</v>
      </c>
      <c r="H1672" s="569">
        <v>1</v>
      </c>
      <c r="I1672" s="569" t="s">
        <v>23565</v>
      </c>
      <c r="J1672" s="531">
        <v>969750</v>
      </c>
    </row>
    <row r="1673" spans="1:10" ht="15.75">
      <c r="A1673" s="1013" t="s">
        <v>189</v>
      </c>
      <c r="B1673" s="1014"/>
      <c r="C1673" s="1014"/>
      <c r="D1673" s="1014"/>
      <c r="E1673" s="1014"/>
      <c r="F1673" s="1014"/>
      <c r="G1673" s="550">
        <f>SUM(G1656:G1672)</f>
        <v>0</v>
      </c>
      <c r="H1673" s="564"/>
      <c r="I1673" s="564"/>
      <c r="J1673" s="626">
        <f>SUM(J1656:J1672)</f>
        <v>1891036387.29</v>
      </c>
    </row>
    <row r="1674" spans="1:10" ht="15.75">
      <c r="A1674" s="1013" t="s">
        <v>5633</v>
      </c>
      <c r="B1674" s="1014"/>
      <c r="C1674" s="1014"/>
      <c r="D1674" s="1014"/>
      <c r="E1674" s="1014"/>
      <c r="F1674" s="1014"/>
      <c r="G1674" s="1014"/>
      <c r="H1674" s="1014"/>
      <c r="I1674" s="1014"/>
      <c r="J1674" s="1015"/>
    </row>
    <row r="1675" spans="1:10" ht="67.5">
      <c r="A1675" s="647" t="s">
        <v>4208</v>
      </c>
      <c r="B1675" s="585" t="s">
        <v>5371</v>
      </c>
      <c r="C1675" s="586" t="s">
        <v>5372</v>
      </c>
      <c r="D1675" s="587">
        <v>2.2000000000000002</v>
      </c>
      <c r="E1675" s="587">
        <v>6</v>
      </c>
      <c r="F1675" s="586" t="s">
        <v>5373</v>
      </c>
      <c r="G1675" s="588">
        <v>28000000</v>
      </c>
      <c r="H1675" s="587">
        <v>1</v>
      </c>
      <c r="I1675" s="586" t="s">
        <v>5374</v>
      </c>
      <c r="J1675" s="648">
        <v>28000000</v>
      </c>
    </row>
    <row r="1676" spans="1:10" ht="67.5">
      <c r="A1676" s="649" t="s">
        <v>4208</v>
      </c>
      <c r="B1676" s="585" t="s">
        <v>5375</v>
      </c>
      <c r="C1676" s="586" t="s">
        <v>5376</v>
      </c>
      <c r="D1676" s="586">
        <v>5.6</v>
      </c>
      <c r="E1676" s="586">
        <v>6</v>
      </c>
      <c r="F1676" s="586" t="s">
        <v>5373</v>
      </c>
      <c r="G1676" s="588">
        <v>80000000</v>
      </c>
      <c r="H1676" s="586">
        <v>1</v>
      </c>
      <c r="I1676" s="586" t="s">
        <v>5374</v>
      </c>
      <c r="J1676" s="648">
        <v>80000000</v>
      </c>
    </row>
    <row r="1677" spans="1:10" ht="67.5">
      <c r="A1677" s="649" t="s">
        <v>4208</v>
      </c>
      <c r="B1677" s="585" t="s">
        <v>5377</v>
      </c>
      <c r="C1677" s="586" t="s">
        <v>5378</v>
      </c>
      <c r="D1677" s="586">
        <v>5.5</v>
      </c>
      <c r="E1677" s="586">
        <v>5</v>
      </c>
      <c r="F1677" s="586" t="s">
        <v>5373</v>
      </c>
      <c r="G1677" s="588">
        <v>130000000</v>
      </c>
      <c r="H1677" s="586">
        <v>1</v>
      </c>
      <c r="I1677" s="586" t="s">
        <v>5374</v>
      </c>
      <c r="J1677" s="648">
        <v>297000000</v>
      </c>
    </row>
    <row r="1678" spans="1:10" ht="67.5">
      <c r="A1678" s="649" t="s">
        <v>4208</v>
      </c>
      <c r="B1678" s="585" t="s">
        <v>5379</v>
      </c>
      <c r="C1678" s="586" t="s">
        <v>5380</v>
      </c>
      <c r="D1678" s="586">
        <v>2.1</v>
      </c>
      <c r="E1678" s="586">
        <v>5</v>
      </c>
      <c r="F1678" s="586" t="s">
        <v>5373</v>
      </c>
      <c r="G1678" s="588">
        <v>60000000</v>
      </c>
      <c r="H1678" s="586">
        <v>1</v>
      </c>
      <c r="I1678" s="586" t="s">
        <v>5374</v>
      </c>
      <c r="J1678" s="648">
        <v>60000000</v>
      </c>
    </row>
    <row r="1679" spans="1:10" ht="67.5">
      <c r="A1679" s="649" t="s">
        <v>4208</v>
      </c>
      <c r="B1679" s="585" t="s">
        <v>5381</v>
      </c>
      <c r="C1679" s="586" t="s">
        <v>5382</v>
      </c>
      <c r="D1679" s="586">
        <v>5.3</v>
      </c>
      <c r="E1679" s="586">
        <v>5</v>
      </c>
      <c r="F1679" s="586" t="s">
        <v>5373</v>
      </c>
      <c r="G1679" s="588">
        <v>186000000</v>
      </c>
      <c r="H1679" s="586">
        <v>1</v>
      </c>
      <c r="I1679" s="586" t="s">
        <v>5374</v>
      </c>
      <c r="J1679" s="648">
        <v>186000000</v>
      </c>
    </row>
    <row r="1680" spans="1:10" ht="67.5">
      <c r="A1680" s="649" t="s">
        <v>5383</v>
      </c>
      <c r="B1680" s="585" t="s">
        <v>5384</v>
      </c>
      <c r="C1680" s="586" t="s">
        <v>5385</v>
      </c>
      <c r="D1680" s="586">
        <v>4.9000000000000004</v>
      </c>
      <c r="E1680" s="586">
        <v>5</v>
      </c>
      <c r="F1680" s="586" t="s">
        <v>5373</v>
      </c>
      <c r="G1680" s="588">
        <v>66000000</v>
      </c>
      <c r="H1680" s="586">
        <v>1</v>
      </c>
      <c r="I1680" s="586" t="s">
        <v>5374</v>
      </c>
      <c r="J1680" s="650">
        <v>66000000</v>
      </c>
    </row>
    <row r="1681" spans="1:10" ht="67.5">
      <c r="A1681" s="649" t="s">
        <v>5383</v>
      </c>
      <c r="B1681" s="585" t="s">
        <v>5386</v>
      </c>
      <c r="C1681" s="586" t="s">
        <v>5387</v>
      </c>
      <c r="D1681" s="586">
        <v>2.2999999999999998</v>
      </c>
      <c r="E1681" s="586">
        <v>5</v>
      </c>
      <c r="F1681" s="586" t="s">
        <v>5373</v>
      </c>
      <c r="G1681" s="588">
        <v>80730000</v>
      </c>
      <c r="H1681" s="586">
        <v>1</v>
      </c>
      <c r="I1681" s="586" t="s">
        <v>5374</v>
      </c>
      <c r="J1681" s="650">
        <v>80730000</v>
      </c>
    </row>
    <row r="1682" spans="1:10" ht="67.5">
      <c r="A1682" s="649" t="s">
        <v>4208</v>
      </c>
      <c r="B1682" s="585" t="s">
        <v>5388</v>
      </c>
      <c r="C1682" s="586" t="s">
        <v>5389</v>
      </c>
      <c r="D1682" s="586">
        <v>1.5</v>
      </c>
      <c r="E1682" s="586">
        <v>4.5</v>
      </c>
      <c r="F1682" s="586" t="s">
        <v>5373</v>
      </c>
      <c r="G1682" s="588">
        <v>32400000</v>
      </c>
      <c r="H1682" s="586">
        <v>1</v>
      </c>
      <c r="I1682" s="586" t="s">
        <v>5374</v>
      </c>
      <c r="J1682" s="650">
        <v>32400000</v>
      </c>
    </row>
    <row r="1683" spans="1:10" ht="67.5">
      <c r="A1683" s="649" t="s">
        <v>5383</v>
      </c>
      <c r="B1683" s="585" t="s">
        <v>5390</v>
      </c>
      <c r="C1683" s="586" t="s">
        <v>5391</v>
      </c>
      <c r="D1683" s="586">
        <v>0.3</v>
      </c>
      <c r="E1683" s="586">
        <v>5</v>
      </c>
      <c r="F1683" s="586" t="s">
        <v>5373</v>
      </c>
      <c r="G1683" s="588">
        <v>10530000</v>
      </c>
      <c r="H1683" s="586">
        <v>1</v>
      </c>
      <c r="I1683" s="586" t="s">
        <v>5374</v>
      </c>
      <c r="J1683" s="650">
        <v>10530000</v>
      </c>
    </row>
    <row r="1684" spans="1:10" ht="67.5">
      <c r="A1684" s="649" t="s">
        <v>5383</v>
      </c>
      <c r="B1684" s="585" t="s">
        <v>5392</v>
      </c>
      <c r="C1684" s="586" t="s">
        <v>5393</v>
      </c>
      <c r="D1684" s="586">
        <v>5.5</v>
      </c>
      <c r="E1684" s="586">
        <v>5</v>
      </c>
      <c r="F1684" s="586" t="s">
        <v>5373</v>
      </c>
      <c r="G1684" s="588">
        <v>500000000</v>
      </c>
      <c r="H1684" s="586">
        <v>1</v>
      </c>
      <c r="I1684" s="586" t="s">
        <v>5374</v>
      </c>
      <c r="J1684" s="650">
        <v>500000000</v>
      </c>
    </row>
    <row r="1685" spans="1:10" ht="67.5">
      <c r="A1685" s="649" t="s">
        <v>5383</v>
      </c>
      <c r="B1685" s="585" t="s">
        <v>5394</v>
      </c>
      <c r="C1685" s="586" t="s">
        <v>5395</v>
      </c>
      <c r="D1685" s="586">
        <v>3.1</v>
      </c>
      <c r="E1685" s="586">
        <v>5</v>
      </c>
      <c r="F1685" s="586" t="s">
        <v>5373</v>
      </c>
      <c r="G1685" s="588">
        <v>108810000</v>
      </c>
      <c r="H1685" s="586">
        <v>1</v>
      </c>
      <c r="I1685" s="586" t="s">
        <v>5374</v>
      </c>
      <c r="J1685" s="650">
        <v>108810000</v>
      </c>
    </row>
    <row r="1686" spans="1:10" ht="67.5">
      <c r="A1686" s="649" t="s">
        <v>4203</v>
      </c>
      <c r="B1686" s="585" t="s">
        <v>5396</v>
      </c>
      <c r="C1686" s="586" t="s">
        <v>5397</v>
      </c>
      <c r="D1686" s="586">
        <v>0.3</v>
      </c>
      <c r="E1686" s="586">
        <v>5</v>
      </c>
      <c r="F1686" s="586" t="s">
        <v>5373</v>
      </c>
      <c r="G1686" s="588">
        <v>10881000</v>
      </c>
      <c r="H1686" s="586">
        <v>1</v>
      </c>
      <c r="I1686" s="586" t="s">
        <v>5374</v>
      </c>
      <c r="J1686" s="650">
        <v>10881000</v>
      </c>
    </row>
    <row r="1687" spans="1:10" ht="67.5">
      <c r="A1687" s="649" t="s">
        <v>4203</v>
      </c>
      <c r="B1687" s="585" t="s">
        <v>5398</v>
      </c>
      <c r="C1687" s="586" t="s">
        <v>5399</v>
      </c>
      <c r="D1687" s="586">
        <v>0.4</v>
      </c>
      <c r="E1687" s="586">
        <v>5</v>
      </c>
      <c r="F1687" s="586" t="s">
        <v>5373</v>
      </c>
      <c r="G1687" s="588">
        <v>10881000</v>
      </c>
      <c r="H1687" s="586">
        <v>1</v>
      </c>
      <c r="I1687" s="586" t="s">
        <v>5374</v>
      </c>
      <c r="J1687" s="650">
        <v>10881000</v>
      </c>
    </row>
    <row r="1688" spans="1:10" ht="67.5">
      <c r="A1688" s="649" t="s">
        <v>4203</v>
      </c>
      <c r="B1688" s="585" t="s">
        <v>5400</v>
      </c>
      <c r="C1688" s="586" t="s">
        <v>5399</v>
      </c>
      <c r="D1688" s="586">
        <v>3.2</v>
      </c>
      <c r="E1688" s="586">
        <v>5</v>
      </c>
      <c r="F1688" s="586" t="s">
        <v>5373</v>
      </c>
      <c r="G1688" s="588">
        <v>90000000</v>
      </c>
      <c r="H1688" s="586">
        <v>1</v>
      </c>
      <c r="I1688" s="586" t="s">
        <v>5374</v>
      </c>
      <c r="J1688" s="650">
        <v>90000000</v>
      </c>
    </row>
    <row r="1689" spans="1:10" ht="67.5">
      <c r="A1689" s="649" t="s">
        <v>4203</v>
      </c>
      <c r="B1689" s="585" t="s">
        <v>5401</v>
      </c>
      <c r="C1689" s="586" t="s">
        <v>5402</v>
      </c>
      <c r="D1689" s="586">
        <v>1.5</v>
      </c>
      <c r="E1689" s="586">
        <v>4.5</v>
      </c>
      <c r="F1689" s="586" t="s">
        <v>5373</v>
      </c>
      <c r="G1689" s="588">
        <v>47385000</v>
      </c>
      <c r="H1689" s="586">
        <v>1</v>
      </c>
      <c r="I1689" s="586" t="s">
        <v>5374</v>
      </c>
      <c r="J1689" s="650">
        <v>47385000</v>
      </c>
    </row>
    <row r="1690" spans="1:10" ht="67.5">
      <c r="A1690" s="651" t="s">
        <v>4203</v>
      </c>
      <c r="B1690" s="587" t="s">
        <v>5403</v>
      </c>
      <c r="C1690" s="586" t="s">
        <v>5404</v>
      </c>
      <c r="D1690" s="586">
        <v>6.4</v>
      </c>
      <c r="E1690" s="586">
        <v>4.5</v>
      </c>
      <c r="F1690" s="586" t="s">
        <v>5373</v>
      </c>
      <c r="G1690" s="588">
        <v>202176000</v>
      </c>
      <c r="H1690" s="586">
        <v>1</v>
      </c>
      <c r="I1690" s="586" t="s">
        <v>5374</v>
      </c>
      <c r="J1690" s="652">
        <v>202176000</v>
      </c>
    </row>
    <row r="1691" spans="1:10" ht="67.5">
      <c r="A1691" s="649" t="s">
        <v>1230</v>
      </c>
      <c r="B1691" s="585" t="s">
        <v>5405</v>
      </c>
      <c r="C1691" s="586" t="s">
        <v>5406</v>
      </c>
      <c r="D1691" s="586">
        <v>4.2</v>
      </c>
      <c r="E1691" s="586">
        <v>4.5</v>
      </c>
      <c r="F1691" s="586" t="s">
        <v>5373</v>
      </c>
      <c r="G1691" s="588">
        <v>123832800</v>
      </c>
      <c r="H1691" s="586">
        <v>1</v>
      </c>
      <c r="I1691" s="586" t="s">
        <v>5374</v>
      </c>
      <c r="J1691" s="650">
        <v>123832800</v>
      </c>
    </row>
    <row r="1692" spans="1:10" ht="67.5">
      <c r="A1692" s="649" t="s">
        <v>1230</v>
      </c>
      <c r="B1692" s="585" t="s">
        <v>5407</v>
      </c>
      <c r="C1692" s="586" t="s">
        <v>5408</v>
      </c>
      <c r="D1692" s="586">
        <v>1.7</v>
      </c>
      <c r="E1692" s="586">
        <v>4.5</v>
      </c>
      <c r="F1692" s="586" t="s">
        <v>5373</v>
      </c>
      <c r="G1692" s="588">
        <v>60200000</v>
      </c>
      <c r="H1692" s="586">
        <v>1</v>
      </c>
      <c r="I1692" s="586" t="s">
        <v>5374</v>
      </c>
      <c r="J1692" s="650">
        <v>60200000</v>
      </c>
    </row>
    <row r="1693" spans="1:10" ht="67.5">
      <c r="A1693" s="649" t="s">
        <v>1230</v>
      </c>
      <c r="B1693" s="585" t="s">
        <v>5409</v>
      </c>
      <c r="C1693" s="586" t="s">
        <v>5410</v>
      </c>
      <c r="D1693" s="586">
        <v>2.5</v>
      </c>
      <c r="E1693" s="586">
        <v>5</v>
      </c>
      <c r="F1693" s="586" t="s">
        <v>5373</v>
      </c>
      <c r="G1693" s="588">
        <v>87750000</v>
      </c>
      <c r="H1693" s="586">
        <v>1</v>
      </c>
      <c r="I1693" s="586" t="s">
        <v>5374</v>
      </c>
      <c r="J1693" s="650">
        <v>87750000</v>
      </c>
    </row>
    <row r="1694" spans="1:10" ht="67.5">
      <c r="A1694" s="649" t="s">
        <v>1230</v>
      </c>
      <c r="B1694" s="585" t="s">
        <v>5411</v>
      </c>
      <c r="C1694" s="586" t="s">
        <v>5412</v>
      </c>
      <c r="D1694" s="586">
        <v>0.9</v>
      </c>
      <c r="E1694" s="586">
        <v>5</v>
      </c>
      <c r="F1694" s="586" t="s">
        <v>5373</v>
      </c>
      <c r="G1694" s="588">
        <v>10500000</v>
      </c>
      <c r="H1694" s="586">
        <v>1</v>
      </c>
      <c r="I1694" s="586" t="s">
        <v>5374</v>
      </c>
      <c r="J1694" s="650">
        <v>10500000</v>
      </c>
    </row>
    <row r="1695" spans="1:10" ht="67.5">
      <c r="A1695" s="649" t="s">
        <v>1230</v>
      </c>
      <c r="B1695" s="585" t="s">
        <v>5413</v>
      </c>
      <c r="C1695" s="586" t="s">
        <v>5414</v>
      </c>
      <c r="D1695" s="586">
        <v>2.8</v>
      </c>
      <c r="E1695" s="586">
        <v>5</v>
      </c>
      <c r="F1695" s="586" t="s">
        <v>5373</v>
      </c>
      <c r="G1695" s="588">
        <v>100000000</v>
      </c>
      <c r="H1695" s="586">
        <v>1</v>
      </c>
      <c r="I1695" s="586" t="s">
        <v>5374</v>
      </c>
      <c r="J1695" s="650">
        <v>100000000</v>
      </c>
    </row>
    <row r="1696" spans="1:10" ht="67.5">
      <c r="A1696" s="649" t="s">
        <v>1230</v>
      </c>
      <c r="B1696" s="585" t="s">
        <v>5415</v>
      </c>
      <c r="C1696" s="586" t="s">
        <v>5416</v>
      </c>
      <c r="D1696" s="586">
        <v>2.8</v>
      </c>
      <c r="E1696" s="586">
        <v>5</v>
      </c>
      <c r="F1696" s="586" t="s">
        <v>5373</v>
      </c>
      <c r="G1696" s="588">
        <v>100000000</v>
      </c>
      <c r="H1696" s="586">
        <v>1</v>
      </c>
      <c r="I1696" s="586" t="s">
        <v>5374</v>
      </c>
      <c r="J1696" s="650">
        <v>100000000</v>
      </c>
    </row>
    <row r="1697" spans="1:10" ht="67.5">
      <c r="A1697" s="649" t="s">
        <v>1230</v>
      </c>
      <c r="B1697" s="585" t="s">
        <v>5417</v>
      </c>
      <c r="C1697" s="586" t="s">
        <v>5418</v>
      </c>
      <c r="D1697" s="586">
        <v>0.3</v>
      </c>
      <c r="E1697" s="586">
        <v>5</v>
      </c>
      <c r="F1697" s="586" t="s">
        <v>5373</v>
      </c>
      <c r="G1697" s="588">
        <v>10500000</v>
      </c>
      <c r="H1697" s="586">
        <v>1</v>
      </c>
      <c r="I1697" s="586" t="s">
        <v>5374</v>
      </c>
      <c r="J1697" s="650">
        <v>10500000</v>
      </c>
    </row>
    <row r="1698" spans="1:10" ht="67.5">
      <c r="A1698" s="649" t="s">
        <v>1230</v>
      </c>
      <c r="B1698" s="585" t="s">
        <v>5419</v>
      </c>
      <c r="C1698" s="586" t="s">
        <v>5420</v>
      </c>
      <c r="D1698" s="586">
        <v>8.6999999999999993</v>
      </c>
      <c r="E1698" s="586">
        <v>4.5</v>
      </c>
      <c r="F1698" s="586" t="s">
        <v>5373</v>
      </c>
      <c r="G1698" s="588">
        <v>280000000</v>
      </c>
      <c r="H1698" s="586">
        <v>1</v>
      </c>
      <c r="I1698" s="586" t="s">
        <v>5374</v>
      </c>
      <c r="J1698" s="650">
        <v>280000000</v>
      </c>
    </row>
    <row r="1699" spans="1:10" ht="56.25">
      <c r="A1699" s="22" t="s">
        <v>24085</v>
      </c>
      <c r="B1699" s="26" t="s">
        <v>24085</v>
      </c>
      <c r="C1699" s="569" t="s">
        <v>24086</v>
      </c>
      <c r="D1699" s="569">
        <v>5.95</v>
      </c>
      <c r="E1699" s="569">
        <v>80</v>
      </c>
      <c r="F1699" s="569" t="s">
        <v>24087</v>
      </c>
      <c r="G1699" s="73" t="s">
        <v>24088</v>
      </c>
      <c r="H1699" s="569" t="s">
        <v>2296</v>
      </c>
      <c r="I1699" s="569" t="s">
        <v>24089</v>
      </c>
      <c r="J1699" s="531">
        <v>100000000</v>
      </c>
    </row>
    <row r="1700" spans="1:10" ht="33.75">
      <c r="A1700" s="22" t="s">
        <v>24090</v>
      </c>
      <c r="B1700" s="26" t="s">
        <v>24090</v>
      </c>
      <c r="C1700" s="569" t="s">
        <v>24091</v>
      </c>
      <c r="D1700" s="569">
        <v>5.4450000000000003</v>
      </c>
      <c r="E1700" s="569">
        <v>3.6</v>
      </c>
      <c r="F1700" s="569" t="s">
        <v>24092</v>
      </c>
      <c r="G1700" s="73">
        <v>0</v>
      </c>
      <c r="H1700" s="569" t="s">
        <v>1635</v>
      </c>
      <c r="I1700" s="569" t="s">
        <v>23629</v>
      </c>
      <c r="J1700" s="531">
        <v>50000</v>
      </c>
    </row>
    <row r="1701" spans="1:10" ht="45">
      <c r="A1701" s="22" t="s">
        <v>24093</v>
      </c>
      <c r="B1701" s="26" t="s">
        <v>24093</v>
      </c>
      <c r="C1701" s="569" t="s">
        <v>24094</v>
      </c>
      <c r="D1701" s="569">
        <v>5.4850000000000003</v>
      </c>
      <c r="E1701" s="569">
        <v>2.5</v>
      </c>
      <c r="F1701" s="569" t="s">
        <v>24092</v>
      </c>
      <c r="G1701" s="73">
        <v>0</v>
      </c>
      <c r="H1701" s="569" t="s">
        <v>1635</v>
      </c>
      <c r="I1701" s="569" t="s">
        <v>23629</v>
      </c>
      <c r="J1701" s="531">
        <v>35000</v>
      </c>
    </row>
    <row r="1702" spans="1:10" ht="33.75">
      <c r="A1702" s="22" t="s">
        <v>24090</v>
      </c>
      <c r="B1702" s="26" t="s">
        <v>24090</v>
      </c>
      <c r="C1702" s="569" t="s">
        <v>24095</v>
      </c>
      <c r="D1702" s="569">
        <v>5.4450000000000003</v>
      </c>
      <c r="E1702" s="569">
        <v>3.3</v>
      </c>
      <c r="F1702" s="569" t="s">
        <v>24096</v>
      </c>
      <c r="G1702" s="73">
        <v>0</v>
      </c>
      <c r="H1702" s="569" t="s">
        <v>1635</v>
      </c>
      <c r="I1702" s="569" t="s">
        <v>23629</v>
      </c>
      <c r="J1702" s="531">
        <v>50000</v>
      </c>
    </row>
    <row r="1703" spans="1:10" ht="33.75">
      <c r="A1703" s="22" t="s">
        <v>24093</v>
      </c>
      <c r="B1703" s="26" t="s">
        <v>24093</v>
      </c>
      <c r="C1703" s="569" t="s">
        <v>24097</v>
      </c>
      <c r="D1703" s="569">
        <v>5.4850000000000003</v>
      </c>
      <c r="E1703" s="569">
        <v>2</v>
      </c>
      <c r="F1703" s="569" t="s">
        <v>23930</v>
      </c>
      <c r="G1703" s="73">
        <v>0</v>
      </c>
      <c r="H1703" s="569" t="s">
        <v>23830</v>
      </c>
      <c r="I1703" s="569" t="s">
        <v>23930</v>
      </c>
      <c r="J1703" s="531">
        <v>60000</v>
      </c>
    </row>
    <row r="1704" spans="1:10" ht="56.25">
      <c r="A1704" s="22" t="s">
        <v>23846</v>
      </c>
      <c r="B1704" s="26" t="s">
        <v>23847</v>
      </c>
      <c r="C1704" s="569" t="s">
        <v>24098</v>
      </c>
      <c r="D1704" s="569">
        <v>9.2050000000000001</v>
      </c>
      <c r="E1704" s="569">
        <v>8</v>
      </c>
      <c r="F1704" s="569" t="s">
        <v>23816</v>
      </c>
      <c r="G1704" s="73">
        <v>0</v>
      </c>
      <c r="H1704" s="569" t="s">
        <v>1628</v>
      </c>
      <c r="I1704" s="569" t="s">
        <v>24099</v>
      </c>
      <c r="J1704" s="531">
        <v>0</v>
      </c>
    </row>
    <row r="1705" spans="1:10" ht="15.75">
      <c r="A1705" s="1013" t="s">
        <v>189</v>
      </c>
      <c r="B1705" s="1014"/>
      <c r="C1705" s="1014"/>
      <c r="D1705" s="1014"/>
      <c r="E1705" s="1014"/>
      <c r="F1705" s="1014"/>
      <c r="G1705" s="550">
        <f>SUM(G1675:G1704)</f>
        <v>2416575800</v>
      </c>
      <c r="H1705" s="564"/>
      <c r="I1705" s="564"/>
      <c r="J1705" s="626">
        <f>SUM(J1675:J1704)</f>
        <v>2683770800</v>
      </c>
    </row>
    <row r="1706" spans="1:10" ht="15.75">
      <c r="A1706" s="1013" t="s">
        <v>23630</v>
      </c>
      <c r="B1706" s="1014"/>
      <c r="C1706" s="1014"/>
      <c r="D1706" s="1014"/>
      <c r="E1706" s="1014"/>
      <c r="F1706" s="1014"/>
      <c r="G1706" s="1014"/>
      <c r="H1706" s="1014"/>
      <c r="I1706" s="1014"/>
      <c r="J1706" s="1015"/>
    </row>
    <row r="1707" spans="1:10" ht="45">
      <c r="A1707" s="22" t="s">
        <v>23626</v>
      </c>
      <c r="B1707" s="26" t="s">
        <v>23626</v>
      </c>
      <c r="C1707" s="569" t="s">
        <v>23627</v>
      </c>
      <c r="D1707" s="569">
        <v>5.23</v>
      </c>
      <c r="E1707" s="569">
        <v>7.2</v>
      </c>
      <c r="F1707" s="569" t="s">
        <v>23628</v>
      </c>
      <c r="G1707" s="73">
        <v>0</v>
      </c>
      <c r="H1707" s="569" t="s">
        <v>2296</v>
      </c>
      <c r="I1707" s="569" t="s">
        <v>23629</v>
      </c>
      <c r="J1707" s="531">
        <v>21926.6</v>
      </c>
    </row>
    <row r="1708" spans="1:10" ht="15.75">
      <c r="A1708" s="1013" t="s">
        <v>189</v>
      </c>
      <c r="B1708" s="1014"/>
      <c r="C1708" s="1014"/>
      <c r="D1708" s="1014"/>
      <c r="E1708" s="1014"/>
      <c r="F1708" s="1014"/>
      <c r="G1708" s="550">
        <f>SUM(G1707)</f>
        <v>0</v>
      </c>
      <c r="H1708" s="564"/>
      <c r="I1708" s="564"/>
      <c r="J1708" s="626">
        <f>SUM(J1707)</f>
        <v>21926.6</v>
      </c>
    </row>
    <row r="1709" spans="1:10" ht="15.75">
      <c r="A1709" s="1013" t="s">
        <v>5634</v>
      </c>
      <c r="B1709" s="1014"/>
      <c r="C1709" s="1014"/>
      <c r="D1709" s="1014"/>
      <c r="E1709" s="1014"/>
      <c r="F1709" s="1014"/>
      <c r="G1709" s="1014"/>
      <c r="H1709" s="1014"/>
      <c r="I1709" s="1014"/>
      <c r="J1709" s="1015"/>
    </row>
    <row r="1710" spans="1:10" ht="78.75">
      <c r="A1710" s="22" t="s">
        <v>5421</v>
      </c>
      <c r="B1710" s="300" t="s">
        <v>5422</v>
      </c>
      <c r="C1710" s="569" t="s">
        <v>5423</v>
      </c>
      <c r="D1710" s="589">
        <v>5</v>
      </c>
      <c r="E1710" s="589">
        <v>6</v>
      </c>
      <c r="F1710" s="569" t="s">
        <v>5373</v>
      </c>
      <c r="G1710" s="582">
        <v>215000000</v>
      </c>
      <c r="H1710" s="589">
        <v>1</v>
      </c>
      <c r="I1710" s="569" t="s">
        <v>5424</v>
      </c>
      <c r="J1710" s="632">
        <v>812500000</v>
      </c>
    </row>
    <row r="1711" spans="1:10" ht="78.75">
      <c r="A1711" s="27" t="s">
        <v>5421</v>
      </c>
      <c r="B1711" s="300" t="str">
        <f>[2]caminos!$B$7</f>
        <v>Paso Marcos</v>
      </c>
      <c r="C1711" s="96" t="s">
        <v>5425</v>
      </c>
      <c r="D1711" s="569">
        <v>15</v>
      </c>
      <c r="E1711" s="569">
        <v>6</v>
      </c>
      <c r="F1711" s="569" t="s">
        <v>5373</v>
      </c>
      <c r="G1711" s="582">
        <v>645000000</v>
      </c>
      <c r="H1711" s="589">
        <v>1</v>
      </c>
      <c r="I1711" s="569" t="s">
        <v>5424</v>
      </c>
      <c r="J1711" s="632">
        <v>2437500000</v>
      </c>
    </row>
    <row r="1712" spans="1:10" ht="78.75">
      <c r="A1712" s="27" t="s">
        <v>5421</v>
      </c>
      <c r="B1712" s="300" t="s">
        <v>5426</v>
      </c>
      <c r="C1712" s="569" t="s">
        <v>5427</v>
      </c>
      <c r="D1712" s="569">
        <v>3</v>
      </c>
      <c r="E1712" s="569">
        <v>6</v>
      </c>
      <c r="F1712" s="569" t="s">
        <v>5373</v>
      </c>
      <c r="G1712" s="582">
        <v>129000000</v>
      </c>
      <c r="H1712" s="589">
        <v>1</v>
      </c>
      <c r="I1712" s="569" t="s">
        <v>5424</v>
      </c>
      <c r="J1712" s="632">
        <v>487500000</v>
      </c>
    </row>
    <row r="1713" spans="1:10" ht="78.75">
      <c r="A1713" s="27" t="s">
        <v>5421</v>
      </c>
      <c r="B1713" s="300" t="s">
        <v>5428</v>
      </c>
      <c r="C1713" s="569" t="s">
        <v>5429</v>
      </c>
      <c r="D1713" s="569">
        <v>5</v>
      </c>
      <c r="E1713" s="569">
        <v>6</v>
      </c>
      <c r="F1713" s="569" t="s">
        <v>5373</v>
      </c>
      <c r="G1713" s="582">
        <v>215000000</v>
      </c>
      <c r="H1713" s="589">
        <v>1</v>
      </c>
      <c r="I1713" s="569" t="s">
        <v>5424</v>
      </c>
      <c r="J1713" s="632">
        <v>812500000</v>
      </c>
    </row>
    <row r="1714" spans="1:10" ht="78.75">
      <c r="A1714" s="27" t="s">
        <v>5421</v>
      </c>
      <c r="B1714" s="300" t="s">
        <v>5430</v>
      </c>
      <c r="C1714" s="569" t="s">
        <v>5431</v>
      </c>
      <c r="D1714" s="569">
        <v>5</v>
      </c>
      <c r="E1714" s="569">
        <v>6</v>
      </c>
      <c r="F1714" s="569" t="s">
        <v>5373</v>
      </c>
      <c r="G1714" s="582">
        <v>215000000</v>
      </c>
      <c r="H1714" s="589">
        <v>1</v>
      </c>
      <c r="I1714" s="569" t="s">
        <v>5424</v>
      </c>
      <c r="J1714" s="632">
        <v>812500000</v>
      </c>
    </row>
    <row r="1715" spans="1:10" ht="78.75">
      <c r="A1715" s="27" t="s">
        <v>5421</v>
      </c>
      <c r="B1715" s="300" t="s">
        <v>5430</v>
      </c>
      <c r="C1715" s="569" t="s">
        <v>5432</v>
      </c>
      <c r="D1715" s="569">
        <v>2.5</v>
      </c>
      <c r="E1715" s="569">
        <v>6</v>
      </c>
      <c r="F1715" s="569" t="s">
        <v>5373</v>
      </c>
      <c r="G1715" s="582">
        <v>107500000</v>
      </c>
      <c r="H1715" s="589">
        <v>1</v>
      </c>
      <c r="I1715" s="569" t="s">
        <v>5424</v>
      </c>
      <c r="J1715" s="632">
        <v>406250000</v>
      </c>
    </row>
    <row r="1716" spans="1:10" ht="78.75">
      <c r="A1716" s="27" t="s">
        <v>5421</v>
      </c>
      <c r="B1716" s="300" t="s">
        <v>5430</v>
      </c>
      <c r="C1716" s="569" t="s">
        <v>5433</v>
      </c>
      <c r="D1716" s="569">
        <v>7</v>
      </c>
      <c r="E1716" s="569">
        <v>6</v>
      </c>
      <c r="F1716" s="569" t="s">
        <v>5373</v>
      </c>
      <c r="G1716" s="582">
        <v>301000000</v>
      </c>
      <c r="H1716" s="589">
        <v>1</v>
      </c>
      <c r="I1716" s="569" t="s">
        <v>5424</v>
      </c>
      <c r="J1716" s="632">
        <v>1137500000</v>
      </c>
    </row>
    <row r="1717" spans="1:10" ht="78.75">
      <c r="A1717" s="27" t="s">
        <v>5421</v>
      </c>
      <c r="B1717" s="300" t="s">
        <v>5430</v>
      </c>
      <c r="C1717" s="569" t="s">
        <v>5434</v>
      </c>
      <c r="D1717" s="569">
        <v>5</v>
      </c>
      <c r="E1717" s="569">
        <v>6</v>
      </c>
      <c r="F1717" s="569" t="s">
        <v>5373</v>
      </c>
      <c r="G1717" s="582">
        <v>215000000</v>
      </c>
      <c r="H1717" s="589">
        <v>1</v>
      </c>
      <c r="I1717" s="569" t="s">
        <v>5424</v>
      </c>
      <c r="J1717" s="632">
        <v>812500000</v>
      </c>
    </row>
    <row r="1718" spans="1:10" ht="78.75">
      <c r="A1718" s="27" t="s">
        <v>5421</v>
      </c>
      <c r="B1718" s="300" t="s">
        <v>5435</v>
      </c>
      <c r="C1718" s="569" t="s">
        <v>5436</v>
      </c>
      <c r="D1718" s="569">
        <v>2.4</v>
      </c>
      <c r="E1718" s="569">
        <v>6</v>
      </c>
      <c r="F1718" s="569" t="s">
        <v>5373</v>
      </c>
      <c r="G1718" s="582">
        <v>103200000</v>
      </c>
      <c r="H1718" s="589">
        <v>1</v>
      </c>
      <c r="I1718" s="569" t="s">
        <v>5424</v>
      </c>
      <c r="J1718" s="632">
        <v>390000000</v>
      </c>
    </row>
    <row r="1719" spans="1:10" ht="78.75">
      <c r="A1719" s="27" t="s">
        <v>5421</v>
      </c>
      <c r="B1719" s="300" t="s">
        <v>5435</v>
      </c>
      <c r="C1719" s="569" t="s">
        <v>5437</v>
      </c>
      <c r="D1719" s="569">
        <v>8</v>
      </c>
      <c r="E1719" s="569">
        <v>6</v>
      </c>
      <c r="F1719" s="569" t="s">
        <v>5438</v>
      </c>
      <c r="G1719" s="582">
        <v>344000000</v>
      </c>
      <c r="H1719" s="589">
        <v>1</v>
      </c>
      <c r="I1719" s="569" t="s">
        <v>5424</v>
      </c>
      <c r="J1719" s="632">
        <v>1300000000</v>
      </c>
    </row>
    <row r="1720" spans="1:10" ht="78.75">
      <c r="A1720" s="27" t="s">
        <v>5421</v>
      </c>
      <c r="B1720" s="300" t="s">
        <v>5435</v>
      </c>
      <c r="C1720" s="569" t="s">
        <v>5439</v>
      </c>
      <c r="D1720" s="569">
        <v>1.5</v>
      </c>
      <c r="E1720" s="569">
        <v>6</v>
      </c>
      <c r="F1720" s="569" t="s">
        <v>5438</v>
      </c>
      <c r="G1720" s="582">
        <v>64500000</v>
      </c>
      <c r="H1720" s="589">
        <v>1</v>
      </c>
      <c r="I1720" s="569" t="s">
        <v>5424</v>
      </c>
      <c r="J1720" s="632">
        <v>243750000</v>
      </c>
    </row>
    <row r="1721" spans="1:10" ht="78.75">
      <c r="A1721" s="27" t="s">
        <v>5421</v>
      </c>
      <c r="B1721" s="300" t="s">
        <v>5435</v>
      </c>
      <c r="C1721" s="569" t="s">
        <v>5440</v>
      </c>
      <c r="D1721" s="569">
        <v>1</v>
      </c>
      <c r="E1721" s="569">
        <v>5.5</v>
      </c>
      <c r="F1721" s="569" t="s">
        <v>5438</v>
      </c>
      <c r="G1721" s="582">
        <v>43000000</v>
      </c>
      <c r="H1721" s="589">
        <v>1</v>
      </c>
      <c r="I1721" s="569" t="s">
        <v>5424</v>
      </c>
      <c r="J1721" s="632">
        <v>162500000</v>
      </c>
    </row>
    <row r="1722" spans="1:10" ht="78.75">
      <c r="A1722" s="27" t="s">
        <v>5441</v>
      </c>
      <c r="B1722" s="300" t="s">
        <v>5442</v>
      </c>
      <c r="C1722" s="569" t="s">
        <v>5443</v>
      </c>
      <c r="D1722" s="569">
        <v>2.5</v>
      </c>
      <c r="E1722" s="569">
        <v>6</v>
      </c>
      <c r="F1722" s="569" t="s">
        <v>5373</v>
      </c>
      <c r="G1722" s="582">
        <v>107500000</v>
      </c>
      <c r="H1722" s="589">
        <v>1</v>
      </c>
      <c r="I1722" s="569" t="s">
        <v>5424</v>
      </c>
      <c r="J1722" s="632">
        <v>406250000</v>
      </c>
    </row>
    <row r="1723" spans="1:10" ht="45">
      <c r="A1723" s="22" t="s">
        <v>24669</v>
      </c>
      <c r="B1723" s="26" t="s">
        <v>24670</v>
      </c>
      <c r="C1723" s="569" t="s">
        <v>24671</v>
      </c>
      <c r="D1723" s="569">
        <v>4.2350000000000003</v>
      </c>
      <c r="E1723" s="569">
        <v>1</v>
      </c>
      <c r="F1723" s="569" t="s">
        <v>24092</v>
      </c>
      <c r="G1723" s="73">
        <v>0</v>
      </c>
      <c r="H1723" s="569" t="s">
        <v>1635</v>
      </c>
      <c r="I1723" s="569" t="s">
        <v>23629</v>
      </c>
      <c r="J1723" s="531">
        <v>35000</v>
      </c>
    </row>
    <row r="1724" spans="1:10" ht="15.75">
      <c r="A1724" s="1013" t="s">
        <v>189</v>
      </c>
      <c r="B1724" s="1014"/>
      <c r="C1724" s="1014"/>
      <c r="D1724" s="1014"/>
      <c r="E1724" s="1014"/>
      <c r="F1724" s="1014"/>
      <c r="G1724" s="550">
        <f>SUM(G1710:G1723)</f>
        <v>2704700000</v>
      </c>
      <c r="H1724" s="564"/>
      <c r="I1724" s="564"/>
      <c r="J1724" s="626">
        <f>SUM(J1710:J1723)</f>
        <v>10221285000</v>
      </c>
    </row>
    <row r="1725" spans="1:10" ht="15.75">
      <c r="A1725" s="1013" t="s">
        <v>5635</v>
      </c>
      <c r="B1725" s="1014"/>
      <c r="C1725" s="1014"/>
      <c r="D1725" s="1014"/>
      <c r="E1725" s="1014"/>
      <c r="F1725" s="1014"/>
      <c r="G1725" s="1014"/>
      <c r="H1725" s="1014"/>
      <c r="I1725" s="1014"/>
      <c r="J1725" s="1015"/>
    </row>
    <row r="1726" spans="1:10" ht="90">
      <c r="A1726" s="239" t="s">
        <v>5444</v>
      </c>
      <c r="B1726" s="238" t="s">
        <v>5445</v>
      </c>
      <c r="C1726" s="238" t="s">
        <v>5446</v>
      </c>
      <c r="D1726" s="238">
        <v>1.2</v>
      </c>
      <c r="E1726" s="238">
        <v>8</v>
      </c>
      <c r="F1726" s="240" t="s">
        <v>5447</v>
      </c>
      <c r="G1726" s="590">
        <v>50000000</v>
      </c>
      <c r="H1726" s="238">
        <v>2</v>
      </c>
      <c r="I1726" s="240" t="s">
        <v>5448</v>
      </c>
      <c r="J1726" s="241">
        <v>185000000</v>
      </c>
    </row>
    <row r="1727" spans="1:10" ht="60">
      <c r="A1727" s="239" t="s">
        <v>5444</v>
      </c>
      <c r="B1727" s="238" t="s">
        <v>5449</v>
      </c>
      <c r="C1727" s="238" t="s">
        <v>5450</v>
      </c>
      <c r="D1727" s="238">
        <v>1.1000000000000001</v>
      </c>
      <c r="E1727" s="238">
        <v>8</v>
      </c>
      <c r="F1727" s="240" t="s">
        <v>5451</v>
      </c>
      <c r="G1727" s="590">
        <v>55000000</v>
      </c>
      <c r="H1727" s="238">
        <v>2</v>
      </c>
      <c r="I1727" s="240" t="s">
        <v>5452</v>
      </c>
      <c r="J1727" s="241">
        <v>90000000</v>
      </c>
    </row>
    <row r="1728" spans="1:10" ht="45">
      <c r="A1728" s="239" t="s">
        <v>5444</v>
      </c>
      <c r="B1728" s="238" t="s">
        <v>5453</v>
      </c>
      <c r="C1728" s="238" t="s">
        <v>5454</v>
      </c>
      <c r="D1728" s="238">
        <v>1.3</v>
      </c>
      <c r="E1728" s="238">
        <v>7.5</v>
      </c>
      <c r="F1728" s="240" t="s">
        <v>5455</v>
      </c>
      <c r="G1728" s="590">
        <v>25000000</v>
      </c>
      <c r="H1728" s="238">
        <v>1</v>
      </c>
      <c r="I1728" s="240" t="s">
        <v>5456</v>
      </c>
      <c r="J1728" s="241">
        <v>55000000</v>
      </c>
    </row>
    <row r="1729" spans="1:10" ht="45">
      <c r="A1729" s="243" t="s">
        <v>5444</v>
      </c>
      <c r="B1729" s="242" t="s">
        <v>1088</v>
      </c>
      <c r="C1729" s="242" t="s">
        <v>5457</v>
      </c>
      <c r="D1729" s="242">
        <v>0.9</v>
      </c>
      <c r="E1729" s="242">
        <v>8</v>
      </c>
      <c r="F1729" s="244" t="s">
        <v>5455</v>
      </c>
      <c r="G1729" s="592">
        <v>15000000</v>
      </c>
      <c r="H1729" s="242">
        <v>1</v>
      </c>
      <c r="I1729" s="244" t="s">
        <v>5458</v>
      </c>
      <c r="J1729" s="245">
        <v>45000000</v>
      </c>
    </row>
    <row r="1730" spans="1:10" ht="60">
      <c r="A1730" s="243" t="s">
        <v>5444</v>
      </c>
      <c r="B1730" s="242" t="s">
        <v>380</v>
      </c>
      <c r="C1730" s="242" t="s">
        <v>5459</v>
      </c>
      <c r="D1730" s="242">
        <v>1.6</v>
      </c>
      <c r="E1730" s="242">
        <v>9</v>
      </c>
      <c r="F1730" s="244" t="s">
        <v>5460</v>
      </c>
      <c r="G1730" s="592">
        <v>12000000</v>
      </c>
      <c r="H1730" s="238">
        <v>1</v>
      </c>
      <c r="I1730" s="244" t="s">
        <v>5461</v>
      </c>
      <c r="J1730" s="245">
        <v>55000000</v>
      </c>
    </row>
    <row r="1731" spans="1:10" ht="45">
      <c r="A1731" s="239" t="s">
        <v>5444</v>
      </c>
      <c r="B1731" s="238" t="s">
        <v>5462</v>
      </c>
      <c r="C1731" s="238" t="s">
        <v>5463</v>
      </c>
      <c r="D1731" s="238">
        <v>4.0999999999999996</v>
      </c>
      <c r="E1731" s="238">
        <v>10</v>
      </c>
      <c r="F1731" s="240" t="s">
        <v>5455</v>
      </c>
      <c r="G1731" s="590">
        <v>45000000</v>
      </c>
      <c r="H1731" s="238">
        <v>1</v>
      </c>
      <c r="I1731" s="240" t="s">
        <v>5458</v>
      </c>
      <c r="J1731" s="241">
        <v>100000000</v>
      </c>
    </row>
    <row r="1732" spans="1:10" ht="60">
      <c r="A1732" s="239" t="s">
        <v>5444</v>
      </c>
      <c r="B1732" s="238" t="s">
        <v>5464</v>
      </c>
      <c r="C1732" s="238" t="s">
        <v>5465</v>
      </c>
      <c r="D1732" s="238">
        <v>3.1</v>
      </c>
      <c r="E1732" s="238">
        <v>9</v>
      </c>
      <c r="F1732" s="240" t="s">
        <v>5466</v>
      </c>
      <c r="G1732" s="590">
        <v>25000000</v>
      </c>
      <c r="H1732" s="238">
        <v>2</v>
      </c>
      <c r="I1732" s="240" t="s">
        <v>5458</v>
      </c>
      <c r="J1732" s="241">
        <v>45000000</v>
      </c>
    </row>
    <row r="1733" spans="1:10" ht="60">
      <c r="A1733" s="239" t="s">
        <v>5444</v>
      </c>
      <c r="B1733" s="238" t="s">
        <v>5467</v>
      </c>
      <c r="C1733" s="238" t="s">
        <v>5468</v>
      </c>
      <c r="D1733" s="238">
        <v>3.9</v>
      </c>
      <c r="E1733" s="238">
        <v>10</v>
      </c>
      <c r="F1733" s="240" t="s">
        <v>5469</v>
      </c>
      <c r="G1733" s="590">
        <v>35000000</v>
      </c>
      <c r="H1733" s="238">
        <v>1</v>
      </c>
      <c r="I1733" s="240" t="s">
        <v>5470</v>
      </c>
      <c r="J1733" s="241">
        <v>75000000</v>
      </c>
    </row>
    <row r="1734" spans="1:10" ht="75">
      <c r="A1734" s="239" t="s">
        <v>5444</v>
      </c>
      <c r="B1734" s="238" t="s">
        <v>5471</v>
      </c>
      <c r="C1734" s="238" t="s">
        <v>5472</v>
      </c>
      <c r="D1734" s="238">
        <v>2.7</v>
      </c>
      <c r="E1734" s="238">
        <v>10</v>
      </c>
      <c r="F1734" s="240" t="s">
        <v>5473</v>
      </c>
      <c r="G1734" s="590">
        <v>55000000</v>
      </c>
      <c r="H1734" s="238">
        <v>1</v>
      </c>
      <c r="I1734" s="240" t="s">
        <v>5458</v>
      </c>
      <c r="J1734" s="241">
        <v>100000000</v>
      </c>
    </row>
    <row r="1735" spans="1:10" ht="90">
      <c r="A1735" s="239" t="s">
        <v>5474</v>
      </c>
      <c r="B1735" s="238" t="s">
        <v>5475</v>
      </c>
      <c r="C1735" s="238" t="s">
        <v>5476</v>
      </c>
      <c r="D1735" s="238">
        <v>4</v>
      </c>
      <c r="E1735" s="238">
        <v>8</v>
      </c>
      <c r="F1735" s="240" t="s">
        <v>5477</v>
      </c>
      <c r="G1735" s="590">
        <v>35000000</v>
      </c>
      <c r="H1735" s="238">
        <v>3</v>
      </c>
      <c r="I1735" s="240" t="s">
        <v>5478</v>
      </c>
      <c r="J1735" s="241">
        <v>55000000</v>
      </c>
    </row>
    <row r="1736" spans="1:10" ht="45">
      <c r="A1736" s="239" t="s">
        <v>5474</v>
      </c>
      <c r="B1736" s="238" t="s">
        <v>5479</v>
      </c>
      <c r="C1736" s="238" t="s">
        <v>5480</v>
      </c>
      <c r="D1736" s="238">
        <v>2.1</v>
      </c>
      <c r="E1736" s="238">
        <v>8</v>
      </c>
      <c r="F1736" s="240" t="s">
        <v>5481</v>
      </c>
      <c r="G1736" s="590">
        <v>15000000</v>
      </c>
      <c r="H1736" s="238">
        <v>2</v>
      </c>
      <c r="I1736" s="240" t="s">
        <v>5482</v>
      </c>
      <c r="J1736" s="241">
        <v>45000000</v>
      </c>
    </row>
    <row r="1737" spans="1:10" ht="45">
      <c r="A1737" s="239" t="s">
        <v>5474</v>
      </c>
      <c r="B1737" s="238" t="s">
        <v>5483</v>
      </c>
      <c r="C1737" s="238" t="s">
        <v>5484</v>
      </c>
      <c r="D1737" s="238">
        <v>2.7</v>
      </c>
      <c r="E1737" s="238">
        <v>8</v>
      </c>
      <c r="F1737" s="240" t="s">
        <v>5485</v>
      </c>
      <c r="G1737" s="590">
        <v>35000000</v>
      </c>
      <c r="H1737" s="238">
        <v>2</v>
      </c>
      <c r="I1737" s="240" t="s">
        <v>5482</v>
      </c>
      <c r="J1737" s="241">
        <v>55000000</v>
      </c>
    </row>
    <row r="1738" spans="1:10" ht="90">
      <c r="A1738" s="239" t="s">
        <v>5474</v>
      </c>
      <c r="B1738" s="238" t="s">
        <v>5486</v>
      </c>
      <c r="C1738" s="238" t="s">
        <v>5487</v>
      </c>
      <c r="D1738" s="238">
        <v>2.1</v>
      </c>
      <c r="E1738" s="238">
        <v>7</v>
      </c>
      <c r="F1738" s="240" t="s">
        <v>5488</v>
      </c>
      <c r="G1738" s="590">
        <v>45000000</v>
      </c>
      <c r="H1738" s="238">
        <v>3</v>
      </c>
      <c r="I1738" s="240" t="s">
        <v>5489</v>
      </c>
      <c r="J1738" s="241">
        <v>75000000</v>
      </c>
    </row>
    <row r="1739" spans="1:10" ht="30">
      <c r="A1739" s="239" t="s">
        <v>5474</v>
      </c>
      <c r="B1739" s="238" t="s">
        <v>5490</v>
      </c>
      <c r="C1739" s="238" t="s">
        <v>5491</v>
      </c>
      <c r="D1739" s="238">
        <v>1.2</v>
      </c>
      <c r="E1739" s="238">
        <v>7.5</v>
      </c>
      <c r="F1739" s="240" t="s">
        <v>5492</v>
      </c>
      <c r="G1739" s="590">
        <v>15000000</v>
      </c>
      <c r="H1739" s="238">
        <v>3</v>
      </c>
      <c r="I1739" s="240" t="s">
        <v>5493</v>
      </c>
      <c r="J1739" s="241">
        <v>25000000</v>
      </c>
    </row>
    <row r="1740" spans="1:10" ht="90">
      <c r="A1740" s="239" t="s">
        <v>5474</v>
      </c>
      <c r="B1740" s="238" t="s">
        <v>5494</v>
      </c>
      <c r="C1740" s="238" t="s">
        <v>5495</v>
      </c>
      <c r="D1740" s="238">
        <v>5.3</v>
      </c>
      <c r="E1740" s="238">
        <v>8</v>
      </c>
      <c r="F1740" s="240" t="s">
        <v>5496</v>
      </c>
      <c r="G1740" s="590">
        <v>35000000</v>
      </c>
      <c r="H1740" s="238">
        <v>1</v>
      </c>
      <c r="I1740" s="240" t="s">
        <v>5497</v>
      </c>
      <c r="J1740" s="241">
        <v>90000000</v>
      </c>
    </row>
    <row r="1741" spans="1:10" ht="30">
      <c r="A1741" s="239" t="s">
        <v>5498</v>
      </c>
      <c r="B1741" s="238" t="s">
        <v>5499</v>
      </c>
      <c r="C1741" s="238" t="s">
        <v>5500</v>
      </c>
      <c r="D1741" s="238">
        <v>1.3</v>
      </c>
      <c r="E1741" s="238">
        <v>8</v>
      </c>
      <c r="F1741" s="240" t="s">
        <v>5492</v>
      </c>
      <c r="G1741" s="590">
        <v>15000000</v>
      </c>
      <c r="H1741" s="238">
        <v>1</v>
      </c>
      <c r="I1741" s="240" t="s">
        <v>5501</v>
      </c>
      <c r="J1741" s="241">
        <v>25000000</v>
      </c>
    </row>
    <row r="1742" spans="1:10" ht="75">
      <c r="A1742" s="239" t="s">
        <v>5498</v>
      </c>
      <c r="B1742" s="238" t="s">
        <v>5502</v>
      </c>
      <c r="C1742" s="238" t="s">
        <v>5503</v>
      </c>
      <c r="D1742" s="238">
        <v>4.0999999999999996</v>
      </c>
      <c r="E1742" s="238">
        <v>7</v>
      </c>
      <c r="F1742" s="240" t="s">
        <v>5504</v>
      </c>
      <c r="G1742" s="590">
        <v>35000000</v>
      </c>
      <c r="H1742" s="238">
        <v>2</v>
      </c>
      <c r="I1742" s="240" t="s">
        <v>5505</v>
      </c>
      <c r="J1742" s="241">
        <v>120000000</v>
      </c>
    </row>
    <row r="1743" spans="1:10" ht="90">
      <c r="A1743" s="239" t="s">
        <v>5498</v>
      </c>
      <c r="B1743" s="238" t="s">
        <v>5506</v>
      </c>
      <c r="C1743" s="238" t="s">
        <v>5507</v>
      </c>
      <c r="D1743" s="238">
        <v>1.1000000000000001</v>
      </c>
      <c r="E1743" s="238">
        <v>9</v>
      </c>
      <c r="F1743" s="240" t="s">
        <v>5508</v>
      </c>
      <c r="G1743" s="590">
        <v>25000000</v>
      </c>
      <c r="H1743" s="238">
        <v>2</v>
      </c>
      <c r="I1743" s="240" t="s">
        <v>5505</v>
      </c>
      <c r="J1743" s="241">
        <v>65000000</v>
      </c>
    </row>
    <row r="1744" spans="1:10" ht="75">
      <c r="A1744" s="239" t="s">
        <v>5498</v>
      </c>
      <c r="B1744" s="238" t="s">
        <v>5509</v>
      </c>
      <c r="C1744" s="238" t="s">
        <v>5510</v>
      </c>
      <c r="D1744" s="238">
        <v>2.5</v>
      </c>
      <c r="E1744" s="238">
        <v>8.5</v>
      </c>
      <c r="F1744" s="240" t="s">
        <v>5511</v>
      </c>
      <c r="G1744" s="590">
        <v>25000000</v>
      </c>
      <c r="H1744" s="238">
        <v>2</v>
      </c>
      <c r="I1744" s="240" t="s">
        <v>5512</v>
      </c>
      <c r="J1744" s="241">
        <v>100000000</v>
      </c>
    </row>
    <row r="1745" spans="1:10" ht="30">
      <c r="A1745" s="239" t="s">
        <v>5498</v>
      </c>
      <c r="B1745" s="238" t="s">
        <v>5513</v>
      </c>
      <c r="C1745" s="238" t="s">
        <v>5514</v>
      </c>
      <c r="D1745" s="238">
        <v>1.2</v>
      </c>
      <c r="E1745" s="238">
        <v>7</v>
      </c>
      <c r="F1745" s="240" t="s">
        <v>5492</v>
      </c>
      <c r="G1745" s="590">
        <v>15000000</v>
      </c>
      <c r="H1745" s="238">
        <v>3</v>
      </c>
      <c r="I1745" s="240" t="s">
        <v>5501</v>
      </c>
      <c r="J1745" s="241">
        <v>45000000</v>
      </c>
    </row>
    <row r="1746" spans="1:10" ht="45">
      <c r="A1746" s="239" t="s">
        <v>5498</v>
      </c>
      <c r="B1746" s="238" t="s">
        <v>5515</v>
      </c>
      <c r="C1746" s="238" t="s">
        <v>5516</v>
      </c>
      <c r="D1746" s="238">
        <v>2.2000000000000002</v>
      </c>
      <c r="E1746" s="238">
        <v>8</v>
      </c>
      <c r="F1746" s="240" t="s">
        <v>5517</v>
      </c>
      <c r="G1746" s="590">
        <v>15000000</v>
      </c>
      <c r="H1746" s="238">
        <v>3</v>
      </c>
      <c r="I1746" s="240" t="s">
        <v>5518</v>
      </c>
      <c r="J1746" s="241">
        <v>55000000</v>
      </c>
    </row>
    <row r="1747" spans="1:10" ht="60">
      <c r="A1747" s="239" t="s">
        <v>5498</v>
      </c>
      <c r="B1747" s="238" t="s">
        <v>5519</v>
      </c>
      <c r="C1747" s="238" t="s">
        <v>5520</v>
      </c>
      <c r="D1747" s="238">
        <v>1.1000000000000001</v>
      </c>
      <c r="E1747" s="238">
        <v>8</v>
      </c>
      <c r="F1747" s="240" t="s">
        <v>5517</v>
      </c>
      <c r="G1747" s="590">
        <v>20000000</v>
      </c>
      <c r="H1747" s="238">
        <v>1</v>
      </c>
      <c r="I1747" s="240" t="s">
        <v>5521</v>
      </c>
      <c r="J1747" s="241">
        <v>45000000</v>
      </c>
    </row>
    <row r="1748" spans="1:10" ht="45">
      <c r="A1748" s="239" t="s">
        <v>5498</v>
      </c>
      <c r="B1748" s="238" t="s">
        <v>5522</v>
      </c>
      <c r="C1748" s="238" t="s">
        <v>5523</v>
      </c>
      <c r="D1748" s="238">
        <v>1.3</v>
      </c>
      <c r="E1748" s="238">
        <v>7</v>
      </c>
      <c r="F1748" s="240" t="s">
        <v>5517</v>
      </c>
      <c r="G1748" s="590">
        <v>15000000</v>
      </c>
      <c r="H1748" s="238">
        <v>2</v>
      </c>
      <c r="I1748" s="240" t="s">
        <v>5501</v>
      </c>
      <c r="J1748" s="241">
        <v>35000000</v>
      </c>
    </row>
    <row r="1749" spans="1:10" ht="75">
      <c r="A1749" s="239" t="s">
        <v>792</v>
      </c>
      <c r="B1749" s="238" t="s">
        <v>5524</v>
      </c>
      <c r="C1749" s="238" t="s">
        <v>5525</v>
      </c>
      <c r="D1749" s="238">
        <v>4.2</v>
      </c>
      <c r="E1749" s="238">
        <v>7</v>
      </c>
      <c r="F1749" s="240" t="s">
        <v>5526</v>
      </c>
      <c r="G1749" s="590">
        <v>50000000</v>
      </c>
      <c r="H1749" s="238">
        <v>2</v>
      </c>
      <c r="I1749" s="240" t="s">
        <v>5527</v>
      </c>
      <c r="J1749" s="241">
        <v>125000000</v>
      </c>
    </row>
    <row r="1750" spans="1:10" ht="75">
      <c r="A1750" s="239" t="s">
        <v>792</v>
      </c>
      <c r="B1750" s="238" t="s">
        <v>5528</v>
      </c>
      <c r="C1750" s="238" t="s">
        <v>5529</v>
      </c>
      <c r="D1750" s="238">
        <v>3.2</v>
      </c>
      <c r="E1750" s="238">
        <v>7</v>
      </c>
      <c r="F1750" s="240" t="s">
        <v>5530</v>
      </c>
      <c r="G1750" s="591">
        <v>35000000</v>
      </c>
      <c r="H1750" s="238">
        <v>2</v>
      </c>
      <c r="I1750" s="240" t="s">
        <v>5531</v>
      </c>
      <c r="J1750" s="241">
        <v>75000000</v>
      </c>
    </row>
    <row r="1751" spans="1:10" ht="45">
      <c r="A1751" s="239" t="s">
        <v>792</v>
      </c>
      <c r="B1751" s="593" t="s">
        <v>5532</v>
      </c>
      <c r="C1751" s="238" t="s">
        <v>5533</v>
      </c>
      <c r="D1751" s="238">
        <v>1.4</v>
      </c>
      <c r="E1751" s="238">
        <v>8</v>
      </c>
      <c r="F1751" s="240" t="s">
        <v>5534</v>
      </c>
      <c r="G1751" s="591">
        <v>15000000</v>
      </c>
      <c r="H1751" s="238">
        <v>2</v>
      </c>
      <c r="I1751" s="240" t="s">
        <v>5535</v>
      </c>
      <c r="J1751" s="241">
        <v>25000000</v>
      </c>
    </row>
    <row r="1752" spans="1:10" ht="60">
      <c r="A1752" s="239" t="s">
        <v>5536</v>
      </c>
      <c r="B1752" s="238" t="s">
        <v>5537</v>
      </c>
      <c r="C1752" s="238" t="s">
        <v>5538</v>
      </c>
      <c r="D1752" s="238">
        <v>1.6</v>
      </c>
      <c r="E1752" s="238">
        <v>8</v>
      </c>
      <c r="F1752" s="240" t="s">
        <v>5530</v>
      </c>
      <c r="G1752" s="591">
        <v>15000000</v>
      </c>
      <c r="H1752" s="238">
        <v>2</v>
      </c>
      <c r="I1752" s="240" t="s">
        <v>5539</v>
      </c>
      <c r="J1752" s="241">
        <v>30000000</v>
      </c>
    </row>
    <row r="1753" spans="1:10" ht="60">
      <c r="A1753" s="239" t="s">
        <v>5536</v>
      </c>
      <c r="B1753" s="238" t="s">
        <v>5540</v>
      </c>
      <c r="C1753" s="594" t="s">
        <v>5541</v>
      </c>
      <c r="D1753" s="238">
        <v>0.8</v>
      </c>
      <c r="E1753" s="238">
        <v>9</v>
      </c>
      <c r="F1753" s="240" t="s">
        <v>5542</v>
      </c>
      <c r="G1753" s="591">
        <v>10000000</v>
      </c>
      <c r="H1753" s="238">
        <v>3</v>
      </c>
      <c r="I1753" s="240" t="s">
        <v>5543</v>
      </c>
      <c r="J1753" s="241">
        <v>30000000</v>
      </c>
    </row>
    <row r="1754" spans="1:10" ht="30">
      <c r="A1754" s="239" t="s">
        <v>5536</v>
      </c>
      <c r="B1754" s="240" t="s">
        <v>5544</v>
      </c>
      <c r="C1754" s="238" t="s">
        <v>5545</v>
      </c>
      <c r="D1754" s="238">
        <v>0.8</v>
      </c>
      <c r="E1754" s="238">
        <v>8</v>
      </c>
      <c r="F1754" s="240" t="s">
        <v>5546</v>
      </c>
      <c r="G1754" s="591">
        <v>15000000</v>
      </c>
      <c r="H1754" s="238">
        <v>2</v>
      </c>
      <c r="I1754" s="240" t="s">
        <v>5547</v>
      </c>
      <c r="J1754" s="241">
        <v>25000000</v>
      </c>
    </row>
    <row r="1755" spans="1:10" ht="33.75">
      <c r="A1755" s="22" t="s">
        <v>5444</v>
      </c>
      <c r="B1755" s="26" t="s">
        <v>5444</v>
      </c>
      <c r="C1755" s="569" t="s">
        <v>24022</v>
      </c>
      <c r="D1755" s="569">
        <v>4.4649999999999999</v>
      </c>
      <c r="E1755" s="569">
        <v>5</v>
      </c>
      <c r="F1755" s="569" t="s">
        <v>24023</v>
      </c>
      <c r="G1755" s="73">
        <v>0</v>
      </c>
      <c r="H1755" s="569" t="s">
        <v>1628</v>
      </c>
      <c r="I1755" s="569" t="s">
        <v>24024</v>
      </c>
      <c r="J1755" s="531">
        <v>250000</v>
      </c>
    </row>
    <row r="1756" spans="1:10" ht="90">
      <c r="A1756" s="22" t="s">
        <v>5635</v>
      </c>
      <c r="B1756" s="26" t="s">
        <v>5498</v>
      </c>
      <c r="C1756" s="569" t="s">
        <v>24025</v>
      </c>
      <c r="D1756" s="569">
        <v>12.885</v>
      </c>
      <c r="E1756" s="569">
        <v>4</v>
      </c>
      <c r="F1756" s="569" t="s">
        <v>24026</v>
      </c>
      <c r="G1756" s="73">
        <v>0</v>
      </c>
      <c r="H1756" s="569" t="s">
        <v>1628</v>
      </c>
      <c r="I1756" s="569" t="s">
        <v>24027</v>
      </c>
      <c r="J1756" s="531">
        <v>0</v>
      </c>
    </row>
    <row r="1757" spans="1:10" ht="45">
      <c r="A1757" s="22" t="s">
        <v>24028</v>
      </c>
      <c r="B1757" s="26" t="s">
        <v>24029</v>
      </c>
      <c r="C1757" s="569" t="s">
        <v>24030</v>
      </c>
      <c r="D1757" s="569">
        <v>0.42499999999999999</v>
      </c>
      <c r="E1757" s="569">
        <v>4</v>
      </c>
      <c r="F1757" s="569" t="s">
        <v>23842</v>
      </c>
      <c r="G1757" s="73">
        <v>0</v>
      </c>
      <c r="H1757" s="569" t="s">
        <v>1628</v>
      </c>
      <c r="I1757" s="569" t="s">
        <v>23629</v>
      </c>
      <c r="J1757" s="531">
        <v>250000</v>
      </c>
    </row>
    <row r="1758" spans="1:10" ht="45">
      <c r="A1758" s="22" t="s">
        <v>5635</v>
      </c>
      <c r="B1758" s="26" t="s">
        <v>5444</v>
      </c>
      <c r="C1758" s="569" t="s">
        <v>24031</v>
      </c>
      <c r="D1758" s="569">
        <v>4.4649999999999999</v>
      </c>
      <c r="E1758" s="569">
        <v>4</v>
      </c>
      <c r="F1758" s="569" t="s">
        <v>23842</v>
      </c>
      <c r="G1758" s="73">
        <v>0</v>
      </c>
      <c r="H1758" s="569" t="s">
        <v>1635</v>
      </c>
      <c r="I1758" s="569" t="s">
        <v>23629</v>
      </c>
      <c r="J1758" s="531">
        <v>350000</v>
      </c>
    </row>
    <row r="1759" spans="1:10" ht="45">
      <c r="A1759" s="22" t="s">
        <v>5474</v>
      </c>
      <c r="B1759" s="26" t="s">
        <v>12022</v>
      </c>
      <c r="C1759" s="569" t="s">
        <v>24032</v>
      </c>
      <c r="D1759" s="569">
        <v>10.050000000000001</v>
      </c>
      <c r="E1759" s="569">
        <v>4</v>
      </c>
      <c r="F1759" s="569" t="s">
        <v>23842</v>
      </c>
      <c r="G1759" s="73">
        <v>0</v>
      </c>
      <c r="H1759" s="569" t="s">
        <v>1635</v>
      </c>
      <c r="I1759" s="569" t="s">
        <v>23629</v>
      </c>
      <c r="J1759" s="531">
        <v>75000</v>
      </c>
    </row>
    <row r="1760" spans="1:10" ht="45">
      <c r="A1760" s="22" t="s">
        <v>5474</v>
      </c>
      <c r="B1760" s="26" t="s">
        <v>12022</v>
      </c>
      <c r="C1760" s="569" t="s">
        <v>24033</v>
      </c>
      <c r="D1760" s="569">
        <v>10.050000000000001</v>
      </c>
      <c r="E1760" s="569">
        <v>5</v>
      </c>
      <c r="F1760" s="569" t="s">
        <v>23842</v>
      </c>
      <c r="G1760" s="73">
        <v>0</v>
      </c>
      <c r="H1760" s="569" t="s">
        <v>23830</v>
      </c>
      <c r="I1760" s="569" t="s">
        <v>23629</v>
      </c>
      <c r="J1760" s="531">
        <v>225000</v>
      </c>
    </row>
    <row r="1761" spans="1:10" ht="15.75">
      <c r="A1761" s="1013" t="s">
        <v>189</v>
      </c>
      <c r="B1761" s="1014"/>
      <c r="C1761" s="1014"/>
      <c r="D1761" s="1014"/>
      <c r="E1761" s="1014"/>
      <c r="F1761" s="1014"/>
      <c r="G1761" s="550">
        <f>SUM(G1726:G1760)</f>
        <v>802000000</v>
      </c>
      <c r="H1761" s="564"/>
      <c r="I1761" s="564"/>
      <c r="J1761" s="626">
        <f>SUM(J1726:J1760)</f>
        <v>1896150000</v>
      </c>
    </row>
    <row r="1762" spans="1:10" ht="15.75">
      <c r="A1762" s="1013" t="s">
        <v>5636</v>
      </c>
      <c r="B1762" s="1014"/>
      <c r="C1762" s="1014"/>
      <c r="D1762" s="1014"/>
      <c r="E1762" s="1014"/>
      <c r="F1762" s="1014"/>
      <c r="G1762" s="1014"/>
      <c r="H1762" s="1014"/>
      <c r="I1762" s="1014"/>
      <c r="J1762" s="1015"/>
    </row>
    <row r="1763" spans="1:10" ht="127.5">
      <c r="A1763" s="435" t="s">
        <v>2458</v>
      </c>
      <c r="B1763" s="49" t="s">
        <v>5549</v>
      </c>
      <c r="C1763" s="246" t="s">
        <v>5550</v>
      </c>
      <c r="D1763" s="247">
        <v>4.0999999999999996</v>
      </c>
      <c r="E1763" s="247">
        <v>10</v>
      </c>
      <c r="F1763" s="44" t="s">
        <v>5551</v>
      </c>
      <c r="G1763" s="556">
        <v>259920089.65418127</v>
      </c>
      <c r="H1763" s="569">
        <v>1</v>
      </c>
      <c r="I1763" s="44" t="s">
        <v>5552</v>
      </c>
      <c r="J1763" s="530">
        <v>453372244.12</v>
      </c>
    </row>
    <row r="1764" spans="1:10" ht="25.5">
      <c r="A1764" s="435" t="s">
        <v>4268</v>
      </c>
      <c r="B1764" s="49" t="s">
        <v>5553</v>
      </c>
      <c r="C1764" s="246" t="s">
        <v>5554</v>
      </c>
      <c r="D1764" s="247">
        <v>0.6</v>
      </c>
      <c r="E1764" s="247">
        <v>11</v>
      </c>
      <c r="F1764" s="44" t="s">
        <v>5555</v>
      </c>
      <c r="G1764" s="556">
        <v>63985120.624519944</v>
      </c>
      <c r="H1764" s="569">
        <v>1</v>
      </c>
      <c r="I1764" s="44" t="s">
        <v>5556</v>
      </c>
      <c r="J1764" s="530">
        <v>42846816.119999997</v>
      </c>
    </row>
    <row r="1765" spans="1:10" ht="114.75">
      <c r="A1765" s="435" t="s">
        <v>19</v>
      </c>
      <c r="B1765" s="248" t="s">
        <v>5557</v>
      </c>
      <c r="C1765" s="246" t="s">
        <v>5558</v>
      </c>
      <c r="D1765" s="247">
        <v>2.95</v>
      </c>
      <c r="E1765" s="247">
        <v>7</v>
      </c>
      <c r="F1765" s="44" t="s">
        <v>5559</v>
      </c>
      <c r="G1765" s="556">
        <v>32771129.428796712</v>
      </c>
      <c r="H1765" s="569">
        <v>3</v>
      </c>
      <c r="I1765" s="44" t="s">
        <v>5560</v>
      </c>
      <c r="J1765" s="530">
        <v>255263225.36000001</v>
      </c>
    </row>
    <row r="1766" spans="1:10" ht="127.5">
      <c r="A1766" s="435" t="s">
        <v>4268</v>
      </c>
      <c r="B1766" s="248" t="s">
        <v>5561</v>
      </c>
      <c r="C1766" s="249" t="s">
        <v>5562</v>
      </c>
      <c r="D1766" s="247">
        <v>3.29</v>
      </c>
      <c r="E1766" s="247">
        <v>7</v>
      </c>
      <c r="F1766" s="44" t="s">
        <v>5563</v>
      </c>
      <c r="G1766" s="556">
        <v>45546315.477310598</v>
      </c>
      <c r="H1766" s="569">
        <v>3</v>
      </c>
      <c r="I1766" s="44" t="s">
        <v>5552</v>
      </c>
      <c r="J1766" s="530">
        <v>236411508.19999999</v>
      </c>
    </row>
    <row r="1767" spans="1:10" ht="165.75">
      <c r="A1767" s="435" t="s">
        <v>19</v>
      </c>
      <c r="B1767" s="49" t="s">
        <v>5564</v>
      </c>
      <c r="C1767" s="246" t="s">
        <v>5565</v>
      </c>
      <c r="D1767" s="247">
        <v>1.2</v>
      </c>
      <c r="E1767" s="247">
        <v>6</v>
      </c>
      <c r="F1767" s="44" t="s">
        <v>5566</v>
      </c>
      <c r="G1767" s="556">
        <v>76074172.581711635</v>
      </c>
      <c r="H1767" s="569">
        <v>1</v>
      </c>
      <c r="I1767" s="44" t="s">
        <v>5567</v>
      </c>
      <c r="J1767" s="530">
        <v>154436784.56</v>
      </c>
    </row>
    <row r="1768" spans="1:10" ht="114.75">
      <c r="A1768" s="436" t="s">
        <v>19</v>
      </c>
      <c r="B1768" s="49" t="s">
        <v>5568</v>
      </c>
      <c r="C1768" s="249" t="s">
        <v>5569</v>
      </c>
      <c r="D1768" s="247">
        <v>1.3</v>
      </c>
      <c r="E1768" s="247">
        <v>6</v>
      </c>
      <c r="F1768" s="44" t="s">
        <v>5570</v>
      </c>
      <c r="G1768" s="556">
        <v>82413686.963520944</v>
      </c>
      <c r="H1768" s="569">
        <v>2</v>
      </c>
      <c r="I1768" s="44" t="s">
        <v>5560</v>
      </c>
      <c r="J1768" s="530">
        <v>125697600.31999999</v>
      </c>
    </row>
    <row r="1769" spans="1:10" ht="127.5">
      <c r="A1769" s="435" t="s">
        <v>4268</v>
      </c>
      <c r="B1769" s="248" t="s">
        <v>5571</v>
      </c>
      <c r="C1769" s="246" t="s">
        <v>5572</v>
      </c>
      <c r="D1769" s="247">
        <v>2.2000000000000002</v>
      </c>
      <c r="E1769" s="247">
        <v>8</v>
      </c>
      <c r="F1769" s="44" t="s">
        <v>5563</v>
      </c>
      <c r="G1769" s="556">
        <v>53766869.978093594</v>
      </c>
      <c r="H1769" s="569">
        <v>2</v>
      </c>
      <c r="I1769" s="44" t="s">
        <v>5552</v>
      </c>
      <c r="J1769" s="530">
        <v>187945229.08000001</v>
      </c>
    </row>
    <row r="1770" spans="1:10" ht="165.75">
      <c r="A1770" s="435" t="s">
        <v>19</v>
      </c>
      <c r="B1770" s="49" t="s">
        <v>5573</v>
      </c>
      <c r="C1770" s="246" t="s">
        <v>5574</v>
      </c>
      <c r="D1770" s="247">
        <v>3.9</v>
      </c>
      <c r="E1770" s="247">
        <v>7</v>
      </c>
      <c r="F1770" s="44" t="s">
        <v>5559</v>
      </c>
      <c r="G1770" s="556">
        <v>247241060.89056283</v>
      </c>
      <c r="H1770" s="569">
        <v>2</v>
      </c>
      <c r="I1770" s="44" t="s">
        <v>5567</v>
      </c>
      <c r="J1770" s="530">
        <v>464545065.48000002</v>
      </c>
    </row>
    <row r="1771" spans="1:10" ht="127.5">
      <c r="A1771" s="435" t="s">
        <v>19</v>
      </c>
      <c r="B1771" s="49" t="s">
        <v>5575</v>
      </c>
      <c r="C1771" s="246" t="s">
        <v>5576</v>
      </c>
      <c r="D1771" s="247">
        <v>6.5</v>
      </c>
      <c r="E1771" s="247">
        <v>8</v>
      </c>
      <c r="F1771" s="44" t="s">
        <v>5559</v>
      </c>
      <c r="G1771" s="556">
        <v>427918781.88459301</v>
      </c>
      <c r="H1771" s="569">
        <v>1</v>
      </c>
      <c r="I1771" s="44" t="s">
        <v>5552</v>
      </c>
      <c r="J1771" s="530">
        <v>613895491.79999995</v>
      </c>
    </row>
    <row r="1772" spans="1:10" ht="127.5">
      <c r="A1772" s="435" t="s">
        <v>19</v>
      </c>
      <c r="B1772" s="49" t="s">
        <v>5577</v>
      </c>
      <c r="C1772" s="246" t="s">
        <v>5578</v>
      </c>
      <c r="D1772" s="247">
        <v>4.5</v>
      </c>
      <c r="E1772" s="247">
        <v>8</v>
      </c>
      <c r="F1772" s="44" t="s">
        <v>5559</v>
      </c>
      <c r="G1772" s="556">
        <v>285278147.18141866</v>
      </c>
      <c r="H1772" s="569">
        <v>3</v>
      </c>
      <c r="I1772" s="44" t="s">
        <v>5552</v>
      </c>
      <c r="J1772" s="530">
        <v>333181755.95999998</v>
      </c>
    </row>
    <row r="1773" spans="1:10" ht="165.75">
      <c r="A1773" s="435" t="s">
        <v>19</v>
      </c>
      <c r="B1773" s="49" t="s">
        <v>5579</v>
      </c>
      <c r="C1773" s="246" t="s">
        <v>5580</v>
      </c>
      <c r="D1773" s="247">
        <v>3.4</v>
      </c>
      <c r="E1773" s="247">
        <v>12</v>
      </c>
      <c r="F1773" s="44" t="s">
        <v>5559</v>
      </c>
      <c r="G1773" s="556">
        <v>223834439.75501791</v>
      </c>
      <c r="H1773" s="569">
        <v>1</v>
      </c>
      <c r="I1773" s="44" t="s">
        <v>5567</v>
      </c>
      <c r="J1773" s="530">
        <v>568375920.48000002</v>
      </c>
    </row>
    <row r="1774" spans="1:10" ht="51">
      <c r="A1774" s="436" t="s">
        <v>5581</v>
      </c>
      <c r="B1774" s="49" t="s">
        <v>5582</v>
      </c>
      <c r="C1774" s="249" t="s">
        <v>5583</v>
      </c>
      <c r="D1774" s="247">
        <v>1.3</v>
      </c>
      <c r="E1774" s="247">
        <v>13</v>
      </c>
      <c r="F1774" s="44" t="s">
        <v>5584</v>
      </c>
      <c r="G1774" s="556">
        <v>160949709.94228387</v>
      </c>
      <c r="H1774" s="569">
        <v>2</v>
      </c>
      <c r="I1774" s="44" t="s">
        <v>5556</v>
      </c>
      <c r="J1774" s="530">
        <v>10073292</v>
      </c>
    </row>
    <row r="1775" spans="1:10" ht="76.5">
      <c r="A1775" s="435" t="s">
        <v>19</v>
      </c>
      <c r="B1775" s="248" t="s">
        <v>2958</v>
      </c>
      <c r="C1775" s="246" t="s">
        <v>5585</v>
      </c>
      <c r="D1775" s="247">
        <v>2.7</v>
      </c>
      <c r="E1775" s="247">
        <v>11</v>
      </c>
      <c r="F1775" s="44" t="s">
        <v>5586</v>
      </c>
      <c r="G1775" s="556">
        <v>334280166.80320495</v>
      </c>
      <c r="H1775" s="569">
        <v>1</v>
      </c>
      <c r="I1775" s="44" t="s">
        <v>5587</v>
      </c>
      <c r="J1775" s="530">
        <v>73000000</v>
      </c>
    </row>
    <row r="1776" spans="1:10" ht="127.5">
      <c r="A1776" s="435" t="s">
        <v>19</v>
      </c>
      <c r="B1776" s="49" t="s">
        <v>5588</v>
      </c>
      <c r="C1776" s="246" t="s">
        <v>5589</v>
      </c>
      <c r="D1776" s="247">
        <v>1.5</v>
      </c>
      <c r="E1776" s="247">
        <v>8</v>
      </c>
      <c r="F1776" s="44" t="s">
        <v>5590</v>
      </c>
      <c r="G1776" s="556">
        <v>95092715.727139533</v>
      </c>
      <c r="H1776" s="569">
        <v>2</v>
      </c>
      <c r="I1776" s="44" t="s">
        <v>5552</v>
      </c>
      <c r="J1776" s="530">
        <v>178738977.31999999</v>
      </c>
    </row>
    <row r="1777" spans="1:10" ht="38.25">
      <c r="A1777" s="436" t="s">
        <v>5581</v>
      </c>
      <c r="B1777" s="248" t="s">
        <v>5591</v>
      </c>
      <c r="C1777" s="249" t="s">
        <v>5592</v>
      </c>
      <c r="D1777" s="247">
        <v>6.6</v>
      </c>
      <c r="E1777" s="247">
        <v>12</v>
      </c>
      <c r="F1777" s="44" t="s">
        <v>5593</v>
      </c>
      <c r="G1777" s="556">
        <v>817129296.6300565</v>
      </c>
      <c r="H1777" s="569">
        <v>2</v>
      </c>
      <c r="I1777" s="44" t="s">
        <v>5556</v>
      </c>
      <c r="J1777" s="530">
        <v>79674250</v>
      </c>
    </row>
    <row r="1778" spans="1:10" ht="165.75">
      <c r="A1778" s="435" t="s">
        <v>2458</v>
      </c>
      <c r="B1778" s="49" t="s">
        <v>5549</v>
      </c>
      <c r="C1778" s="246" t="s">
        <v>5594</v>
      </c>
      <c r="D1778" s="247">
        <v>1.65</v>
      </c>
      <c r="E1778" s="247">
        <v>4</v>
      </c>
      <c r="F1778" s="44" t="s">
        <v>5595</v>
      </c>
      <c r="G1778" s="556">
        <v>30243864.362677641</v>
      </c>
      <c r="H1778" s="569">
        <v>2</v>
      </c>
      <c r="I1778" s="44" t="s">
        <v>5567</v>
      </c>
      <c r="J1778" s="530">
        <v>170501805.84</v>
      </c>
    </row>
    <row r="1779" spans="1:10" ht="127.5">
      <c r="A1779" s="435" t="s">
        <v>19</v>
      </c>
      <c r="B1779" s="248" t="s">
        <v>5596</v>
      </c>
      <c r="C1779" s="246" t="s">
        <v>5597</v>
      </c>
      <c r="D1779" s="247">
        <v>2.4</v>
      </c>
      <c r="E1779" s="247">
        <v>10</v>
      </c>
      <c r="F1779" s="44" t="s">
        <v>5559</v>
      </c>
      <c r="G1779" s="556">
        <v>26661257.840376943</v>
      </c>
      <c r="H1779" s="569">
        <v>2</v>
      </c>
      <c r="I1779" s="44" t="s">
        <v>5552</v>
      </c>
      <c r="J1779" s="530">
        <v>298983351.68000001</v>
      </c>
    </row>
    <row r="1780" spans="1:10" ht="114.75">
      <c r="A1780" s="435" t="s">
        <v>19</v>
      </c>
      <c r="B1780" s="248" t="s">
        <v>5598</v>
      </c>
      <c r="C1780" s="246" t="s">
        <v>5599</v>
      </c>
      <c r="D1780" s="247">
        <v>5.6</v>
      </c>
      <c r="E1780" s="247">
        <v>8</v>
      </c>
      <c r="F1780" s="44" t="s">
        <v>5600</v>
      </c>
      <c r="G1780" s="556">
        <v>355012805.38132095</v>
      </c>
      <c r="H1780" s="569">
        <v>1</v>
      </c>
      <c r="I1780" s="44" t="s">
        <v>5560</v>
      </c>
      <c r="J1780" s="530">
        <v>474912006.63999999</v>
      </c>
    </row>
    <row r="1781" spans="1:10" ht="76.5">
      <c r="A1781" s="435" t="s">
        <v>19</v>
      </c>
      <c r="B1781" s="248" t="s">
        <v>1872</v>
      </c>
      <c r="C1781" s="246" t="s">
        <v>5601</v>
      </c>
      <c r="D1781" s="247">
        <v>1.2</v>
      </c>
      <c r="E1781" s="247">
        <v>6</v>
      </c>
      <c r="F1781" s="44" t="s">
        <v>5586</v>
      </c>
      <c r="G1781" s="556">
        <v>76074172.581711635</v>
      </c>
      <c r="H1781" s="569">
        <v>3</v>
      </c>
      <c r="I1781" s="44" t="s">
        <v>5587</v>
      </c>
      <c r="J1781" s="530">
        <v>172848000</v>
      </c>
    </row>
    <row r="1782" spans="1:10" ht="127.5">
      <c r="A1782" s="435" t="s">
        <v>2458</v>
      </c>
      <c r="B1782" s="49" t="s">
        <v>5602</v>
      </c>
      <c r="C1782" s="246" t="s">
        <v>5603</v>
      </c>
      <c r="D1782" s="247">
        <v>3.2</v>
      </c>
      <c r="E1782" s="247">
        <v>12</v>
      </c>
      <c r="F1782" s="44" t="s">
        <v>5604</v>
      </c>
      <c r="G1782" s="556">
        <v>202864460.21789771</v>
      </c>
      <c r="H1782" s="569">
        <v>2</v>
      </c>
      <c r="I1782" s="44" t="s">
        <v>5552</v>
      </c>
      <c r="J1782" s="530">
        <v>437519326.51999998</v>
      </c>
    </row>
    <row r="1783" spans="1:10" ht="114.75">
      <c r="A1783" s="435" t="s">
        <v>19</v>
      </c>
      <c r="B1783" s="49" t="s">
        <v>5605</v>
      </c>
      <c r="C1783" s="246" t="s">
        <v>5606</v>
      </c>
      <c r="D1783" s="247">
        <v>1.3</v>
      </c>
      <c r="E1783" s="247">
        <v>8</v>
      </c>
      <c r="F1783" s="595" t="s">
        <v>5559</v>
      </c>
      <c r="G1783" s="556">
        <v>82413686.963520944</v>
      </c>
      <c r="H1783" s="569">
        <v>1</v>
      </c>
      <c r="I1783" s="44" t="s">
        <v>5560</v>
      </c>
      <c r="J1783" s="530">
        <v>154025278</v>
      </c>
    </row>
    <row r="1784" spans="1:10" ht="178.5">
      <c r="A1784" s="435" t="s">
        <v>4268</v>
      </c>
      <c r="B1784" s="49" t="s">
        <v>5602</v>
      </c>
      <c r="C1784" s="246" t="s">
        <v>5607</v>
      </c>
      <c r="D1784" s="247">
        <v>4.9000000000000004</v>
      </c>
      <c r="E1784" s="247">
        <v>6</v>
      </c>
      <c r="F1784" s="44" t="s">
        <v>5563</v>
      </c>
      <c r="G1784" s="556">
        <v>54433401.424103014</v>
      </c>
      <c r="H1784" s="569">
        <v>2</v>
      </c>
      <c r="I1784" s="44" t="s">
        <v>5608</v>
      </c>
      <c r="J1784" s="530">
        <v>288926710.80000001</v>
      </c>
    </row>
    <row r="1785" spans="1:10" ht="127.5">
      <c r="A1785" s="435" t="s">
        <v>2458</v>
      </c>
      <c r="B1785" s="49" t="s">
        <v>5609</v>
      </c>
      <c r="C1785" s="246" t="s">
        <v>5610</v>
      </c>
      <c r="D1785" s="247">
        <v>1.8</v>
      </c>
      <c r="E1785" s="247">
        <v>6</v>
      </c>
      <c r="F1785" s="44" t="s">
        <v>5604</v>
      </c>
      <c r="G1785" s="556">
        <v>19995943.380282741</v>
      </c>
      <c r="H1785" s="569">
        <v>1</v>
      </c>
      <c r="I1785" s="44" t="s">
        <v>5552</v>
      </c>
      <c r="J1785" s="530">
        <v>105905157.12</v>
      </c>
    </row>
    <row r="1786" spans="1:10" ht="114.75">
      <c r="A1786" s="435" t="s">
        <v>19</v>
      </c>
      <c r="B1786" s="248" t="s">
        <v>5611</v>
      </c>
      <c r="C1786" s="246" t="s">
        <v>5612</v>
      </c>
      <c r="D1786" s="250">
        <v>7.2</v>
      </c>
      <c r="E1786" s="247">
        <v>12</v>
      </c>
      <c r="F1786" s="44" t="s">
        <v>5613</v>
      </c>
      <c r="G1786" s="556">
        <v>474002343.0106262</v>
      </c>
      <c r="H1786" s="569">
        <v>1</v>
      </c>
      <c r="I1786" s="44" t="s">
        <v>5560</v>
      </c>
      <c r="J1786" s="530">
        <v>567179127</v>
      </c>
    </row>
    <row r="1787" spans="1:10" ht="114.75">
      <c r="A1787" s="435" t="s">
        <v>19</v>
      </c>
      <c r="B1787" s="248" t="s">
        <v>5614</v>
      </c>
      <c r="C1787" s="246" t="s">
        <v>5615</v>
      </c>
      <c r="D1787" s="247">
        <v>1.2</v>
      </c>
      <c r="E1787" s="247">
        <v>9</v>
      </c>
      <c r="F1787" s="44" t="s">
        <v>5613</v>
      </c>
      <c r="G1787" s="556">
        <v>13330628.920188472</v>
      </c>
      <c r="H1787" s="569">
        <v>3</v>
      </c>
      <c r="I1787" s="44" t="s">
        <v>5560</v>
      </c>
      <c r="J1787" s="530">
        <v>157974878.16</v>
      </c>
    </row>
    <row r="1788" spans="1:10" ht="114.75">
      <c r="A1788" s="435" t="s">
        <v>19</v>
      </c>
      <c r="B1788" s="248" t="s">
        <v>5616</v>
      </c>
      <c r="C1788" s="246" t="s">
        <v>5617</v>
      </c>
      <c r="D1788" s="247">
        <v>2.8</v>
      </c>
      <c r="E1788" s="247">
        <v>6</v>
      </c>
      <c r="F1788" s="44" t="s">
        <v>5559</v>
      </c>
      <c r="G1788" s="556">
        <v>31104800.813773125</v>
      </c>
      <c r="H1788" s="569">
        <v>3</v>
      </c>
      <c r="I1788" s="44" t="s">
        <v>5560</v>
      </c>
      <c r="J1788" s="530">
        <v>164441953.68000001</v>
      </c>
    </row>
    <row r="1789" spans="1:10" ht="165.75">
      <c r="A1789" s="435" t="s">
        <v>19</v>
      </c>
      <c r="B1789" s="49" t="s">
        <v>5618</v>
      </c>
      <c r="C1789" s="246" t="s">
        <v>5619</v>
      </c>
      <c r="D1789" s="247">
        <v>1.5</v>
      </c>
      <c r="E1789" s="247">
        <v>10</v>
      </c>
      <c r="F1789" s="44" t="s">
        <v>5559</v>
      </c>
      <c r="G1789" s="556">
        <v>16663286.150235593</v>
      </c>
      <c r="H1789" s="569">
        <v>1</v>
      </c>
      <c r="I1789" s="44" t="s">
        <v>5567</v>
      </c>
      <c r="J1789" s="530">
        <v>200361933.80000001</v>
      </c>
    </row>
    <row r="1790" spans="1:10" ht="114.75">
      <c r="A1790" s="436" t="s">
        <v>4268</v>
      </c>
      <c r="B1790" s="49" t="s">
        <v>5620</v>
      </c>
      <c r="C1790" s="249" t="s">
        <v>5621</v>
      </c>
      <c r="D1790" s="247">
        <v>2.61</v>
      </c>
      <c r="E1790" s="247">
        <v>12</v>
      </c>
      <c r="F1790" s="44" t="s">
        <v>5590</v>
      </c>
      <c r="G1790" s="556">
        <v>165461325.36522281</v>
      </c>
      <c r="H1790" s="569">
        <v>2</v>
      </c>
      <c r="I1790" s="44" t="s">
        <v>5560</v>
      </c>
      <c r="J1790" s="530">
        <v>201190438.28</v>
      </c>
    </row>
    <row r="1791" spans="1:10" ht="127.5">
      <c r="A1791" s="435" t="s">
        <v>19</v>
      </c>
      <c r="B1791" s="49" t="s">
        <v>5622</v>
      </c>
      <c r="C1791" s="246" t="s">
        <v>5623</v>
      </c>
      <c r="D1791" s="247">
        <v>1.65</v>
      </c>
      <c r="E1791" s="247">
        <v>10</v>
      </c>
      <c r="F1791" s="44" t="s">
        <v>5559</v>
      </c>
      <c r="G1791" s="556">
        <v>18329614.765259162</v>
      </c>
      <c r="H1791" s="569">
        <v>3</v>
      </c>
      <c r="I1791" s="44" t="s">
        <v>5552</v>
      </c>
      <c r="J1791" s="530">
        <v>99058172.760000005</v>
      </c>
    </row>
    <row r="1792" spans="1:10" ht="114.75">
      <c r="A1792" s="435" t="s">
        <v>19</v>
      </c>
      <c r="B1792" s="248" t="s">
        <v>2612</v>
      </c>
      <c r="C1792" s="246" t="s">
        <v>5624</v>
      </c>
      <c r="D1792" s="247">
        <v>0.14000000000000001</v>
      </c>
      <c r="E1792" s="247">
        <v>6</v>
      </c>
      <c r="F1792" s="44" t="s">
        <v>5559</v>
      </c>
      <c r="G1792" s="556">
        <v>1555240.0406886553</v>
      </c>
      <c r="H1792" s="569">
        <v>3</v>
      </c>
      <c r="I1792" s="44" t="s">
        <v>5560</v>
      </c>
      <c r="J1792" s="530">
        <v>15822188.59</v>
      </c>
    </row>
    <row r="1793" spans="1:10" ht="114.75">
      <c r="A1793" s="435" t="s">
        <v>19</v>
      </c>
      <c r="B1793" s="248" t="s">
        <v>2584</v>
      </c>
      <c r="C1793" s="246" t="s">
        <v>5625</v>
      </c>
      <c r="D1793" s="247">
        <v>3.3</v>
      </c>
      <c r="E1793" s="247">
        <v>6.5</v>
      </c>
      <c r="F1793" s="44" t="s">
        <v>5559</v>
      </c>
      <c r="G1793" s="556">
        <v>120975457.45071056</v>
      </c>
      <c r="H1793" s="569">
        <v>2</v>
      </c>
      <c r="I1793" s="44" t="s">
        <v>5560</v>
      </c>
      <c r="J1793" s="530">
        <v>163309676.02000001</v>
      </c>
    </row>
    <row r="1794" spans="1:10" ht="114.75">
      <c r="A1794" s="435" t="s">
        <v>19</v>
      </c>
      <c r="B1794" s="49" t="s">
        <v>5577</v>
      </c>
      <c r="C1794" s="246" t="s">
        <v>5626</v>
      </c>
      <c r="D1794" s="247">
        <v>0.75</v>
      </c>
      <c r="E1794" s="247">
        <v>11</v>
      </c>
      <c r="F1794" s="44" t="s">
        <v>5559</v>
      </c>
      <c r="G1794" s="556">
        <v>8331643.0751177967</v>
      </c>
      <c r="H1794" s="569">
        <v>1</v>
      </c>
      <c r="I1794" s="44" t="s">
        <v>5560</v>
      </c>
      <c r="J1794" s="530">
        <v>159048338.59999999</v>
      </c>
    </row>
    <row r="1795" spans="1:10" ht="76.5">
      <c r="A1795" s="435" t="s">
        <v>4268</v>
      </c>
      <c r="B1795" s="248" t="s">
        <v>5627</v>
      </c>
      <c r="C1795" s="246" t="s">
        <v>5628</v>
      </c>
      <c r="D1795" s="247">
        <v>0.47</v>
      </c>
      <c r="E1795" s="247">
        <v>10</v>
      </c>
      <c r="F1795" s="44" t="s">
        <v>5586</v>
      </c>
      <c r="G1795" s="556">
        <v>5221162.9937404878</v>
      </c>
      <c r="H1795" s="569">
        <v>3</v>
      </c>
      <c r="I1795" s="44" t="s">
        <v>5587</v>
      </c>
      <c r="J1795" s="530">
        <v>103000000</v>
      </c>
    </row>
    <row r="1796" spans="1:10" ht="114.75">
      <c r="A1796" s="435" t="s">
        <v>4268</v>
      </c>
      <c r="B1796" s="248" t="s">
        <v>5629</v>
      </c>
      <c r="C1796" s="246" t="s">
        <v>5630</v>
      </c>
      <c r="D1796" s="247">
        <v>3</v>
      </c>
      <c r="E1796" s="247">
        <v>12</v>
      </c>
      <c r="F1796" s="44" t="s">
        <v>5563</v>
      </c>
      <c r="G1796" s="556">
        <v>33326572.300471187</v>
      </c>
      <c r="H1796" s="569">
        <v>1</v>
      </c>
      <c r="I1796" s="44" t="s">
        <v>5560</v>
      </c>
      <c r="J1796" s="530">
        <v>283422708.56</v>
      </c>
    </row>
    <row r="1797" spans="1:10" ht="114.75">
      <c r="A1797" s="435" t="s">
        <v>19</v>
      </c>
      <c r="B1797" s="248" t="s">
        <v>5631</v>
      </c>
      <c r="C1797" s="246" t="s">
        <v>5632</v>
      </c>
      <c r="D1797" s="247">
        <v>0.59799999999999998</v>
      </c>
      <c r="E1797" s="247">
        <v>7.5</v>
      </c>
      <c r="F1797" s="44" t="s">
        <v>5590</v>
      </c>
      <c r="G1797" s="556">
        <v>6643096.7452272549</v>
      </c>
      <c r="H1797" s="569">
        <v>2</v>
      </c>
      <c r="I1797" s="44" t="s">
        <v>5560</v>
      </c>
      <c r="J1797" s="530">
        <v>116841764.31999999</v>
      </c>
    </row>
    <row r="1798" spans="1:10" ht="45">
      <c r="A1798" s="22" t="s">
        <v>5636</v>
      </c>
      <c r="B1798" s="26" t="s">
        <v>5636</v>
      </c>
      <c r="C1798" s="569" t="s">
        <v>23828</v>
      </c>
      <c r="D1798" s="569">
        <v>15.395</v>
      </c>
      <c r="E1798" s="569">
        <v>5</v>
      </c>
      <c r="F1798" s="569" t="s">
        <v>23829</v>
      </c>
      <c r="G1798" s="73">
        <v>0</v>
      </c>
      <c r="H1798" s="569" t="s">
        <v>23830</v>
      </c>
      <c r="I1798" s="569" t="s">
        <v>23629</v>
      </c>
      <c r="J1798" s="531">
        <v>450000</v>
      </c>
    </row>
    <row r="1799" spans="1:10" ht="45">
      <c r="A1799" s="22" t="s">
        <v>5636</v>
      </c>
      <c r="B1799" s="26" t="s">
        <v>5636</v>
      </c>
      <c r="C1799" s="569" t="s">
        <v>23831</v>
      </c>
      <c r="D1799" s="569">
        <v>25.085000000000001</v>
      </c>
      <c r="E1799" s="569">
        <v>10</v>
      </c>
      <c r="F1799" s="569" t="s">
        <v>23832</v>
      </c>
      <c r="G1799" s="73">
        <v>0</v>
      </c>
      <c r="H1799" s="569" t="s">
        <v>1628</v>
      </c>
      <c r="I1799" s="569" t="s">
        <v>23833</v>
      </c>
      <c r="J1799" s="531">
        <v>0</v>
      </c>
    </row>
    <row r="1800" spans="1:10" ht="45">
      <c r="A1800" s="22" t="s">
        <v>5636</v>
      </c>
      <c r="B1800" s="26" t="s">
        <v>5636</v>
      </c>
      <c r="C1800" s="569" t="s">
        <v>23834</v>
      </c>
      <c r="D1800" s="569">
        <v>15.395</v>
      </c>
      <c r="E1800" s="569">
        <v>15</v>
      </c>
      <c r="F1800" s="569" t="s">
        <v>23835</v>
      </c>
      <c r="G1800" s="73">
        <v>0</v>
      </c>
      <c r="H1800" s="569" t="s">
        <v>1628</v>
      </c>
      <c r="I1800" s="569" t="s">
        <v>23833</v>
      </c>
      <c r="J1800" s="531">
        <v>0</v>
      </c>
    </row>
    <row r="1801" spans="1:10" ht="45">
      <c r="A1801" s="22" t="s">
        <v>5899</v>
      </c>
      <c r="B1801" s="26" t="s">
        <v>23836</v>
      </c>
      <c r="C1801" s="569" t="s">
        <v>23837</v>
      </c>
      <c r="D1801" s="569">
        <v>15.395</v>
      </c>
      <c r="E1801" s="569">
        <v>8</v>
      </c>
      <c r="F1801" s="569" t="s">
        <v>23838</v>
      </c>
      <c r="G1801" s="73">
        <v>0</v>
      </c>
      <c r="H1801" s="569" t="s">
        <v>1628</v>
      </c>
      <c r="I1801" s="569" t="s">
        <v>23839</v>
      </c>
      <c r="J1801" s="531">
        <v>0</v>
      </c>
    </row>
    <row r="1802" spans="1:10" ht="33.75">
      <c r="A1802" s="22" t="s">
        <v>23840</v>
      </c>
      <c r="B1802" s="26" t="s">
        <v>5899</v>
      </c>
      <c r="C1802" s="569" t="s">
        <v>23841</v>
      </c>
      <c r="D1802" s="569">
        <v>15.395</v>
      </c>
      <c r="E1802" s="569">
        <v>6</v>
      </c>
      <c r="F1802" s="569" t="s">
        <v>23842</v>
      </c>
      <c r="G1802" s="73">
        <v>0</v>
      </c>
      <c r="H1802" s="569" t="s">
        <v>1635</v>
      </c>
      <c r="I1802" s="569" t="s">
        <v>23629</v>
      </c>
      <c r="J1802" s="531">
        <v>950000</v>
      </c>
    </row>
    <row r="1803" spans="1:10" ht="45">
      <c r="A1803" s="22" t="s">
        <v>5899</v>
      </c>
      <c r="B1803" s="26" t="s">
        <v>23843</v>
      </c>
      <c r="C1803" s="569" t="s">
        <v>23844</v>
      </c>
      <c r="D1803" s="569">
        <v>15.395</v>
      </c>
      <c r="E1803" s="569">
        <v>13.3</v>
      </c>
      <c r="F1803" s="569" t="s">
        <v>23845</v>
      </c>
      <c r="G1803" s="73">
        <v>0</v>
      </c>
      <c r="H1803" s="569" t="s">
        <v>1628</v>
      </c>
      <c r="I1803" s="569" t="s">
        <v>23629</v>
      </c>
      <c r="J1803" s="531">
        <v>750000</v>
      </c>
    </row>
    <row r="1804" spans="1:10" ht="22.5">
      <c r="A1804" s="22" t="s">
        <v>23846</v>
      </c>
      <c r="B1804" s="26" t="s">
        <v>23847</v>
      </c>
      <c r="C1804" s="569" t="s">
        <v>23848</v>
      </c>
      <c r="D1804" s="569">
        <v>15.395</v>
      </c>
      <c r="E1804" s="569">
        <v>2.5</v>
      </c>
      <c r="F1804" s="569" t="s">
        <v>23849</v>
      </c>
      <c r="G1804" s="73">
        <v>0</v>
      </c>
      <c r="H1804" s="569" t="s">
        <v>1635</v>
      </c>
      <c r="I1804" s="569" t="s">
        <v>23629</v>
      </c>
      <c r="J1804" s="531">
        <v>150000</v>
      </c>
    </row>
    <row r="1805" spans="1:10" ht="45">
      <c r="A1805" s="22" t="s">
        <v>23850</v>
      </c>
      <c r="B1805" s="26" t="s">
        <v>23847</v>
      </c>
      <c r="C1805" s="569" t="s">
        <v>23851</v>
      </c>
      <c r="D1805" s="569">
        <v>15.395</v>
      </c>
      <c r="E1805" s="569">
        <v>4</v>
      </c>
      <c r="F1805" s="569" t="s">
        <v>23849</v>
      </c>
      <c r="G1805" s="73">
        <v>0</v>
      </c>
      <c r="H1805" s="569" t="s">
        <v>1635</v>
      </c>
      <c r="I1805" s="569" t="s">
        <v>23629</v>
      </c>
      <c r="J1805" s="531">
        <v>303944.96000000002</v>
      </c>
    </row>
    <row r="1806" spans="1:10" ht="45">
      <c r="A1806" s="22" t="s">
        <v>5899</v>
      </c>
      <c r="B1806" s="26" t="s">
        <v>23852</v>
      </c>
      <c r="C1806" s="569" t="s">
        <v>23853</v>
      </c>
      <c r="D1806" s="569">
        <v>15.395</v>
      </c>
      <c r="E1806" s="569">
        <v>12</v>
      </c>
      <c r="F1806" s="569" t="s">
        <v>23854</v>
      </c>
      <c r="G1806" s="73">
        <v>0</v>
      </c>
      <c r="H1806" s="569" t="s">
        <v>1628</v>
      </c>
      <c r="I1806" s="569" t="s">
        <v>23629</v>
      </c>
      <c r="J1806" s="531">
        <v>1357620.33</v>
      </c>
    </row>
    <row r="1807" spans="1:10" ht="67.5">
      <c r="A1807" s="22" t="s">
        <v>23846</v>
      </c>
      <c r="B1807" s="26" t="s">
        <v>23794</v>
      </c>
      <c r="C1807" s="569" t="s">
        <v>23855</v>
      </c>
      <c r="D1807" s="569">
        <v>15.395</v>
      </c>
      <c r="E1807" s="569">
        <v>25</v>
      </c>
      <c r="F1807" s="569" t="s">
        <v>391</v>
      </c>
      <c r="G1807" s="73">
        <v>0</v>
      </c>
      <c r="H1807" s="569" t="s">
        <v>1628</v>
      </c>
      <c r="I1807" s="569" t="s">
        <v>23856</v>
      </c>
      <c r="J1807" s="531">
        <v>7976528.96</v>
      </c>
    </row>
    <row r="1808" spans="1:10" ht="45">
      <c r="A1808" s="22" t="s">
        <v>23846</v>
      </c>
      <c r="B1808" s="26" t="s">
        <v>23794</v>
      </c>
      <c r="C1808" s="569" t="s">
        <v>23857</v>
      </c>
      <c r="D1808" s="569">
        <v>15.395</v>
      </c>
      <c r="E1808" s="569">
        <v>25</v>
      </c>
      <c r="F1808" s="569" t="s">
        <v>23858</v>
      </c>
      <c r="G1808" s="73">
        <v>0</v>
      </c>
      <c r="H1808" s="569" t="s">
        <v>23830</v>
      </c>
      <c r="I1808" s="569" t="s">
        <v>23814</v>
      </c>
      <c r="J1808" s="531">
        <v>160000000</v>
      </c>
    </row>
    <row r="1809" spans="1:10" ht="45">
      <c r="A1809" s="22" t="s">
        <v>23846</v>
      </c>
      <c r="B1809" s="26" t="s">
        <v>23794</v>
      </c>
      <c r="C1809" s="569" t="s">
        <v>23859</v>
      </c>
      <c r="D1809" s="569">
        <v>15.395</v>
      </c>
      <c r="E1809" s="569">
        <v>8</v>
      </c>
      <c r="F1809" s="569" t="s">
        <v>23860</v>
      </c>
      <c r="G1809" s="73">
        <v>0</v>
      </c>
      <c r="H1809" s="569" t="s">
        <v>1628</v>
      </c>
      <c r="I1809" s="569" t="s">
        <v>23814</v>
      </c>
      <c r="J1809" s="531">
        <v>115000000</v>
      </c>
    </row>
    <row r="1810" spans="1:10" ht="33.75">
      <c r="A1810" s="22" t="s">
        <v>23846</v>
      </c>
      <c r="B1810" s="26" t="s">
        <v>23794</v>
      </c>
      <c r="C1810" s="569" t="s">
        <v>23861</v>
      </c>
      <c r="D1810" s="569">
        <v>15.395</v>
      </c>
      <c r="E1810" s="569">
        <v>8</v>
      </c>
      <c r="F1810" s="569" t="s">
        <v>23862</v>
      </c>
      <c r="G1810" s="73">
        <v>0</v>
      </c>
      <c r="H1810" s="569" t="s">
        <v>1628</v>
      </c>
      <c r="I1810" s="569" t="s">
        <v>23814</v>
      </c>
      <c r="J1810" s="531">
        <v>125000000</v>
      </c>
    </row>
    <row r="1811" spans="1:10" ht="165.75">
      <c r="A1811" s="653" t="s">
        <v>19</v>
      </c>
      <c r="B1811" s="372" t="s">
        <v>5573</v>
      </c>
      <c r="C1811" s="371" t="s">
        <v>5574</v>
      </c>
      <c r="D1811" s="57" t="s">
        <v>25093</v>
      </c>
      <c r="E1811" s="57" t="s">
        <v>25094</v>
      </c>
      <c r="F1811" s="372" t="s">
        <v>5559</v>
      </c>
      <c r="G1811" s="557" t="s">
        <v>25095</v>
      </c>
      <c r="H1811" s="373">
        <v>2</v>
      </c>
      <c r="I1811" s="372" t="s">
        <v>25096</v>
      </c>
      <c r="J1811" s="654" t="s">
        <v>25097</v>
      </c>
    </row>
    <row r="1812" spans="1:10" ht="127.5">
      <c r="A1812" s="653" t="s">
        <v>19</v>
      </c>
      <c r="B1812" s="372" t="s">
        <v>5575</v>
      </c>
      <c r="C1812" s="371" t="s">
        <v>5576</v>
      </c>
      <c r="D1812" s="57" t="s">
        <v>25098</v>
      </c>
      <c r="E1812" s="57" t="s">
        <v>25099</v>
      </c>
      <c r="F1812" s="372" t="s">
        <v>5559</v>
      </c>
      <c r="G1812" s="557" t="s">
        <v>25100</v>
      </c>
      <c r="H1812" s="373">
        <v>1</v>
      </c>
      <c r="I1812" s="372" t="s">
        <v>25101</v>
      </c>
      <c r="J1812" s="654" t="s">
        <v>25102</v>
      </c>
    </row>
    <row r="1813" spans="1:10" ht="165.75">
      <c r="A1813" s="653" t="s">
        <v>19</v>
      </c>
      <c r="B1813" s="372" t="s">
        <v>25103</v>
      </c>
      <c r="C1813" s="371" t="s">
        <v>5580</v>
      </c>
      <c r="D1813" s="57" t="s">
        <v>25104</v>
      </c>
      <c r="E1813" s="57" t="s">
        <v>25105</v>
      </c>
      <c r="F1813" s="372" t="s">
        <v>5559</v>
      </c>
      <c r="G1813" s="557" t="s">
        <v>25106</v>
      </c>
      <c r="H1813" s="373">
        <v>1</v>
      </c>
      <c r="I1813" s="372" t="s">
        <v>25096</v>
      </c>
      <c r="J1813" s="654" t="s">
        <v>25107</v>
      </c>
    </row>
    <row r="1814" spans="1:10" ht="127.5">
      <c r="A1814" s="653" t="s">
        <v>19</v>
      </c>
      <c r="B1814" s="372" t="s">
        <v>25108</v>
      </c>
      <c r="C1814" s="371" t="s">
        <v>5589</v>
      </c>
      <c r="D1814" s="57" t="s">
        <v>25109</v>
      </c>
      <c r="E1814" s="57" t="s">
        <v>25099</v>
      </c>
      <c r="F1814" s="372" t="s">
        <v>5590</v>
      </c>
      <c r="G1814" s="557" t="s">
        <v>25110</v>
      </c>
      <c r="H1814" s="373">
        <v>2</v>
      </c>
      <c r="I1814" s="372" t="s">
        <v>25101</v>
      </c>
      <c r="J1814" s="654" t="s">
        <v>25111</v>
      </c>
    </row>
    <row r="1815" spans="1:10" ht="127.5">
      <c r="A1815" s="653" t="s">
        <v>19</v>
      </c>
      <c r="B1815" s="371" t="s">
        <v>5596</v>
      </c>
      <c r="C1815" s="371" t="s">
        <v>5597</v>
      </c>
      <c r="D1815" s="57" t="s">
        <v>25112</v>
      </c>
      <c r="E1815" s="57" t="s">
        <v>25113</v>
      </c>
      <c r="F1815" s="372" t="s">
        <v>5559</v>
      </c>
      <c r="G1815" s="557" t="s">
        <v>25114</v>
      </c>
      <c r="H1815" s="373">
        <v>2</v>
      </c>
      <c r="I1815" s="372" t="s">
        <v>25101</v>
      </c>
      <c r="J1815" s="654" t="s">
        <v>25115</v>
      </c>
    </row>
    <row r="1816" spans="1:10" ht="127.5">
      <c r="A1816" s="653" t="s">
        <v>2458</v>
      </c>
      <c r="B1816" s="372" t="s">
        <v>5602</v>
      </c>
      <c r="C1816" s="371" t="s">
        <v>5603</v>
      </c>
      <c r="D1816" s="57" t="s">
        <v>25116</v>
      </c>
      <c r="E1816" s="57" t="s">
        <v>25105</v>
      </c>
      <c r="F1816" s="372" t="s">
        <v>5604</v>
      </c>
      <c r="G1816" s="557" t="s">
        <v>25117</v>
      </c>
      <c r="H1816" s="373">
        <v>2</v>
      </c>
      <c r="I1816" s="372" t="s">
        <v>25101</v>
      </c>
      <c r="J1816" s="654" t="s">
        <v>25118</v>
      </c>
    </row>
    <row r="1817" spans="1:10" ht="178.5">
      <c r="A1817" s="653" t="s">
        <v>4268</v>
      </c>
      <c r="B1817" s="372" t="s">
        <v>5602</v>
      </c>
      <c r="C1817" s="371" t="s">
        <v>5607</v>
      </c>
      <c r="D1817" s="57" t="s">
        <v>25119</v>
      </c>
      <c r="E1817" s="57" t="s">
        <v>25120</v>
      </c>
      <c r="F1817" s="372" t="s">
        <v>25121</v>
      </c>
      <c r="G1817" s="557" t="s">
        <v>25122</v>
      </c>
      <c r="H1817" s="373">
        <v>2</v>
      </c>
      <c r="I1817" s="372" t="s">
        <v>25123</v>
      </c>
      <c r="J1817" s="654" t="s">
        <v>25124</v>
      </c>
    </row>
    <row r="1818" spans="1:10" ht="127.5">
      <c r="A1818" s="653" t="s">
        <v>2458</v>
      </c>
      <c r="B1818" s="372" t="s">
        <v>25125</v>
      </c>
      <c r="C1818" s="371" t="s">
        <v>5610</v>
      </c>
      <c r="D1818" s="57" t="s">
        <v>25126</v>
      </c>
      <c r="E1818" s="57" t="s">
        <v>25120</v>
      </c>
      <c r="F1818" s="372" t="s">
        <v>5604</v>
      </c>
      <c r="G1818" s="557" t="s">
        <v>25127</v>
      </c>
      <c r="H1818" s="373">
        <v>1</v>
      </c>
      <c r="I1818" s="372" t="s">
        <v>25101</v>
      </c>
      <c r="J1818" s="654" t="s">
        <v>25128</v>
      </c>
    </row>
    <row r="1819" spans="1:10" ht="114.75">
      <c r="A1819" s="653" t="s">
        <v>4268</v>
      </c>
      <c r="B1819" s="371" t="s">
        <v>5629</v>
      </c>
      <c r="C1819" s="371" t="s">
        <v>5630</v>
      </c>
      <c r="D1819" s="57" t="s">
        <v>25129</v>
      </c>
      <c r="E1819" s="57" t="s">
        <v>25105</v>
      </c>
      <c r="F1819" s="372" t="s">
        <v>25121</v>
      </c>
      <c r="G1819" s="557" t="s">
        <v>25130</v>
      </c>
      <c r="H1819" s="373">
        <v>1</v>
      </c>
      <c r="I1819" s="372" t="s">
        <v>25131</v>
      </c>
      <c r="J1819" s="654" t="s">
        <v>25132</v>
      </c>
    </row>
    <row r="1820" spans="1:10" ht="15.75">
      <c r="A1820" s="1013" t="s">
        <v>189</v>
      </c>
      <c r="B1820" s="1014"/>
      <c r="C1820" s="1014"/>
      <c r="D1820" s="1014"/>
      <c r="E1820" s="1014"/>
      <c r="F1820" s="1014"/>
      <c r="G1820" s="550">
        <f>SUM(G1763:G1819)</f>
        <v>4948846467.3055639</v>
      </c>
      <c r="H1820" s="564"/>
      <c r="I1820" s="564"/>
      <c r="J1820" s="626">
        <f>SUM(J1763:J1819)</f>
        <v>8524669071.420001</v>
      </c>
    </row>
    <row r="1821" spans="1:10" ht="15.75">
      <c r="A1821" s="1013" t="s">
        <v>23927</v>
      </c>
      <c r="B1821" s="1014"/>
      <c r="C1821" s="1014"/>
      <c r="D1821" s="1014"/>
      <c r="E1821" s="1014"/>
      <c r="F1821" s="1014"/>
      <c r="G1821" s="1014"/>
      <c r="H1821" s="1014"/>
      <c r="I1821" s="1014"/>
      <c r="J1821" s="1015"/>
    </row>
    <row r="1822" spans="1:10" ht="45">
      <c r="A1822" s="22">
        <v>0</v>
      </c>
      <c r="B1822" s="26" t="s">
        <v>108</v>
      </c>
      <c r="C1822" s="569" t="s">
        <v>23926</v>
      </c>
      <c r="D1822" s="569">
        <v>3.43</v>
      </c>
      <c r="E1822" s="569">
        <v>12</v>
      </c>
      <c r="F1822" s="569" t="s">
        <v>391</v>
      </c>
      <c r="G1822" s="73">
        <v>100000</v>
      </c>
      <c r="H1822" s="569">
        <v>1</v>
      </c>
      <c r="I1822" s="569" t="s">
        <v>23605</v>
      </c>
      <c r="J1822" s="531">
        <v>100000</v>
      </c>
    </row>
    <row r="1823" spans="1:10" ht="15.75">
      <c r="A1823" s="1013" t="s">
        <v>189</v>
      </c>
      <c r="B1823" s="1014"/>
      <c r="C1823" s="1014"/>
      <c r="D1823" s="1014"/>
      <c r="E1823" s="1014"/>
      <c r="F1823" s="1014"/>
      <c r="G1823" s="550">
        <f>SUM(G1822)</f>
        <v>100000</v>
      </c>
      <c r="H1823" s="564"/>
      <c r="I1823" s="564"/>
      <c r="J1823" s="626">
        <f>SUM(J1822)</f>
        <v>100000</v>
      </c>
    </row>
    <row r="1824" spans="1:10" ht="15.75">
      <c r="A1824" s="1013" t="s">
        <v>23661</v>
      </c>
      <c r="B1824" s="1014"/>
      <c r="C1824" s="1014"/>
      <c r="D1824" s="1014"/>
      <c r="E1824" s="1014"/>
      <c r="F1824" s="1014"/>
      <c r="G1824" s="1014"/>
      <c r="H1824" s="1014"/>
      <c r="I1824" s="1014"/>
      <c r="J1824" s="1015"/>
    </row>
    <row r="1825" spans="1:10" ht="45">
      <c r="A1825" s="22">
        <v>0</v>
      </c>
      <c r="B1825" s="26" t="s">
        <v>108</v>
      </c>
      <c r="C1825" s="569" t="s">
        <v>23658</v>
      </c>
      <c r="D1825" s="569">
        <v>4.54</v>
      </c>
      <c r="E1825" s="569">
        <v>5</v>
      </c>
      <c r="F1825" s="569" t="s">
        <v>23659</v>
      </c>
      <c r="G1825" s="73">
        <v>800000</v>
      </c>
      <c r="H1825" s="569">
        <v>1</v>
      </c>
      <c r="I1825" s="569" t="s">
        <v>23660</v>
      </c>
      <c r="J1825" s="531">
        <v>800000</v>
      </c>
    </row>
    <row r="1826" spans="1:10" ht="15.75">
      <c r="A1826" s="1013" t="s">
        <v>189</v>
      </c>
      <c r="B1826" s="1014"/>
      <c r="C1826" s="1014"/>
      <c r="D1826" s="1014"/>
      <c r="E1826" s="1014"/>
      <c r="F1826" s="1014"/>
      <c r="G1826" s="550">
        <f>SUM(G1825)</f>
        <v>800000</v>
      </c>
      <c r="H1826" s="564"/>
      <c r="I1826" s="564"/>
      <c r="J1826" s="626">
        <f>SUM(J1825)</f>
        <v>800000</v>
      </c>
    </row>
    <row r="1827" spans="1:10" ht="15.75">
      <c r="A1827" s="1013" t="s">
        <v>704</v>
      </c>
      <c r="B1827" s="1014"/>
      <c r="C1827" s="1014"/>
      <c r="D1827" s="1014"/>
      <c r="E1827" s="1014"/>
      <c r="F1827" s="1014"/>
      <c r="G1827" s="1014"/>
      <c r="H1827" s="1014"/>
      <c r="I1827" s="1014"/>
      <c r="J1827" s="1015"/>
    </row>
    <row r="1828" spans="1:10" ht="33.75">
      <c r="A1828" s="655" t="s">
        <v>705</v>
      </c>
      <c r="B1828" s="1019" t="s">
        <v>706</v>
      </c>
      <c r="C1828" s="1019" t="s">
        <v>707</v>
      </c>
      <c r="D1828" s="1021">
        <v>6</v>
      </c>
      <c r="E1828" s="1021">
        <v>5</v>
      </c>
      <c r="F1828" s="35" t="s">
        <v>708</v>
      </c>
      <c r="G1828" s="1022">
        <v>7639290</v>
      </c>
      <c r="H1828" s="1019" t="s">
        <v>30</v>
      </c>
      <c r="I1828" s="35" t="s">
        <v>709</v>
      </c>
      <c r="J1828" s="1020">
        <v>55940558</v>
      </c>
    </row>
    <row r="1829" spans="1:10">
      <c r="A1829" s="655" t="s">
        <v>705</v>
      </c>
      <c r="B1829" s="1019"/>
      <c r="C1829" s="1019"/>
      <c r="D1829" s="1021"/>
      <c r="E1829" s="1021"/>
      <c r="F1829" s="35" t="s">
        <v>710</v>
      </c>
      <c r="G1829" s="1022"/>
      <c r="H1829" s="1019"/>
      <c r="I1829" s="35" t="s">
        <v>711</v>
      </c>
      <c r="J1829" s="1020"/>
    </row>
    <row r="1830" spans="1:10" ht="33.75">
      <c r="A1830" s="655" t="s">
        <v>705</v>
      </c>
      <c r="B1830" s="36" t="s">
        <v>712</v>
      </c>
      <c r="C1830" s="36" t="s">
        <v>713</v>
      </c>
      <c r="D1830" s="596">
        <v>4.5</v>
      </c>
      <c r="E1830" s="596">
        <v>5</v>
      </c>
      <c r="F1830" s="35" t="s">
        <v>714</v>
      </c>
      <c r="G1830" s="566">
        <v>3680176.5</v>
      </c>
      <c r="H1830" s="36" t="s">
        <v>18</v>
      </c>
      <c r="I1830" s="35" t="s">
        <v>715</v>
      </c>
      <c r="J1830" s="656">
        <v>11205418.5</v>
      </c>
    </row>
    <row r="1831" spans="1:10">
      <c r="A1831" s="655" t="s">
        <v>705</v>
      </c>
      <c r="B1831" s="1019" t="s">
        <v>716</v>
      </c>
      <c r="C1831" s="1019" t="s">
        <v>717</v>
      </c>
      <c r="D1831" s="1021">
        <v>6</v>
      </c>
      <c r="E1831" s="1021">
        <v>8</v>
      </c>
      <c r="F1831" s="35" t="s">
        <v>710</v>
      </c>
      <c r="G1831" s="1022">
        <v>6106902</v>
      </c>
      <c r="H1831" s="1019" t="s">
        <v>18</v>
      </c>
      <c r="I1831" s="35" t="s">
        <v>711</v>
      </c>
      <c r="J1831" s="1020">
        <v>127643076</v>
      </c>
    </row>
    <row r="1832" spans="1:10">
      <c r="A1832" s="655" t="s">
        <v>705</v>
      </c>
      <c r="B1832" s="1019"/>
      <c r="C1832" s="1019"/>
      <c r="D1832" s="1021"/>
      <c r="E1832" s="1021"/>
      <c r="F1832" s="35" t="s">
        <v>718</v>
      </c>
      <c r="G1832" s="1022"/>
      <c r="H1832" s="1019"/>
      <c r="I1832" s="35" t="s">
        <v>719</v>
      </c>
      <c r="J1832" s="1020"/>
    </row>
    <row r="1833" spans="1:10" ht="33.75">
      <c r="A1833" s="655" t="s">
        <v>705</v>
      </c>
      <c r="B1833" s="1019" t="s">
        <v>720</v>
      </c>
      <c r="C1833" s="1019" t="s">
        <v>721</v>
      </c>
      <c r="D1833" s="1021">
        <v>2.8</v>
      </c>
      <c r="E1833" s="1021">
        <v>6.5</v>
      </c>
      <c r="F1833" s="35" t="s">
        <v>708</v>
      </c>
      <c r="G1833" s="1022">
        <v>3565002</v>
      </c>
      <c r="H1833" s="1019" t="s">
        <v>18</v>
      </c>
      <c r="I1833" s="35" t="s">
        <v>709</v>
      </c>
      <c r="J1833" s="1020">
        <v>6972260.3999999994</v>
      </c>
    </row>
    <row r="1834" spans="1:10">
      <c r="A1834" s="655" t="s">
        <v>705</v>
      </c>
      <c r="B1834" s="1019"/>
      <c r="C1834" s="1019"/>
      <c r="D1834" s="1021"/>
      <c r="E1834" s="1021"/>
      <c r="F1834" s="35" t="s">
        <v>710</v>
      </c>
      <c r="G1834" s="1022"/>
      <c r="H1834" s="1019"/>
      <c r="I1834" s="35" t="s">
        <v>711</v>
      </c>
      <c r="J1834" s="1020"/>
    </row>
    <row r="1835" spans="1:10" ht="22.5">
      <c r="A1835" s="655" t="s">
        <v>705</v>
      </c>
      <c r="B1835" s="36" t="s">
        <v>722</v>
      </c>
      <c r="C1835" s="36" t="s">
        <v>723</v>
      </c>
      <c r="D1835" s="596">
        <v>1.5</v>
      </c>
      <c r="E1835" s="596">
        <v>6</v>
      </c>
      <c r="F1835" s="35" t="s">
        <v>724</v>
      </c>
      <c r="G1835" s="566">
        <v>1226725.5</v>
      </c>
      <c r="H1835" s="36" t="s">
        <v>725</v>
      </c>
      <c r="I1835" s="37" t="s">
        <v>726</v>
      </c>
      <c r="J1835" s="656">
        <v>5235139.5</v>
      </c>
    </row>
    <row r="1836" spans="1:10">
      <c r="A1836" s="655" t="s">
        <v>705</v>
      </c>
      <c r="B1836" s="1019" t="s">
        <v>727</v>
      </c>
      <c r="C1836" s="1019" t="s">
        <v>728</v>
      </c>
      <c r="D1836" s="1021">
        <v>4.5</v>
      </c>
      <c r="E1836" s="1021">
        <v>7</v>
      </c>
      <c r="F1836" s="35" t="s">
        <v>710</v>
      </c>
      <c r="G1836" s="1022">
        <v>5729467.5</v>
      </c>
      <c r="H1836" s="1019" t="s">
        <v>18</v>
      </c>
      <c r="I1836" s="35" t="s">
        <v>711</v>
      </c>
      <c r="J1836" s="1020">
        <v>5732307</v>
      </c>
    </row>
    <row r="1837" spans="1:10">
      <c r="A1837" s="655" t="s">
        <v>705</v>
      </c>
      <c r="B1837" s="1019"/>
      <c r="C1837" s="1019"/>
      <c r="D1837" s="1021"/>
      <c r="E1837" s="1021"/>
      <c r="F1837" s="35" t="s">
        <v>718</v>
      </c>
      <c r="G1837" s="1022"/>
      <c r="H1837" s="1019"/>
      <c r="I1837" s="35" t="s">
        <v>719</v>
      </c>
      <c r="J1837" s="1020"/>
    </row>
    <row r="1838" spans="1:10" ht="33.75">
      <c r="A1838" s="655" t="s">
        <v>705</v>
      </c>
      <c r="B1838" s="565" t="s">
        <v>729</v>
      </c>
      <c r="C1838" s="565" t="s">
        <v>730</v>
      </c>
      <c r="D1838" s="596">
        <v>2</v>
      </c>
      <c r="E1838" s="596">
        <v>4.5</v>
      </c>
      <c r="F1838" s="35" t="s">
        <v>714</v>
      </c>
      <c r="G1838" s="566">
        <v>1635634</v>
      </c>
      <c r="H1838" s="565" t="s">
        <v>18</v>
      </c>
      <c r="I1838" s="35" t="s">
        <v>731</v>
      </c>
      <c r="J1838" s="656">
        <v>4980186</v>
      </c>
    </row>
    <row r="1839" spans="1:10" ht="22.5">
      <c r="A1839" s="655" t="s">
        <v>705</v>
      </c>
      <c r="B1839" s="565" t="s">
        <v>732</v>
      </c>
      <c r="C1839" s="565" t="s">
        <v>733</v>
      </c>
      <c r="D1839" s="596">
        <v>2.6</v>
      </c>
      <c r="E1839" s="596">
        <v>4</v>
      </c>
      <c r="F1839" s="35" t="s">
        <v>724</v>
      </c>
      <c r="G1839" s="566">
        <v>2126324.2000000002</v>
      </c>
      <c r="H1839" s="565"/>
      <c r="I1839" s="37" t="s">
        <v>726</v>
      </c>
      <c r="J1839" s="656">
        <v>6474241.7999999998</v>
      </c>
    </row>
    <row r="1840" spans="1:10" ht="33.75">
      <c r="A1840" s="655" t="s">
        <v>705</v>
      </c>
      <c r="B1840" s="565" t="s">
        <v>734</v>
      </c>
      <c r="C1840" s="565" t="s">
        <v>735</v>
      </c>
      <c r="D1840" s="596">
        <v>4.8</v>
      </c>
      <c r="E1840" s="596">
        <v>5.5</v>
      </c>
      <c r="F1840" s="35" t="s">
        <v>724</v>
      </c>
      <c r="G1840" s="566">
        <v>3925521.5999999996</v>
      </c>
      <c r="H1840" s="565" t="s">
        <v>18</v>
      </c>
      <c r="I1840" s="37" t="s">
        <v>726</v>
      </c>
      <c r="J1840" s="656">
        <v>21552446.399999999</v>
      </c>
    </row>
    <row r="1841" spans="1:10" ht="33.75">
      <c r="A1841" s="655" t="s">
        <v>705</v>
      </c>
      <c r="B1841" s="565" t="s">
        <v>736</v>
      </c>
      <c r="C1841" s="565" t="s">
        <v>737</v>
      </c>
      <c r="D1841" s="596">
        <v>1.1399999999999999</v>
      </c>
      <c r="E1841" s="596">
        <v>5.8</v>
      </c>
      <c r="F1841" s="35" t="s">
        <v>724</v>
      </c>
      <c r="G1841" s="566">
        <v>932311.37999999989</v>
      </c>
      <c r="H1841" s="565" t="s">
        <v>30</v>
      </c>
      <c r="I1841" s="35" t="s">
        <v>715</v>
      </c>
      <c r="J1841" s="656">
        <v>2838706.0199999996</v>
      </c>
    </row>
    <row r="1842" spans="1:10" ht="33.75">
      <c r="A1842" s="655" t="s">
        <v>705</v>
      </c>
      <c r="B1842" s="565" t="s">
        <v>738</v>
      </c>
      <c r="C1842" s="565" t="s">
        <v>739</v>
      </c>
      <c r="D1842" s="596">
        <v>2.6</v>
      </c>
      <c r="E1842" s="596">
        <v>5.0999999999999996</v>
      </c>
      <c r="F1842" s="35" t="s">
        <v>724</v>
      </c>
      <c r="G1842" s="566">
        <v>2126324.2000000002</v>
      </c>
      <c r="H1842" s="565" t="s">
        <v>30</v>
      </c>
      <c r="I1842" s="35" t="s">
        <v>715</v>
      </c>
      <c r="J1842" s="656">
        <v>6474241.7999999998</v>
      </c>
    </row>
    <row r="1843" spans="1:10" ht="33.75">
      <c r="A1843" s="655" t="s">
        <v>705</v>
      </c>
      <c r="B1843" s="565" t="s">
        <v>740</v>
      </c>
      <c r="C1843" s="565" t="s">
        <v>741</v>
      </c>
      <c r="D1843" s="596">
        <v>0.9</v>
      </c>
      <c r="E1843" s="596">
        <v>4.5999999999999996</v>
      </c>
      <c r="F1843" s="35" t="s">
        <v>724</v>
      </c>
      <c r="G1843" s="566">
        <v>736035.3</v>
      </c>
      <c r="H1843" s="565" t="s">
        <v>18</v>
      </c>
      <c r="I1843" s="35" t="s">
        <v>715</v>
      </c>
      <c r="J1843" s="656">
        <v>7641083.7000000002</v>
      </c>
    </row>
    <row r="1844" spans="1:10" ht="22.5">
      <c r="A1844" s="655" t="s">
        <v>705</v>
      </c>
      <c r="B1844" s="565" t="s">
        <v>742</v>
      </c>
      <c r="C1844" s="565" t="s">
        <v>743</v>
      </c>
      <c r="D1844" s="596">
        <v>0.75</v>
      </c>
      <c r="E1844" s="596">
        <v>7.2</v>
      </c>
      <c r="F1844" s="35" t="s">
        <v>744</v>
      </c>
      <c r="G1844" s="566">
        <v>613362.75</v>
      </c>
      <c r="H1844" s="565" t="s">
        <v>18</v>
      </c>
      <c r="I1844" s="35" t="s">
        <v>745</v>
      </c>
      <c r="J1844" s="656">
        <v>1867569.75</v>
      </c>
    </row>
    <row r="1845" spans="1:10" ht="22.5">
      <c r="A1845" s="655" t="s">
        <v>705</v>
      </c>
      <c r="B1845" s="565" t="s">
        <v>746</v>
      </c>
      <c r="C1845" s="565" t="s">
        <v>747</v>
      </c>
      <c r="D1845" s="596">
        <v>3.26</v>
      </c>
      <c r="E1845" s="596">
        <v>8.5</v>
      </c>
      <c r="F1845" s="35" t="s">
        <v>724</v>
      </c>
      <c r="G1845" s="566">
        <v>2666083.42</v>
      </c>
      <c r="H1845" s="565" t="s">
        <v>30</v>
      </c>
      <c r="I1845" s="37" t="s">
        <v>726</v>
      </c>
      <c r="J1845" s="656">
        <v>8117703.1799999997</v>
      </c>
    </row>
    <row r="1846" spans="1:10" ht="22.5">
      <c r="A1846" s="655" t="s">
        <v>705</v>
      </c>
      <c r="B1846" s="565" t="s">
        <v>748</v>
      </c>
      <c r="C1846" s="565" t="s">
        <v>749</v>
      </c>
      <c r="D1846" s="596">
        <v>2.4</v>
      </c>
      <c r="E1846" s="596">
        <v>7</v>
      </c>
      <c r="F1846" s="35" t="s">
        <v>724</v>
      </c>
      <c r="G1846" s="566">
        <v>1962760.7999999998</v>
      </c>
      <c r="H1846" s="565" t="s">
        <v>18</v>
      </c>
      <c r="I1846" s="37" t="s">
        <v>726</v>
      </c>
      <c r="J1846" s="656">
        <v>6216223.2000000002</v>
      </c>
    </row>
    <row r="1847" spans="1:10" ht="33.75">
      <c r="A1847" s="655" t="s">
        <v>705</v>
      </c>
      <c r="B1847" s="565" t="s">
        <v>750</v>
      </c>
      <c r="C1847" s="565" t="s">
        <v>751</v>
      </c>
      <c r="D1847" s="596">
        <v>0.97</v>
      </c>
      <c r="E1847" s="596">
        <v>8</v>
      </c>
      <c r="F1847" s="35" t="s">
        <v>714</v>
      </c>
      <c r="G1847" s="566">
        <v>1235018.55</v>
      </c>
      <c r="H1847" s="565" t="s">
        <v>18</v>
      </c>
      <c r="I1847" s="35" t="s">
        <v>715</v>
      </c>
      <c r="J1847" s="656">
        <v>2415390.21</v>
      </c>
    </row>
    <row r="1848" spans="1:10" ht="33.75">
      <c r="A1848" s="655" t="s">
        <v>705</v>
      </c>
      <c r="B1848" s="565" t="s">
        <v>752</v>
      </c>
      <c r="C1848" s="565" t="s">
        <v>753</v>
      </c>
      <c r="D1848" s="596">
        <v>3.8</v>
      </c>
      <c r="E1848" s="596">
        <v>6</v>
      </c>
      <c r="F1848" s="35" t="s">
        <v>714</v>
      </c>
      <c r="G1848" s="566">
        <v>4838217</v>
      </c>
      <c r="H1848" s="565" t="s">
        <v>18</v>
      </c>
      <c r="I1848" s="35" t="s">
        <v>715</v>
      </c>
      <c r="J1848" s="656">
        <v>9462353.4000000004</v>
      </c>
    </row>
    <row r="1849" spans="1:10" ht="33.75">
      <c r="A1849" s="655" t="s">
        <v>705</v>
      </c>
      <c r="B1849" s="565" t="s">
        <v>754</v>
      </c>
      <c r="C1849" s="565" t="s">
        <v>755</v>
      </c>
      <c r="D1849" s="596">
        <v>4.2</v>
      </c>
      <c r="E1849" s="596">
        <v>7.5</v>
      </c>
      <c r="F1849" s="35" t="s">
        <v>714</v>
      </c>
      <c r="G1849" s="566">
        <v>5347503</v>
      </c>
      <c r="H1849" s="565" t="s">
        <v>30</v>
      </c>
      <c r="I1849" s="35" t="s">
        <v>715</v>
      </c>
      <c r="J1849" s="656">
        <v>10458390.6</v>
      </c>
    </row>
    <row r="1850" spans="1:10" ht="22.5">
      <c r="A1850" s="655" t="s">
        <v>705</v>
      </c>
      <c r="B1850" s="565" t="s">
        <v>756</v>
      </c>
      <c r="C1850" s="565" t="s">
        <v>757</v>
      </c>
      <c r="D1850" s="596">
        <v>2.2000000000000002</v>
      </c>
      <c r="E1850" s="596">
        <v>4.5</v>
      </c>
      <c r="F1850" s="35" t="s">
        <v>724</v>
      </c>
      <c r="G1850" s="566">
        <v>1799197.4000000001</v>
      </c>
      <c r="H1850" s="565" t="s">
        <v>18</v>
      </c>
      <c r="I1850" s="37" t="s">
        <v>726</v>
      </c>
      <c r="J1850" s="656">
        <v>5478204.6000000006</v>
      </c>
    </row>
    <row r="1851" spans="1:10" ht="33.75">
      <c r="A1851" s="655" t="s">
        <v>705</v>
      </c>
      <c r="B1851" s="565" t="s">
        <v>758</v>
      </c>
      <c r="C1851" s="565" t="s">
        <v>759</v>
      </c>
      <c r="D1851" s="596">
        <v>3.2</v>
      </c>
      <c r="E1851" s="596">
        <v>8</v>
      </c>
      <c r="F1851" s="35" t="s">
        <v>714</v>
      </c>
      <c r="G1851" s="566">
        <v>4074288</v>
      </c>
      <c r="H1851" s="565" t="s">
        <v>30</v>
      </c>
      <c r="I1851" s="35" t="s">
        <v>715</v>
      </c>
      <c r="J1851" s="656">
        <v>11168297.600000001</v>
      </c>
    </row>
    <row r="1852" spans="1:10" ht="33.75">
      <c r="A1852" s="655" t="s">
        <v>705</v>
      </c>
      <c r="B1852" s="565" t="s">
        <v>760</v>
      </c>
      <c r="C1852" s="565" t="s">
        <v>761</v>
      </c>
      <c r="D1852" s="596">
        <v>2.8</v>
      </c>
      <c r="E1852" s="596">
        <v>8</v>
      </c>
      <c r="F1852" s="35" t="s">
        <v>714</v>
      </c>
      <c r="G1852" s="566">
        <v>3565002</v>
      </c>
      <c r="H1852" s="565" t="s">
        <v>30</v>
      </c>
      <c r="I1852" s="35" t="s">
        <v>715</v>
      </c>
      <c r="J1852" s="656">
        <v>6972260.3999999994</v>
      </c>
    </row>
    <row r="1853" spans="1:10" ht="33.75">
      <c r="A1853" s="655" t="s">
        <v>705</v>
      </c>
      <c r="B1853" s="565" t="s">
        <v>762</v>
      </c>
      <c r="C1853" s="565" t="s">
        <v>763</v>
      </c>
      <c r="D1853" s="596">
        <v>0.7</v>
      </c>
      <c r="E1853" s="596">
        <v>3.5</v>
      </c>
      <c r="F1853" s="35" t="s">
        <v>714</v>
      </c>
      <c r="G1853" s="566"/>
      <c r="H1853" s="565" t="s">
        <v>30</v>
      </c>
      <c r="I1853" s="35" t="s">
        <v>715</v>
      </c>
      <c r="J1853" s="656">
        <v>1743065.0999999999</v>
      </c>
    </row>
    <row r="1854" spans="1:10" ht="22.5">
      <c r="A1854" s="655" t="s">
        <v>705</v>
      </c>
      <c r="B1854" s="565" t="s">
        <v>764</v>
      </c>
      <c r="C1854" s="565" t="s">
        <v>765</v>
      </c>
      <c r="D1854" s="596">
        <v>0.3</v>
      </c>
      <c r="E1854" s="596">
        <v>6</v>
      </c>
      <c r="F1854" s="35" t="s">
        <v>724</v>
      </c>
      <c r="G1854" s="566">
        <v>245345.09999999998</v>
      </c>
      <c r="H1854" s="565" t="s">
        <v>18</v>
      </c>
      <c r="I1854" s="37" t="s">
        <v>726</v>
      </c>
      <c r="J1854" s="656">
        <v>747027.9</v>
      </c>
    </row>
    <row r="1855" spans="1:10" ht="33.75">
      <c r="A1855" s="655" t="s">
        <v>705</v>
      </c>
      <c r="B1855" s="565" t="s">
        <v>766</v>
      </c>
      <c r="C1855" s="565" t="s">
        <v>767</v>
      </c>
      <c r="D1855" s="596">
        <v>0.19</v>
      </c>
      <c r="E1855" s="596">
        <v>2.5</v>
      </c>
      <c r="F1855" s="35" t="s">
        <v>714</v>
      </c>
      <c r="G1855" s="566">
        <v>241910.85</v>
      </c>
      <c r="H1855" s="565" t="s">
        <v>30</v>
      </c>
      <c r="I1855" s="35" t="s">
        <v>715</v>
      </c>
      <c r="J1855" s="656">
        <v>473117.67</v>
      </c>
    </row>
    <row r="1856" spans="1:10" ht="33.75">
      <c r="A1856" s="655" t="s">
        <v>768</v>
      </c>
      <c r="B1856" s="565" t="s">
        <v>769</v>
      </c>
      <c r="C1856" s="565" t="s">
        <v>770</v>
      </c>
      <c r="D1856" s="596">
        <v>1.3</v>
      </c>
      <c r="E1856" s="596">
        <v>5</v>
      </c>
      <c r="F1856" s="35" t="s">
        <v>714</v>
      </c>
      <c r="G1856" s="566">
        <v>1655179.5</v>
      </c>
      <c r="H1856" s="565" t="s">
        <v>18</v>
      </c>
      <c r="I1856" s="35" t="s">
        <v>715</v>
      </c>
      <c r="J1856" s="656">
        <v>3237120.9</v>
      </c>
    </row>
    <row r="1857" spans="1:10" ht="33.75">
      <c r="A1857" s="655" t="s">
        <v>768</v>
      </c>
      <c r="B1857" s="565" t="s">
        <v>771</v>
      </c>
      <c r="C1857" s="565" t="s">
        <v>772</v>
      </c>
      <c r="D1857" s="596">
        <v>10.9</v>
      </c>
      <c r="E1857" s="596">
        <v>5.5</v>
      </c>
      <c r="F1857" s="35" t="s">
        <v>714</v>
      </c>
      <c r="G1857" s="566"/>
      <c r="H1857" s="565" t="s">
        <v>18</v>
      </c>
      <c r="I1857" s="35" t="s">
        <v>715</v>
      </c>
      <c r="J1857" s="656">
        <v>27142013.699999999</v>
      </c>
    </row>
    <row r="1858" spans="1:10" ht="33.75">
      <c r="A1858" s="655" t="s">
        <v>768</v>
      </c>
      <c r="B1858" s="1019" t="s">
        <v>773</v>
      </c>
      <c r="C1858" s="1019" t="s">
        <v>774</v>
      </c>
      <c r="D1858" s="1021">
        <v>2.16</v>
      </c>
      <c r="E1858" s="1021">
        <v>5.2</v>
      </c>
      <c r="F1858" s="35" t="s">
        <v>708</v>
      </c>
      <c r="G1858" s="1022">
        <v>2750144.4000000004</v>
      </c>
      <c r="H1858" s="1019" t="s">
        <v>18</v>
      </c>
      <c r="I1858" s="35" t="s">
        <v>709</v>
      </c>
      <c r="J1858" s="1020">
        <v>5378600.8800000008</v>
      </c>
    </row>
    <row r="1859" spans="1:10">
      <c r="A1859" s="655" t="s">
        <v>768</v>
      </c>
      <c r="B1859" s="1019"/>
      <c r="C1859" s="1019"/>
      <c r="D1859" s="1021"/>
      <c r="E1859" s="1021"/>
      <c r="F1859" s="35" t="s">
        <v>710</v>
      </c>
      <c r="G1859" s="1022"/>
      <c r="H1859" s="1019"/>
      <c r="I1859" s="35" t="s">
        <v>711</v>
      </c>
      <c r="J1859" s="1020"/>
    </row>
    <row r="1860" spans="1:10">
      <c r="A1860" s="655" t="s">
        <v>768</v>
      </c>
      <c r="B1860" s="565" t="s">
        <v>775</v>
      </c>
      <c r="C1860" s="565" t="s">
        <v>774</v>
      </c>
      <c r="D1860" s="596">
        <v>3</v>
      </c>
      <c r="E1860" s="596">
        <v>5</v>
      </c>
      <c r="F1860" s="35" t="s">
        <v>710</v>
      </c>
      <c r="G1860" s="566">
        <v>3819645</v>
      </c>
      <c r="H1860" s="565" t="s">
        <v>18</v>
      </c>
      <c r="I1860" s="35" t="s">
        <v>711</v>
      </c>
      <c r="J1860" s="656">
        <v>5621538</v>
      </c>
    </row>
    <row r="1861" spans="1:10" ht="33.75">
      <c r="A1861" s="655" t="s">
        <v>768</v>
      </c>
      <c r="B1861" s="565" t="s">
        <v>776</v>
      </c>
      <c r="C1861" s="565" t="s">
        <v>777</v>
      </c>
      <c r="D1861" s="596">
        <v>0.1</v>
      </c>
      <c r="E1861" s="596">
        <v>4.2</v>
      </c>
      <c r="F1861" s="35" t="s">
        <v>714</v>
      </c>
      <c r="G1861" s="566">
        <v>127321.5</v>
      </c>
      <c r="H1861" s="565" t="s">
        <v>18</v>
      </c>
      <c r="I1861" s="35" t="s">
        <v>715</v>
      </c>
      <c r="J1861" s="656">
        <v>249009.30000000002</v>
      </c>
    </row>
    <row r="1862" spans="1:10" ht="33.75">
      <c r="A1862" s="655" t="s">
        <v>768</v>
      </c>
      <c r="B1862" s="565" t="s">
        <v>778</v>
      </c>
      <c r="C1862" s="565" t="s">
        <v>779</v>
      </c>
      <c r="D1862" s="596">
        <v>7.5</v>
      </c>
      <c r="E1862" s="596">
        <v>4.5</v>
      </c>
      <c r="F1862" s="35" t="s">
        <v>714</v>
      </c>
      <c r="G1862" s="566">
        <v>9549112.5</v>
      </c>
      <c r="H1862" s="565" t="s">
        <v>18</v>
      </c>
      <c r="I1862" s="35" t="s">
        <v>715</v>
      </c>
      <c r="J1862" s="656">
        <v>18675697.5</v>
      </c>
    </row>
    <row r="1863" spans="1:10">
      <c r="A1863" s="655" t="s">
        <v>768</v>
      </c>
      <c r="B1863" s="565" t="s">
        <v>780</v>
      </c>
      <c r="C1863" s="565" t="s">
        <v>781</v>
      </c>
      <c r="D1863" s="596">
        <v>3.8</v>
      </c>
      <c r="E1863" s="596">
        <v>4.5</v>
      </c>
      <c r="F1863" s="35" t="s">
        <v>710</v>
      </c>
      <c r="G1863" s="566"/>
      <c r="H1863" s="565" t="s">
        <v>18</v>
      </c>
      <c r="I1863" s="35" t="s">
        <v>711</v>
      </c>
      <c r="J1863" s="656">
        <v>4840614.8</v>
      </c>
    </row>
    <row r="1864" spans="1:10" ht="33.75">
      <c r="A1864" s="655" t="s">
        <v>782</v>
      </c>
      <c r="B1864" s="565" t="s">
        <v>783</v>
      </c>
      <c r="C1864" s="565" t="s">
        <v>784</v>
      </c>
      <c r="D1864" s="596">
        <v>3.6</v>
      </c>
      <c r="E1864" s="596">
        <v>6.5</v>
      </c>
      <c r="F1864" s="35" t="s">
        <v>714</v>
      </c>
      <c r="G1864" s="566">
        <v>4583574</v>
      </c>
      <c r="H1864" s="565" t="s">
        <v>30</v>
      </c>
      <c r="I1864" s="35" t="s">
        <v>715</v>
      </c>
      <c r="J1864" s="656">
        <v>37764334.800000004</v>
      </c>
    </row>
    <row r="1865" spans="1:10" ht="33.75">
      <c r="A1865" s="655" t="s">
        <v>782</v>
      </c>
      <c r="B1865" s="1019" t="s">
        <v>785</v>
      </c>
      <c r="C1865" s="1019" t="s">
        <v>786</v>
      </c>
      <c r="D1865" s="1021">
        <v>2.7</v>
      </c>
      <c r="E1865" s="1021">
        <v>5.5</v>
      </c>
      <c r="F1865" s="35" t="s">
        <v>714</v>
      </c>
      <c r="G1865" s="1022">
        <v>3437680.5</v>
      </c>
      <c r="H1865" s="1019" t="s">
        <v>30</v>
      </c>
      <c r="I1865" s="35" t="s">
        <v>715</v>
      </c>
      <c r="J1865" s="1020">
        <v>33615637.200000003</v>
      </c>
    </row>
    <row r="1866" spans="1:10">
      <c r="A1866" s="655" t="s">
        <v>782</v>
      </c>
      <c r="B1866" s="1019"/>
      <c r="C1866" s="1019"/>
      <c r="D1866" s="1021"/>
      <c r="E1866" s="1021"/>
      <c r="F1866" s="35" t="s">
        <v>710</v>
      </c>
      <c r="G1866" s="1022"/>
      <c r="H1866" s="1019"/>
      <c r="I1866" s="35" t="s">
        <v>711</v>
      </c>
      <c r="J1866" s="1020"/>
    </row>
    <row r="1867" spans="1:10" ht="33.75">
      <c r="A1867" s="655" t="s">
        <v>782</v>
      </c>
      <c r="B1867" s="565" t="s">
        <v>787</v>
      </c>
      <c r="C1867" s="565" t="s">
        <v>730</v>
      </c>
      <c r="D1867" s="596">
        <v>13</v>
      </c>
      <c r="E1867" s="596">
        <v>5.5</v>
      </c>
      <c r="F1867" s="35" t="s">
        <v>724</v>
      </c>
      <c r="G1867" s="566">
        <v>10631621</v>
      </c>
      <c r="H1867" s="565" t="s">
        <v>18</v>
      </c>
      <c r="I1867" s="35" t="s">
        <v>715</v>
      </c>
      <c r="J1867" s="656">
        <v>45371209</v>
      </c>
    </row>
    <row r="1868" spans="1:10" ht="33.75">
      <c r="A1868" s="655" t="s">
        <v>782</v>
      </c>
      <c r="B1868" s="565" t="s">
        <v>788</v>
      </c>
      <c r="C1868" s="565" t="s">
        <v>789</v>
      </c>
      <c r="D1868" s="596">
        <v>2</v>
      </c>
      <c r="E1868" s="596">
        <v>5.5</v>
      </c>
      <c r="F1868" s="35" t="s">
        <v>714</v>
      </c>
      <c r="G1868" s="566">
        <v>2546430</v>
      </c>
      <c r="H1868" s="565" t="s">
        <v>18</v>
      </c>
      <c r="I1868" s="35" t="s">
        <v>715</v>
      </c>
      <c r="J1868" s="656">
        <v>6980186</v>
      </c>
    </row>
    <row r="1869" spans="1:10" ht="33.75">
      <c r="A1869" s="655" t="s">
        <v>782</v>
      </c>
      <c r="B1869" s="565" t="s">
        <v>790</v>
      </c>
      <c r="C1869" s="565" t="s">
        <v>791</v>
      </c>
      <c r="D1869" s="596">
        <v>17.399999999999999</v>
      </c>
      <c r="E1869" s="596">
        <v>4.5999999999999996</v>
      </c>
      <c r="F1869" s="35" t="s">
        <v>724</v>
      </c>
      <c r="G1869" s="566">
        <v>22153941</v>
      </c>
      <c r="H1869" s="565" t="s">
        <v>18</v>
      </c>
      <c r="I1869" s="35" t="s">
        <v>715</v>
      </c>
      <c r="J1869" s="656">
        <v>60727618.199999996</v>
      </c>
    </row>
    <row r="1870" spans="1:10" ht="33.75">
      <c r="A1870" s="655" t="s">
        <v>782</v>
      </c>
      <c r="B1870" s="565" t="s">
        <v>792</v>
      </c>
      <c r="C1870" s="565" t="s">
        <v>793</v>
      </c>
      <c r="D1870" s="596">
        <v>0.28999999999999998</v>
      </c>
      <c r="E1870" s="596">
        <v>6.5</v>
      </c>
      <c r="F1870" s="35" t="s">
        <v>724</v>
      </c>
      <c r="G1870" s="566">
        <v>237166.93</v>
      </c>
      <c r="H1870" s="565" t="s">
        <v>18</v>
      </c>
      <c r="I1870" s="35" t="s">
        <v>715</v>
      </c>
      <c r="J1870" s="656">
        <v>1012126.97</v>
      </c>
    </row>
    <row r="1871" spans="1:10" ht="33.75">
      <c r="A1871" s="655" t="s">
        <v>782</v>
      </c>
      <c r="B1871" s="1019" t="s">
        <v>794</v>
      </c>
      <c r="C1871" s="1019" t="s">
        <v>795</v>
      </c>
      <c r="D1871" s="1021">
        <v>3.1</v>
      </c>
      <c r="E1871" s="1021">
        <v>4.9000000000000004</v>
      </c>
      <c r="F1871" s="35" t="s">
        <v>708</v>
      </c>
      <c r="G1871" s="1022">
        <v>3946966.5</v>
      </c>
      <c r="H1871" s="1019" t="s">
        <v>18</v>
      </c>
      <c r="I1871" s="35" t="s">
        <v>709</v>
      </c>
      <c r="J1871" s="1020">
        <v>12719288.300000001</v>
      </c>
    </row>
    <row r="1872" spans="1:10">
      <c r="A1872" s="655" t="s">
        <v>782</v>
      </c>
      <c r="B1872" s="1019"/>
      <c r="C1872" s="1019"/>
      <c r="D1872" s="1021"/>
      <c r="E1872" s="1021"/>
      <c r="F1872" s="35" t="s">
        <v>710</v>
      </c>
      <c r="G1872" s="1022"/>
      <c r="H1872" s="1019"/>
      <c r="I1872" s="35" t="s">
        <v>711</v>
      </c>
      <c r="J1872" s="1020"/>
    </row>
    <row r="1873" spans="1:10">
      <c r="A1873" s="655" t="s">
        <v>796</v>
      </c>
      <c r="B1873" s="565" t="s">
        <v>797</v>
      </c>
      <c r="C1873" s="565" t="s">
        <v>798</v>
      </c>
      <c r="D1873" s="596">
        <v>2.1</v>
      </c>
      <c r="E1873" s="596">
        <v>4.0999999999999996</v>
      </c>
      <c r="F1873" s="35" t="s">
        <v>710</v>
      </c>
      <c r="G1873" s="566"/>
      <c r="H1873" s="565"/>
      <c r="I1873" s="35" t="s">
        <v>711</v>
      </c>
      <c r="J1873" s="656">
        <v>2675076.6</v>
      </c>
    </row>
    <row r="1874" spans="1:10" ht="33.75">
      <c r="A1874" s="655" t="s">
        <v>796</v>
      </c>
      <c r="B1874" s="565" t="s">
        <v>799</v>
      </c>
      <c r="C1874" s="565" t="s">
        <v>800</v>
      </c>
      <c r="D1874" s="596">
        <v>8.5</v>
      </c>
      <c r="E1874" s="596">
        <v>5.5</v>
      </c>
      <c r="F1874" s="35" t="s">
        <v>724</v>
      </c>
      <c r="G1874" s="566">
        <v>6951444.5</v>
      </c>
      <c r="H1874" s="565" t="s">
        <v>18</v>
      </c>
      <c r="I1874" s="35" t="s">
        <v>715</v>
      </c>
      <c r="J1874" s="656">
        <v>29665790.5</v>
      </c>
    </row>
    <row r="1875" spans="1:10" ht="33.75">
      <c r="A1875" s="655" t="s">
        <v>796</v>
      </c>
      <c r="B1875" s="565" t="s">
        <v>801</v>
      </c>
      <c r="C1875" s="565" t="s">
        <v>798</v>
      </c>
      <c r="D1875" s="596">
        <v>3</v>
      </c>
      <c r="E1875" s="596">
        <v>5.5</v>
      </c>
      <c r="F1875" s="35" t="s">
        <v>724</v>
      </c>
      <c r="G1875" s="566">
        <v>2453451</v>
      </c>
      <c r="H1875" s="565" t="s">
        <v>30</v>
      </c>
      <c r="I1875" s="35" t="s">
        <v>715</v>
      </c>
      <c r="J1875" s="656">
        <v>10470279</v>
      </c>
    </row>
    <row r="1876" spans="1:10" ht="33.75">
      <c r="A1876" s="655" t="s">
        <v>796</v>
      </c>
      <c r="B1876" s="565" t="s">
        <v>802</v>
      </c>
      <c r="C1876" s="565" t="s">
        <v>803</v>
      </c>
      <c r="D1876" s="596">
        <v>4.8</v>
      </c>
      <c r="E1876" s="596">
        <v>5</v>
      </c>
      <c r="F1876" s="35" t="s">
        <v>724</v>
      </c>
      <c r="G1876" s="566">
        <v>3925521.5999999996</v>
      </c>
      <c r="H1876" s="565" t="s">
        <v>30</v>
      </c>
      <c r="I1876" s="35" t="s">
        <v>715</v>
      </c>
      <c r="J1876" s="656">
        <v>16752446.399999999</v>
      </c>
    </row>
    <row r="1877" spans="1:10">
      <c r="A1877" s="655" t="s">
        <v>796</v>
      </c>
      <c r="B1877" s="565" t="s">
        <v>804</v>
      </c>
      <c r="C1877" s="565" t="s">
        <v>805</v>
      </c>
      <c r="D1877" s="596">
        <v>2.5</v>
      </c>
      <c r="E1877" s="596">
        <v>5.5</v>
      </c>
      <c r="F1877" s="35" t="s">
        <v>710</v>
      </c>
      <c r="G1877" s="566">
        <v>3183037.5</v>
      </c>
      <c r="H1877" s="565" t="s">
        <v>18</v>
      </c>
      <c r="I1877" s="35" t="s">
        <v>711</v>
      </c>
      <c r="J1877" s="656">
        <v>13184615</v>
      </c>
    </row>
    <row r="1878" spans="1:10" ht="33.75">
      <c r="A1878" s="655" t="s">
        <v>806</v>
      </c>
      <c r="B1878" s="565" t="s">
        <v>807</v>
      </c>
      <c r="C1878" s="565" t="s">
        <v>808</v>
      </c>
      <c r="D1878" s="596">
        <v>3.6</v>
      </c>
      <c r="E1878" s="596">
        <v>6</v>
      </c>
      <c r="F1878" s="35" t="s">
        <v>714</v>
      </c>
      <c r="G1878" s="566">
        <v>4583574</v>
      </c>
      <c r="H1878" s="565" t="s">
        <v>30</v>
      </c>
      <c r="I1878" s="35" t="s">
        <v>715</v>
      </c>
      <c r="J1878" s="656">
        <v>8964334.8000000007</v>
      </c>
    </row>
    <row r="1879" spans="1:10" ht="33.75">
      <c r="A1879" s="655" t="s">
        <v>806</v>
      </c>
      <c r="B1879" s="36" t="s">
        <v>809</v>
      </c>
      <c r="C1879" s="565" t="s">
        <v>810</v>
      </c>
      <c r="D1879" s="596">
        <v>2.2000000000000002</v>
      </c>
      <c r="E1879" s="596">
        <v>5.5</v>
      </c>
      <c r="F1879" s="35" t="s">
        <v>714</v>
      </c>
      <c r="G1879" s="566">
        <v>2801073</v>
      </c>
      <c r="H1879" s="36" t="s">
        <v>30</v>
      </c>
      <c r="I1879" s="35" t="s">
        <v>715</v>
      </c>
      <c r="J1879" s="656">
        <v>5478204.6000000006</v>
      </c>
    </row>
    <row r="1880" spans="1:10" ht="33.75">
      <c r="A1880" s="655" t="s">
        <v>806</v>
      </c>
      <c r="B1880" s="565" t="s">
        <v>811</v>
      </c>
      <c r="C1880" s="565" t="s">
        <v>812</v>
      </c>
      <c r="D1880" s="596">
        <v>4.0999999999999996</v>
      </c>
      <c r="E1880" s="596">
        <v>4.5</v>
      </c>
      <c r="F1880" s="35" t="s">
        <v>714</v>
      </c>
      <c r="G1880" s="566">
        <v>5220181.5</v>
      </c>
      <c r="H1880" s="565" t="s">
        <v>30</v>
      </c>
      <c r="I1880" s="35" t="s">
        <v>715</v>
      </c>
      <c r="J1880" s="656">
        <v>10209381.299999999</v>
      </c>
    </row>
    <row r="1881" spans="1:10" ht="33.75">
      <c r="A1881" s="655" t="s">
        <v>806</v>
      </c>
      <c r="B1881" s="565" t="s">
        <v>813</v>
      </c>
      <c r="C1881" s="565" t="s">
        <v>814</v>
      </c>
      <c r="D1881" s="596">
        <v>0.56000000000000005</v>
      </c>
      <c r="E1881" s="596">
        <v>6.2</v>
      </c>
      <c r="F1881" s="35" t="s">
        <v>714</v>
      </c>
      <c r="G1881" s="566">
        <v>713000.4</v>
      </c>
      <c r="H1881" s="565" t="s">
        <v>30</v>
      </c>
      <c r="I1881" s="35" t="s">
        <v>715</v>
      </c>
      <c r="J1881" s="656">
        <v>1394452.08</v>
      </c>
    </row>
    <row r="1882" spans="1:10" ht="33.75">
      <c r="A1882" s="655" t="s">
        <v>806</v>
      </c>
      <c r="B1882" s="37" t="s">
        <v>815</v>
      </c>
      <c r="C1882" s="37" t="s">
        <v>816</v>
      </c>
      <c r="D1882" s="597">
        <v>2.5</v>
      </c>
      <c r="E1882" s="597">
        <v>6.3</v>
      </c>
      <c r="F1882" s="35" t="s">
        <v>708</v>
      </c>
      <c r="G1882" s="566">
        <v>3183037.5</v>
      </c>
      <c r="H1882" s="37" t="s">
        <v>18</v>
      </c>
      <c r="I1882" s="35" t="s">
        <v>709</v>
      </c>
      <c r="J1882" s="656">
        <v>6225232.5</v>
      </c>
    </row>
    <row r="1883" spans="1:10">
      <c r="A1883" s="655" t="s">
        <v>806</v>
      </c>
      <c r="B1883" s="37" t="s">
        <v>815</v>
      </c>
      <c r="C1883" s="37" t="s">
        <v>817</v>
      </c>
      <c r="D1883" s="597"/>
      <c r="E1883" s="597"/>
      <c r="F1883" s="35" t="s">
        <v>710</v>
      </c>
      <c r="G1883" s="566"/>
      <c r="H1883" s="37"/>
      <c r="I1883" s="35" t="s">
        <v>711</v>
      </c>
      <c r="J1883" s="656"/>
    </row>
    <row r="1884" spans="1:10" ht="15.75">
      <c r="A1884" s="1013" t="s">
        <v>189</v>
      </c>
      <c r="B1884" s="1014"/>
      <c r="C1884" s="1014"/>
      <c r="D1884" s="1014"/>
      <c r="E1884" s="1014"/>
      <c r="F1884" s="1014"/>
      <c r="G1884" s="550">
        <f>SUM(G1828:G1883)</f>
        <v>164471506.88</v>
      </c>
      <c r="H1884" s="564"/>
      <c r="I1884" s="564"/>
      <c r="J1884" s="626">
        <f>SUM(J1828:J1883)</f>
        <v>696164077.05999994</v>
      </c>
    </row>
    <row r="1885" spans="1:10" ht="15.75">
      <c r="A1885" s="1013" t="s">
        <v>866</v>
      </c>
      <c r="B1885" s="1014"/>
      <c r="C1885" s="1014"/>
      <c r="D1885" s="1014"/>
      <c r="E1885" s="1014"/>
      <c r="F1885" s="1014"/>
      <c r="G1885" s="1014"/>
      <c r="H1885" s="1014"/>
      <c r="I1885" s="1014"/>
      <c r="J1885" s="1015"/>
    </row>
    <row r="1886" spans="1:10" ht="56.25">
      <c r="A1886" s="27" t="s">
        <v>867</v>
      </c>
      <c r="B1886" s="300" t="s">
        <v>868</v>
      </c>
      <c r="C1886" s="569" t="s">
        <v>869</v>
      </c>
      <c r="D1886" s="569">
        <v>8.32</v>
      </c>
      <c r="E1886" s="569">
        <v>5.5</v>
      </c>
      <c r="F1886" s="569" t="s">
        <v>870</v>
      </c>
      <c r="G1886" s="73">
        <v>30000000</v>
      </c>
      <c r="H1886" s="569">
        <v>1</v>
      </c>
      <c r="I1886" s="569" t="s">
        <v>871</v>
      </c>
      <c r="J1886" s="531">
        <v>75504000</v>
      </c>
    </row>
    <row r="1887" spans="1:10" ht="38.25">
      <c r="A1887" s="27" t="s">
        <v>867</v>
      </c>
      <c r="B1887" s="300" t="s">
        <v>872</v>
      </c>
      <c r="C1887" s="569" t="s">
        <v>873</v>
      </c>
      <c r="D1887" s="569">
        <v>20.3</v>
      </c>
      <c r="E1887" s="569">
        <v>5.5</v>
      </c>
      <c r="F1887" s="569" t="s">
        <v>874</v>
      </c>
      <c r="G1887" s="73">
        <v>76000000</v>
      </c>
      <c r="H1887" s="569">
        <v>3</v>
      </c>
      <c r="I1887" s="569" t="s">
        <v>871</v>
      </c>
      <c r="J1887" s="531">
        <v>184222500</v>
      </c>
    </row>
    <row r="1888" spans="1:10" ht="33.75">
      <c r="A1888" s="27" t="s">
        <v>867</v>
      </c>
      <c r="B1888" s="300" t="s">
        <v>875</v>
      </c>
      <c r="C1888" s="569" t="s">
        <v>876</v>
      </c>
      <c r="D1888" s="569">
        <v>8.1</v>
      </c>
      <c r="E1888" s="569">
        <v>5.5</v>
      </c>
      <c r="F1888" s="569" t="s">
        <v>877</v>
      </c>
      <c r="G1888" s="73">
        <v>22400000</v>
      </c>
      <c r="H1888" s="569">
        <v>2</v>
      </c>
      <c r="I1888" s="569" t="s">
        <v>871</v>
      </c>
      <c r="J1888" s="531">
        <v>73507500</v>
      </c>
    </row>
    <row r="1889" spans="1:10" ht="33.75">
      <c r="A1889" s="27" t="s">
        <v>878</v>
      </c>
      <c r="B1889" s="300" t="s">
        <v>879</v>
      </c>
      <c r="C1889" s="598" t="s">
        <v>880</v>
      </c>
      <c r="D1889" s="569">
        <v>3.5</v>
      </c>
      <c r="E1889" s="569">
        <v>5.5</v>
      </c>
      <c r="F1889" s="569" t="s">
        <v>870</v>
      </c>
      <c r="G1889" s="73">
        <v>13000000</v>
      </c>
      <c r="H1889" s="569">
        <v>1</v>
      </c>
      <c r="I1889" s="569" t="s">
        <v>871</v>
      </c>
      <c r="J1889" s="531">
        <v>31762500</v>
      </c>
    </row>
    <row r="1890" spans="1:10" ht="45">
      <c r="A1890" s="27" t="s">
        <v>881</v>
      </c>
      <c r="B1890" s="300" t="s">
        <v>882</v>
      </c>
      <c r="C1890" s="569" t="s">
        <v>883</v>
      </c>
      <c r="D1890" s="569">
        <v>1.37</v>
      </c>
      <c r="E1890" s="569">
        <v>5.5</v>
      </c>
      <c r="F1890" s="569" t="s">
        <v>884</v>
      </c>
      <c r="G1890" s="73">
        <v>2775000</v>
      </c>
      <c r="H1890" s="569">
        <v>2</v>
      </c>
      <c r="I1890" s="569" t="s">
        <v>871</v>
      </c>
      <c r="J1890" s="531">
        <v>12432750</v>
      </c>
    </row>
    <row r="1891" spans="1:10" ht="33.75">
      <c r="A1891" s="27" t="s">
        <v>881</v>
      </c>
      <c r="B1891" s="300" t="s">
        <v>882</v>
      </c>
      <c r="C1891" s="569" t="s">
        <v>885</v>
      </c>
      <c r="D1891" s="569">
        <v>6</v>
      </c>
      <c r="E1891" s="569">
        <v>5.5</v>
      </c>
      <c r="F1891" s="569" t="s">
        <v>877</v>
      </c>
      <c r="G1891" s="73">
        <v>19000000</v>
      </c>
      <c r="H1891" s="569">
        <v>1</v>
      </c>
      <c r="I1891" s="569" t="s">
        <v>871</v>
      </c>
      <c r="J1891" s="531">
        <v>54450000</v>
      </c>
    </row>
    <row r="1892" spans="1:10" ht="33.75">
      <c r="A1892" s="27" t="s">
        <v>878</v>
      </c>
      <c r="B1892" s="300" t="s">
        <v>886</v>
      </c>
      <c r="C1892" s="569" t="s">
        <v>887</v>
      </c>
      <c r="D1892" s="569">
        <v>2.4</v>
      </c>
      <c r="E1892" s="569">
        <v>5.5</v>
      </c>
      <c r="F1892" s="569" t="s">
        <v>870</v>
      </c>
      <c r="G1892" s="73">
        <v>6000000</v>
      </c>
      <c r="H1892" s="569">
        <v>1</v>
      </c>
      <c r="I1892" s="569" t="s">
        <v>871</v>
      </c>
      <c r="J1892" s="531">
        <v>21780000</v>
      </c>
    </row>
    <row r="1893" spans="1:10" ht="33.75">
      <c r="A1893" s="27" t="s">
        <v>878</v>
      </c>
      <c r="B1893" s="300" t="s">
        <v>888</v>
      </c>
      <c r="C1893" s="569" t="s">
        <v>889</v>
      </c>
      <c r="D1893" s="569">
        <v>4.3</v>
      </c>
      <c r="E1893" s="569">
        <v>5.5</v>
      </c>
      <c r="F1893" s="569" t="s">
        <v>870</v>
      </c>
      <c r="G1893" s="73">
        <v>14850000</v>
      </c>
      <c r="H1893" s="569">
        <v>1</v>
      </c>
      <c r="I1893" s="569" t="s">
        <v>871</v>
      </c>
      <c r="J1893" s="531">
        <v>39022500</v>
      </c>
    </row>
    <row r="1894" spans="1:10" ht="33.75">
      <c r="A1894" s="27" t="s">
        <v>878</v>
      </c>
      <c r="B1894" s="300" t="s">
        <v>886</v>
      </c>
      <c r="C1894" s="569" t="s">
        <v>890</v>
      </c>
      <c r="D1894" s="569">
        <v>4.5999999999999996</v>
      </c>
      <c r="E1894" s="569">
        <v>5.5</v>
      </c>
      <c r="F1894" s="569" t="s">
        <v>870</v>
      </c>
      <c r="G1894" s="73">
        <v>15500000</v>
      </c>
      <c r="H1894" s="569">
        <v>1</v>
      </c>
      <c r="I1894" s="569" t="s">
        <v>871</v>
      </c>
      <c r="J1894" s="531">
        <v>41745000</v>
      </c>
    </row>
    <row r="1895" spans="1:10" ht="33.75">
      <c r="A1895" s="27" t="s">
        <v>878</v>
      </c>
      <c r="B1895" s="300" t="s">
        <v>891</v>
      </c>
      <c r="C1895" s="569" t="s">
        <v>892</v>
      </c>
      <c r="D1895" s="569">
        <v>7.8</v>
      </c>
      <c r="E1895" s="569">
        <v>5.5</v>
      </c>
      <c r="F1895" s="569" t="s">
        <v>870</v>
      </c>
      <c r="G1895" s="73">
        <v>13000000</v>
      </c>
      <c r="H1895" s="569">
        <v>1</v>
      </c>
      <c r="I1895" s="569" t="s">
        <v>871</v>
      </c>
      <c r="J1895" s="531">
        <v>70785000</v>
      </c>
    </row>
    <row r="1896" spans="1:10" ht="33.75">
      <c r="A1896" s="27" t="s">
        <v>878</v>
      </c>
      <c r="B1896" s="300" t="s">
        <v>878</v>
      </c>
      <c r="C1896" s="569" t="s">
        <v>893</v>
      </c>
      <c r="D1896" s="569">
        <v>4.4000000000000004</v>
      </c>
      <c r="E1896" s="569">
        <v>5.5</v>
      </c>
      <c r="F1896" s="569" t="s">
        <v>870</v>
      </c>
      <c r="G1896" s="73">
        <v>15000000</v>
      </c>
      <c r="H1896" s="569">
        <v>1</v>
      </c>
      <c r="I1896" s="569" t="s">
        <v>871</v>
      </c>
      <c r="J1896" s="531">
        <v>39930000</v>
      </c>
    </row>
    <row r="1897" spans="1:10" ht="33.75">
      <c r="A1897" s="27" t="s">
        <v>878</v>
      </c>
      <c r="B1897" s="300" t="s">
        <v>878</v>
      </c>
      <c r="C1897" s="569" t="s">
        <v>894</v>
      </c>
      <c r="D1897" s="569">
        <v>2.1</v>
      </c>
      <c r="E1897" s="569">
        <v>5.5</v>
      </c>
      <c r="F1897" s="569" t="s">
        <v>870</v>
      </c>
      <c r="G1897" s="73">
        <v>5700000</v>
      </c>
      <c r="H1897" s="569">
        <v>1</v>
      </c>
      <c r="I1897" s="569" t="s">
        <v>871</v>
      </c>
      <c r="J1897" s="531">
        <v>19057500</v>
      </c>
    </row>
    <row r="1898" spans="1:10" ht="33.75">
      <c r="A1898" s="27" t="s">
        <v>878</v>
      </c>
      <c r="B1898" s="300" t="s">
        <v>895</v>
      </c>
      <c r="C1898" s="569" t="s">
        <v>896</v>
      </c>
      <c r="D1898" s="569">
        <v>3.4</v>
      </c>
      <c r="E1898" s="569">
        <v>5.5</v>
      </c>
      <c r="F1898" s="569" t="s">
        <v>870</v>
      </c>
      <c r="G1898" s="73">
        <v>12000000</v>
      </c>
      <c r="H1898" s="569">
        <v>1</v>
      </c>
      <c r="I1898" s="569" t="s">
        <v>871</v>
      </c>
      <c r="J1898" s="531">
        <v>30855000</v>
      </c>
    </row>
    <row r="1899" spans="1:10" ht="33.75">
      <c r="A1899" s="27" t="s">
        <v>878</v>
      </c>
      <c r="B1899" s="300" t="s">
        <v>897</v>
      </c>
      <c r="C1899" s="569" t="s">
        <v>898</v>
      </c>
      <c r="D1899" s="569">
        <v>1.5</v>
      </c>
      <c r="E1899" s="569">
        <v>5.5</v>
      </c>
      <c r="F1899" s="569" t="s">
        <v>870</v>
      </c>
      <c r="G1899" s="73">
        <v>5150000</v>
      </c>
      <c r="H1899" s="569">
        <v>1</v>
      </c>
      <c r="I1899" s="569" t="s">
        <v>871</v>
      </c>
      <c r="J1899" s="531">
        <v>13612500</v>
      </c>
    </row>
    <row r="1900" spans="1:10" ht="33.75">
      <c r="A1900" s="27" t="s">
        <v>878</v>
      </c>
      <c r="B1900" s="300" t="s">
        <v>897</v>
      </c>
      <c r="C1900" s="569" t="s">
        <v>899</v>
      </c>
      <c r="D1900" s="569">
        <v>1</v>
      </c>
      <c r="E1900" s="569">
        <v>5.5</v>
      </c>
      <c r="F1900" s="569" t="s">
        <v>870</v>
      </c>
      <c r="G1900" s="73">
        <v>2200000</v>
      </c>
      <c r="H1900" s="569">
        <v>1</v>
      </c>
      <c r="I1900" s="569" t="s">
        <v>871</v>
      </c>
      <c r="J1900" s="531">
        <v>9075000</v>
      </c>
    </row>
    <row r="1901" spans="1:10" ht="33.75">
      <c r="A1901" s="27" t="s">
        <v>878</v>
      </c>
      <c r="B1901" s="300" t="s">
        <v>900</v>
      </c>
      <c r="C1901" s="569" t="s">
        <v>901</v>
      </c>
      <c r="D1901" s="569">
        <v>1</v>
      </c>
      <c r="E1901" s="569">
        <v>5.5</v>
      </c>
      <c r="F1901" s="569" t="s">
        <v>870</v>
      </c>
      <c r="G1901" s="73">
        <v>2200000</v>
      </c>
      <c r="H1901" s="569">
        <v>1</v>
      </c>
      <c r="I1901" s="569" t="s">
        <v>871</v>
      </c>
      <c r="J1901" s="531">
        <v>9075000</v>
      </c>
    </row>
    <row r="1902" spans="1:10" ht="33.75">
      <c r="A1902" s="27" t="s">
        <v>867</v>
      </c>
      <c r="B1902" s="300" t="s">
        <v>902</v>
      </c>
      <c r="C1902" s="569" t="s">
        <v>903</v>
      </c>
      <c r="D1902" s="569">
        <v>5.4</v>
      </c>
      <c r="E1902" s="569">
        <v>5.5</v>
      </c>
      <c r="F1902" s="569" t="s">
        <v>904</v>
      </c>
      <c r="G1902" s="73">
        <v>18000000</v>
      </c>
      <c r="H1902" s="569">
        <v>1</v>
      </c>
      <c r="I1902" s="569" t="s">
        <v>871</v>
      </c>
      <c r="J1902" s="531">
        <v>49005000</v>
      </c>
    </row>
    <row r="1903" spans="1:10" ht="33.75">
      <c r="A1903" s="27" t="s">
        <v>867</v>
      </c>
      <c r="B1903" s="300" t="s">
        <v>905</v>
      </c>
      <c r="C1903" s="569" t="s">
        <v>906</v>
      </c>
      <c r="D1903" s="569">
        <v>6.55</v>
      </c>
      <c r="E1903" s="569">
        <v>5.5</v>
      </c>
      <c r="F1903" s="569" t="s">
        <v>870</v>
      </c>
      <c r="G1903" s="73">
        <v>21500000</v>
      </c>
      <c r="H1903" s="569">
        <v>1</v>
      </c>
      <c r="I1903" s="569" t="s">
        <v>871</v>
      </c>
      <c r="J1903" s="531">
        <v>59441250</v>
      </c>
    </row>
    <row r="1904" spans="1:10" ht="33.75">
      <c r="A1904" s="27" t="s">
        <v>867</v>
      </c>
      <c r="B1904" s="300" t="s">
        <v>907</v>
      </c>
      <c r="C1904" s="569" t="s">
        <v>908</v>
      </c>
      <c r="D1904" s="569">
        <v>1.67</v>
      </c>
      <c r="E1904" s="569">
        <v>5.5</v>
      </c>
      <c r="F1904" s="569" t="s">
        <v>870</v>
      </c>
      <c r="G1904" s="73">
        <v>5500000</v>
      </c>
      <c r="H1904" s="569">
        <v>1</v>
      </c>
      <c r="I1904" s="569" t="s">
        <v>871</v>
      </c>
      <c r="J1904" s="531">
        <v>15155250</v>
      </c>
    </row>
    <row r="1905" spans="1:10" ht="33.75">
      <c r="A1905" s="27" t="s">
        <v>881</v>
      </c>
      <c r="B1905" s="300" t="s">
        <v>909</v>
      </c>
      <c r="C1905" s="569" t="s">
        <v>910</v>
      </c>
      <c r="D1905" s="569">
        <v>12.95</v>
      </c>
      <c r="E1905" s="569">
        <v>5.5</v>
      </c>
      <c r="F1905" s="569" t="s">
        <v>870</v>
      </c>
      <c r="G1905" s="73">
        <v>50000000</v>
      </c>
      <c r="H1905" s="569">
        <v>1</v>
      </c>
      <c r="I1905" s="569" t="s">
        <v>871</v>
      </c>
      <c r="J1905" s="531">
        <v>117521250</v>
      </c>
    </row>
    <row r="1906" spans="1:10" ht="45">
      <c r="A1906" s="27" t="s">
        <v>911</v>
      </c>
      <c r="B1906" s="300" t="s">
        <v>912</v>
      </c>
      <c r="C1906" s="569" t="s">
        <v>913</v>
      </c>
      <c r="D1906" s="569">
        <v>7.55</v>
      </c>
      <c r="E1906" s="569">
        <v>5.5</v>
      </c>
      <c r="F1906" s="569" t="s">
        <v>870</v>
      </c>
      <c r="G1906" s="73">
        <v>23500000</v>
      </c>
      <c r="H1906" s="569">
        <v>1</v>
      </c>
      <c r="I1906" s="569" t="s">
        <v>871</v>
      </c>
      <c r="J1906" s="531">
        <v>68516250</v>
      </c>
    </row>
    <row r="1907" spans="1:10" ht="33.75">
      <c r="A1907" s="27" t="s">
        <v>878</v>
      </c>
      <c r="B1907" s="300" t="s">
        <v>914</v>
      </c>
      <c r="C1907" s="569" t="s">
        <v>915</v>
      </c>
      <c r="D1907" s="569">
        <v>0.9</v>
      </c>
      <c r="E1907" s="569">
        <v>5.5</v>
      </c>
      <c r="F1907" s="569" t="s">
        <v>870</v>
      </c>
      <c r="G1907" s="73">
        <v>2000000</v>
      </c>
      <c r="H1907" s="569">
        <v>1</v>
      </c>
      <c r="I1907" s="569" t="s">
        <v>871</v>
      </c>
      <c r="J1907" s="531">
        <v>8167500</v>
      </c>
    </row>
    <row r="1908" spans="1:10" ht="33.75">
      <c r="A1908" s="27" t="s">
        <v>878</v>
      </c>
      <c r="B1908" s="300" t="s">
        <v>914</v>
      </c>
      <c r="C1908" s="569" t="s">
        <v>916</v>
      </c>
      <c r="D1908" s="569">
        <v>1.6</v>
      </c>
      <c r="E1908" s="569">
        <v>5.5</v>
      </c>
      <c r="F1908" s="569" t="s">
        <v>870</v>
      </c>
      <c r="G1908" s="73">
        <v>5450000</v>
      </c>
      <c r="H1908" s="569">
        <v>1</v>
      </c>
      <c r="I1908" s="569" t="s">
        <v>871</v>
      </c>
      <c r="J1908" s="531">
        <v>14520000</v>
      </c>
    </row>
    <row r="1909" spans="1:10" ht="45">
      <c r="A1909" s="27" t="s">
        <v>867</v>
      </c>
      <c r="B1909" s="300" t="s">
        <v>917</v>
      </c>
      <c r="C1909" s="569" t="s">
        <v>918</v>
      </c>
      <c r="D1909" s="569">
        <v>1.1000000000000001</v>
      </c>
      <c r="E1909" s="569">
        <v>5.5</v>
      </c>
      <c r="F1909" s="569" t="s">
        <v>870</v>
      </c>
      <c r="G1909" s="73">
        <v>2400000</v>
      </c>
      <c r="H1909" s="569">
        <v>1</v>
      </c>
      <c r="I1909" s="569" t="s">
        <v>871</v>
      </c>
      <c r="J1909" s="531">
        <v>9982500</v>
      </c>
    </row>
    <row r="1910" spans="1:10" ht="33.75">
      <c r="A1910" s="27" t="s">
        <v>878</v>
      </c>
      <c r="B1910" s="300" t="s">
        <v>914</v>
      </c>
      <c r="C1910" s="569" t="s">
        <v>919</v>
      </c>
      <c r="D1910" s="569">
        <v>1.3</v>
      </c>
      <c r="E1910" s="569">
        <v>5.5</v>
      </c>
      <c r="F1910" s="569" t="s">
        <v>870</v>
      </c>
      <c r="G1910" s="73">
        <v>2700000</v>
      </c>
      <c r="H1910" s="569">
        <v>1</v>
      </c>
      <c r="I1910" s="569" t="s">
        <v>871</v>
      </c>
      <c r="J1910" s="531">
        <v>11797500</v>
      </c>
    </row>
    <row r="1911" spans="1:10" ht="33.75">
      <c r="A1911" s="27" t="s">
        <v>867</v>
      </c>
      <c r="B1911" s="300" t="s">
        <v>920</v>
      </c>
      <c r="C1911" s="569" t="s">
        <v>921</v>
      </c>
      <c r="D1911" s="569">
        <v>7.1</v>
      </c>
      <c r="E1911" s="569">
        <v>5.5</v>
      </c>
      <c r="F1911" s="569" t="s">
        <v>870</v>
      </c>
      <c r="G1911" s="73">
        <v>20000000</v>
      </c>
      <c r="H1911" s="569">
        <v>1</v>
      </c>
      <c r="I1911" s="569" t="s">
        <v>871</v>
      </c>
      <c r="J1911" s="531">
        <v>64432500</v>
      </c>
    </row>
    <row r="1912" spans="1:10" ht="33.75">
      <c r="A1912" s="27" t="s">
        <v>867</v>
      </c>
      <c r="B1912" s="300" t="s">
        <v>922</v>
      </c>
      <c r="C1912" s="569" t="s">
        <v>923</v>
      </c>
      <c r="D1912" s="569">
        <v>6.3</v>
      </c>
      <c r="E1912" s="569">
        <v>5.5</v>
      </c>
      <c r="F1912" s="569" t="s">
        <v>870</v>
      </c>
      <c r="G1912" s="73">
        <v>23900000</v>
      </c>
      <c r="H1912" s="569">
        <v>1</v>
      </c>
      <c r="I1912" s="569" t="s">
        <v>871</v>
      </c>
      <c r="J1912" s="531">
        <v>57172500</v>
      </c>
    </row>
    <row r="1913" spans="1:10" ht="33.75">
      <c r="A1913" s="27" t="s">
        <v>867</v>
      </c>
      <c r="B1913" s="300" t="s">
        <v>924</v>
      </c>
      <c r="C1913" s="569" t="s">
        <v>925</v>
      </c>
      <c r="D1913" s="569">
        <v>4.4000000000000004</v>
      </c>
      <c r="E1913" s="569">
        <v>5.5</v>
      </c>
      <c r="F1913" s="569" t="s">
        <v>870</v>
      </c>
      <c r="G1913" s="73">
        <v>15000000</v>
      </c>
      <c r="H1913" s="569">
        <v>1</v>
      </c>
      <c r="I1913" s="569" t="s">
        <v>871</v>
      </c>
      <c r="J1913" s="531">
        <v>39930000</v>
      </c>
    </row>
    <row r="1914" spans="1:10" ht="33.75">
      <c r="A1914" s="27" t="s">
        <v>867</v>
      </c>
      <c r="B1914" s="300" t="s">
        <v>323</v>
      </c>
      <c r="C1914" s="569" t="s">
        <v>926</v>
      </c>
      <c r="D1914" s="569">
        <v>3.3</v>
      </c>
      <c r="E1914" s="569">
        <v>5.5</v>
      </c>
      <c r="F1914" s="569" t="s">
        <v>870</v>
      </c>
      <c r="G1914" s="73">
        <v>11950000</v>
      </c>
      <c r="H1914" s="569">
        <v>1</v>
      </c>
      <c r="I1914" s="569" t="s">
        <v>871</v>
      </c>
      <c r="J1914" s="531">
        <v>29947500</v>
      </c>
    </row>
    <row r="1915" spans="1:10" ht="33.75">
      <c r="A1915" s="27" t="s">
        <v>842</v>
      </c>
      <c r="B1915" s="300" t="s">
        <v>927</v>
      </c>
      <c r="C1915" s="569" t="s">
        <v>928</v>
      </c>
      <c r="D1915" s="569">
        <v>13.8</v>
      </c>
      <c r="E1915" s="569">
        <v>5.5</v>
      </c>
      <c r="F1915" s="569" t="s">
        <v>870</v>
      </c>
      <c r="G1915" s="73">
        <v>52250000</v>
      </c>
      <c r="H1915" s="569">
        <v>1</v>
      </c>
      <c r="I1915" s="569" t="s">
        <v>871</v>
      </c>
      <c r="J1915" s="531">
        <v>125235000</v>
      </c>
    </row>
    <row r="1916" spans="1:10" ht="45">
      <c r="A1916" s="27" t="s">
        <v>867</v>
      </c>
      <c r="B1916" s="300" t="s">
        <v>929</v>
      </c>
      <c r="C1916" s="569" t="s">
        <v>930</v>
      </c>
      <c r="D1916" s="569">
        <v>2.2000000000000002</v>
      </c>
      <c r="E1916" s="569">
        <v>5.5</v>
      </c>
      <c r="F1916" s="569" t="s">
        <v>870</v>
      </c>
      <c r="G1916" s="73">
        <v>7500000</v>
      </c>
      <c r="H1916" s="569">
        <v>1</v>
      </c>
      <c r="I1916" s="569" t="s">
        <v>871</v>
      </c>
      <c r="J1916" s="531">
        <v>19965000</v>
      </c>
    </row>
    <row r="1917" spans="1:10" ht="45">
      <c r="A1917" s="27" t="s">
        <v>867</v>
      </c>
      <c r="B1917" s="300" t="s">
        <v>867</v>
      </c>
      <c r="C1917" s="569" t="s">
        <v>931</v>
      </c>
      <c r="D1917" s="569">
        <v>4</v>
      </c>
      <c r="E1917" s="569">
        <v>6</v>
      </c>
      <c r="F1917" s="569" t="s">
        <v>932</v>
      </c>
      <c r="G1917" s="73">
        <v>35000000</v>
      </c>
      <c r="H1917" s="569">
        <v>1</v>
      </c>
      <c r="I1917" s="569" t="s">
        <v>871</v>
      </c>
      <c r="J1917" s="531">
        <v>39600000</v>
      </c>
    </row>
    <row r="1918" spans="1:10" ht="33.75">
      <c r="A1918" s="27" t="s">
        <v>867</v>
      </c>
      <c r="B1918" s="300" t="s">
        <v>323</v>
      </c>
      <c r="C1918" s="569" t="s">
        <v>933</v>
      </c>
      <c r="D1918" s="569">
        <v>3.48</v>
      </c>
      <c r="E1918" s="569">
        <v>5.5</v>
      </c>
      <c r="F1918" s="569" t="s">
        <v>870</v>
      </c>
      <c r="G1918" s="73">
        <v>12200000</v>
      </c>
      <c r="H1918" s="569">
        <v>1</v>
      </c>
      <c r="I1918" s="569" t="s">
        <v>871</v>
      </c>
      <c r="J1918" s="531">
        <v>31581000</v>
      </c>
    </row>
    <row r="1919" spans="1:10" ht="22.5">
      <c r="A1919" s="22" t="s">
        <v>867</v>
      </c>
      <c r="B1919" s="26">
        <v>0</v>
      </c>
      <c r="C1919" s="569" t="s">
        <v>24009</v>
      </c>
      <c r="D1919" s="569">
        <v>11.515000000000001</v>
      </c>
      <c r="E1919" s="569">
        <v>7</v>
      </c>
      <c r="F1919" s="569" t="s">
        <v>391</v>
      </c>
      <c r="G1919" s="73">
        <v>12000000</v>
      </c>
      <c r="H1919" s="569">
        <v>0</v>
      </c>
      <c r="I1919" s="569" t="s">
        <v>23629</v>
      </c>
      <c r="J1919" s="531">
        <v>0</v>
      </c>
    </row>
    <row r="1920" spans="1:10">
      <c r="A1920" s="22" t="s">
        <v>867</v>
      </c>
      <c r="B1920" s="26">
        <v>0</v>
      </c>
      <c r="C1920" s="569" t="s">
        <v>24010</v>
      </c>
      <c r="D1920" s="569">
        <v>12.67</v>
      </c>
      <c r="E1920" s="569">
        <v>0</v>
      </c>
      <c r="F1920" s="569" t="s">
        <v>23929</v>
      </c>
      <c r="G1920" s="73">
        <v>0</v>
      </c>
      <c r="H1920" s="569">
        <v>0</v>
      </c>
      <c r="I1920" s="569" t="s">
        <v>23930</v>
      </c>
      <c r="J1920" s="531">
        <v>0</v>
      </c>
    </row>
    <row r="1921" spans="1:10">
      <c r="A1921" s="22" t="s">
        <v>867</v>
      </c>
      <c r="B1921" s="26">
        <v>0</v>
      </c>
      <c r="C1921" s="569" t="s">
        <v>24011</v>
      </c>
      <c r="D1921" s="569">
        <v>12.455</v>
      </c>
      <c r="E1921" s="569">
        <v>0</v>
      </c>
      <c r="F1921" s="569" t="s">
        <v>23929</v>
      </c>
      <c r="G1921" s="73">
        <v>0</v>
      </c>
      <c r="H1921" s="569">
        <v>0</v>
      </c>
      <c r="I1921" s="569" t="s">
        <v>23930</v>
      </c>
      <c r="J1921" s="531">
        <v>0</v>
      </c>
    </row>
    <row r="1922" spans="1:10">
      <c r="A1922" s="22" t="s">
        <v>867</v>
      </c>
      <c r="B1922" s="26">
        <v>0</v>
      </c>
      <c r="C1922" s="569" t="s">
        <v>24012</v>
      </c>
      <c r="D1922" s="569">
        <v>4.7050000000000001</v>
      </c>
      <c r="E1922" s="569">
        <v>0</v>
      </c>
      <c r="F1922" s="569" t="s">
        <v>23929</v>
      </c>
      <c r="G1922" s="73">
        <v>0</v>
      </c>
      <c r="H1922" s="569">
        <v>0</v>
      </c>
      <c r="I1922" s="569" t="s">
        <v>23930</v>
      </c>
      <c r="J1922" s="531">
        <v>0</v>
      </c>
    </row>
    <row r="1923" spans="1:10">
      <c r="A1923" s="22" t="s">
        <v>867</v>
      </c>
      <c r="B1923" s="26">
        <v>0</v>
      </c>
      <c r="C1923" s="569" t="s">
        <v>24013</v>
      </c>
      <c r="D1923" s="569">
        <v>18.68</v>
      </c>
      <c r="E1923" s="569">
        <v>0</v>
      </c>
      <c r="F1923" s="569" t="s">
        <v>23929</v>
      </c>
      <c r="G1923" s="73">
        <v>0</v>
      </c>
      <c r="H1923" s="569">
        <v>0</v>
      </c>
      <c r="I1923" s="569" t="s">
        <v>23930</v>
      </c>
      <c r="J1923" s="531">
        <v>0</v>
      </c>
    </row>
    <row r="1924" spans="1:10" ht="22.5">
      <c r="A1924" s="22" t="s">
        <v>867</v>
      </c>
      <c r="B1924" s="26">
        <v>0</v>
      </c>
      <c r="C1924" s="569" t="s">
        <v>24014</v>
      </c>
      <c r="D1924" s="569">
        <v>12.5</v>
      </c>
      <c r="E1924" s="569">
        <v>0</v>
      </c>
      <c r="F1924" s="569">
        <v>0</v>
      </c>
      <c r="G1924" s="73">
        <v>160000000</v>
      </c>
      <c r="H1924" s="569">
        <v>0</v>
      </c>
      <c r="I1924" s="569" t="s">
        <v>23935</v>
      </c>
      <c r="J1924" s="531">
        <v>0</v>
      </c>
    </row>
    <row r="1925" spans="1:10" ht="33.75">
      <c r="A1925" s="22" t="s">
        <v>867</v>
      </c>
      <c r="B1925" s="26">
        <v>0</v>
      </c>
      <c r="C1925" s="569" t="s">
        <v>24015</v>
      </c>
      <c r="D1925" s="569">
        <v>4.26</v>
      </c>
      <c r="E1925" s="569">
        <v>0</v>
      </c>
      <c r="F1925" s="569">
        <v>0</v>
      </c>
      <c r="G1925" s="73">
        <v>160000000</v>
      </c>
      <c r="H1925" s="569">
        <v>0</v>
      </c>
      <c r="I1925" s="569" t="s">
        <v>23933</v>
      </c>
      <c r="J1925" s="531">
        <v>0</v>
      </c>
    </row>
    <row r="1926" spans="1:10" ht="33.75">
      <c r="A1926" s="22" t="s">
        <v>867</v>
      </c>
      <c r="B1926" s="26">
        <v>0</v>
      </c>
      <c r="C1926" s="569" t="s">
        <v>24016</v>
      </c>
      <c r="D1926" s="569">
        <v>7.77</v>
      </c>
      <c r="E1926" s="569">
        <v>0</v>
      </c>
      <c r="F1926" s="569">
        <v>0</v>
      </c>
      <c r="G1926" s="73">
        <v>60000000</v>
      </c>
      <c r="H1926" s="569">
        <v>0</v>
      </c>
      <c r="I1926" s="569" t="s">
        <v>23933</v>
      </c>
      <c r="J1926" s="531">
        <v>0</v>
      </c>
    </row>
    <row r="1927" spans="1:10" ht="33.75">
      <c r="A1927" s="22" t="s">
        <v>867</v>
      </c>
      <c r="B1927" s="26">
        <v>0</v>
      </c>
      <c r="C1927" s="569" t="s">
        <v>24017</v>
      </c>
      <c r="D1927" s="569">
        <v>2.25</v>
      </c>
      <c r="E1927" s="569">
        <v>0</v>
      </c>
      <c r="F1927" s="569">
        <v>0</v>
      </c>
      <c r="G1927" s="73">
        <v>30000000</v>
      </c>
      <c r="H1927" s="569">
        <v>0</v>
      </c>
      <c r="I1927" s="569" t="s">
        <v>23933</v>
      </c>
      <c r="J1927" s="531">
        <v>0</v>
      </c>
    </row>
    <row r="1928" spans="1:10" ht="33.75">
      <c r="A1928" s="22" t="s">
        <v>867</v>
      </c>
      <c r="B1928" s="26">
        <v>0</v>
      </c>
      <c r="C1928" s="569" t="s">
        <v>24018</v>
      </c>
      <c r="D1928" s="569">
        <v>10.664999999999999</v>
      </c>
      <c r="E1928" s="569">
        <v>0</v>
      </c>
      <c r="F1928" s="569">
        <v>0</v>
      </c>
      <c r="G1928" s="73">
        <v>70000000</v>
      </c>
      <c r="H1928" s="569">
        <v>0</v>
      </c>
      <c r="I1928" s="569" t="s">
        <v>23933</v>
      </c>
      <c r="J1928" s="531">
        <v>0</v>
      </c>
    </row>
    <row r="1929" spans="1:10" ht="33.75">
      <c r="A1929" s="22" t="s">
        <v>867</v>
      </c>
      <c r="B1929" s="26">
        <v>0</v>
      </c>
      <c r="C1929" s="569" t="s">
        <v>24014</v>
      </c>
      <c r="D1929" s="569">
        <v>12.5</v>
      </c>
      <c r="E1929" s="569">
        <v>0</v>
      </c>
      <c r="F1929" s="569">
        <v>0</v>
      </c>
      <c r="G1929" s="73">
        <v>160000000</v>
      </c>
      <c r="H1929" s="569">
        <v>0</v>
      </c>
      <c r="I1929" s="569" t="s">
        <v>23933</v>
      </c>
      <c r="J1929" s="531">
        <v>0</v>
      </c>
    </row>
    <row r="1930" spans="1:10">
      <c r="A1930" s="22" t="s">
        <v>878</v>
      </c>
      <c r="B1930" s="26">
        <v>0</v>
      </c>
      <c r="C1930" s="569" t="s">
        <v>24019</v>
      </c>
      <c r="D1930" s="569">
        <v>10.62</v>
      </c>
      <c r="E1930" s="569">
        <v>0</v>
      </c>
      <c r="F1930" s="569">
        <v>0</v>
      </c>
      <c r="G1930" s="73">
        <v>80000000</v>
      </c>
      <c r="H1930" s="569">
        <v>0</v>
      </c>
      <c r="I1930" s="569" t="s">
        <v>24020</v>
      </c>
      <c r="J1930" s="531">
        <v>0</v>
      </c>
    </row>
    <row r="1931" spans="1:10">
      <c r="A1931" s="22">
        <v>0</v>
      </c>
      <c r="B1931" s="26">
        <v>0</v>
      </c>
      <c r="C1931" s="569" t="s">
        <v>24021</v>
      </c>
      <c r="D1931" s="569">
        <v>16.855</v>
      </c>
      <c r="E1931" s="569">
        <v>0</v>
      </c>
      <c r="F1931" s="569">
        <v>0</v>
      </c>
      <c r="G1931" s="73">
        <v>80000000</v>
      </c>
      <c r="H1931" s="569">
        <v>0</v>
      </c>
      <c r="I1931" s="569" t="s">
        <v>24020</v>
      </c>
      <c r="J1931" s="531">
        <v>0</v>
      </c>
    </row>
    <row r="1932" spans="1:10" ht="45">
      <c r="A1932" s="634" t="s">
        <v>3666</v>
      </c>
      <c r="B1932" s="375" t="s">
        <v>25176</v>
      </c>
      <c r="C1932" s="375" t="s">
        <v>25177</v>
      </c>
      <c r="D1932" s="375">
        <v>3</v>
      </c>
      <c r="E1932" s="375">
        <v>6</v>
      </c>
      <c r="F1932" s="375" t="s">
        <v>25178</v>
      </c>
      <c r="G1932" s="553" t="s">
        <v>25179</v>
      </c>
      <c r="H1932" s="375">
        <v>1</v>
      </c>
      <c r="I1932" s="375" t="s">
        <v>25180</v>
      </c>
      <c r="J1932" s="508"/>
    </row>
    <row r="1933" spans="1:10" ht="15.75">
      <c r="A1933" s="1013" t="s">
        <v>189</v>
      </c>
      <c r="B1933" s="1014"/>
      <c r="C1933" s="1014"/>
      <c r="D1933" s="1014"/>
      <c r="E1933" s="1014"/>
      <c r="F1933" s="1014"/>
      <c r="G1933" s="550">
        <f>SUM(G1886:G1932)</f>
        <v>1375625000</v>
      </c>
      <c r="H1933" s="564"/>
      <c r="I1933" s="564"/>
      <c r="J1933" s="626">
        <f>SUM(J1886:J1932)</f>
        <v>1488786750</v>
      </c>
    </row>
    <row r="1934" spans="1:10" ht="15.75">
      <c r="A1934" s="1013" t="s">
        <v>1261</v>
      </c>
      <c r="B1934" s="1014"/>
      <c r="C1934" s="1014"/>
      <c r="D1934" s="1014"/>
      <c r="E1934" s="1014"/>
      <c r="F1934" s="1014"/>
      <c r="G1934" s="1014"/>
      <c r="H1934" s="1014"/>
      <c r="I1934" s="1014"/>
      <c r="J1934" s="1015"/>
    </row>
    <row r="1935" spans="1:10" ht="114.75">
      <c r="A1935" s="27" t="s">
        <v>1262</v>
      </c>
      <c r="B1935" s="300" t="s">
        <v>972</v>
      </c>
      <c r="C1935" s="45" t="s">
        <v>973</v>
      </c>
      <c r="D1935" s="569">
        <v>7</v>
      </c>
      <c r="E1935" s="569">
        <v>14</v>
      </c>
      <c r="F1935" s="569" t="s">
        <v>974</v>
      </c>
      <c r="G1935" s="73">
        <f>D1935*1000000+(D1935*E1935*0.15*9000*1000)</f>
        <v>139300000</v>
      </c>
      <c r="H1935" s="569">
        <v>3</v>
      </c>
      <c r="I1935" s="569" t="s">
        <v>975</v>
      </c>
      <c r="J1935" s="531">
        <f>G1935</f>
        <v>139300000</v>
      </c>
    </row>
    <row r="1936" spans="1:10" ht="25.5">
      <c r="A1936" s="27" t="s">
        <v>1262</v>
      </c>
      <c r="B1936" s="300" t="s">
        <v>976</v>
      </c>
      <c r="C1936" s="45" t="s">
        <v>977</v>
      </c>
      <c r="D1936" s="569">
        <v>11.2</v>
      </c>
      <c r="E1936" s="569">
        <v>5</v>
      </c>
      <c r="F1936" s="569" t="s">
        <v>978</v>
      </c>
      <c r="G1936" s="73">
        <v>2000000</v>
      </c>
      <c r="H1936" s="569">
        <v>2</v>
      </c>
      <c r="I1936" s="569" t="s">
        <v>979</v>
      </c>
      <c r="J1936" s="531">
        <f t="shared" ref="J1936:J1969" si="9">G1936</f>
        <v>2000000</v>
      </c>
    </row>
    <row r="1937" spans="1:10" ht="33.75">
      <c r="A1937" s="27" t="s">
        <v>1262</v>
      </c>
      <c r="B1937" s="300" t="s">
        <v>980</v>
      </c>
      <c r="C1937" s="45" t="s">
        <v>981</v>
      </c>
      <c r="D1937" s="569">
        <v>1.1000000000000001</v>
      </c>
      <c r="E1937" s="569">
        <v>3</v>
      </c>
      <c r="F1937" s="569" t="s">
        <v>974</v>
      </c>
      <c r="G1937" s="73">
        <f>D1937*1000000+(D1937*E1937*0.15*9000*1000)+7000000</f>
        <v>12555000</v>
      </c>
      <c r="H1937" s="569">
        <v>2</v>
      </c>
      <c r="I1937" s="569" t="s">
        <v>982</v>
      </c>
      <c r="J1937" s="531">
        <f t="shared" si="9"/>
        <v>12555000</v>
      </c>
    </row>
    <row r="1938" spans="1:10" ht="22.5">
      <c r="A1938" s="27" t="s">
        <v>1262</v>
      </c>
      <c r="B1938" s="300" t="s">
        <v>938</v>
      </c>
      <c r="C1938" s="45" t="s">
        <v>983</v>
      </c>
      <c r="D1938" s="569">
        <v>0.2</v>
      </c>
      <c r="E1938" s="569">
        <v>4</v>
      </c>
      <c r="F1938" s="569" t="s">
        <v>974</v>
      </c>
      <c r="G1938" s="73">
        <f t="shared" ref="G1938:G2001" si="10">D1938*1000000+(D1938*E1938*0.15*9000*1000)</f>
        <v>1280000</v>
      </c>
      <c r="H1938" s="569">
        <v>1</v>
      </c>
      <c r="I1938" s="569" t="s">
        <v>984</v>
      </c>
      <c r="J1938" s="531">
        <f t="shared" si="9"/>
        <v>1280000</v>
      </c>
    </row>
    <row r="1939" spans="1:10" ht="45">
      <c r="A1939" s="27" t="s">
        <v>1262</v>
      </c>
      <c r="B1939" s="300" t="s">
        <v>985</v>
      </c>
      <c r="C1939" s="45" t="s">
        <v>986</v>
      </c>
      <c r="D1939" s="569">
        <v>2.1</v>
      </c>
      <c r="E1939" s="569">
        <v>4</v>
      </c>
      <c r="F1939" s="569" t="s">
        <v>974</v>
      </c>
      <c r="G1939" s="73">
        <f>D1939*1000000+(D1939*E1939*0.15*9000*1000)+5000000</f>
        <v>18440000</v>
      </c>
      <c r="H1939" s="569">
        <v>1</v>
      </c>
      <c r="I1939" s="569" t="s">
        <v>987</v>
      </c>
      <c r="J1939" s="531">
        <f t="shared" si="9"/>
        <v>18440000</v>
      </c>
    </row>
    <row r="1940" spans="1:10" ht="22.5">
      <c r="A1940" s="27" t="s">
        <v>1262</v>
      </c>
      <c r="B1940" s="300" t="s">
        <v>988</v>
      </c>
      <c r="C1940" s="45" t="s">
        <v>989</v>
      </c>
      <c r="D1940" s="569">
        <v>2.9</v>
      </c>
      <c r="E1940" s="569">
        <v>4</v>
      </c>
      <c r="F1940" s="569" t="s">
        <v>974</v>
      </c>
      <c r="G1940" s="73">
        <f t="shared" si="10"/>
        <v>18560000</v>
      </c>
      <c r="H1940" s="569">
        <v>1</v>
      </c>
      <c r="I1940" s="569" t="s">
        <v>990</v>
      </c>
      <c r="J1940" s="531">
        <f t="shared" si="9"/>
        <v>18560000</v>
      </c>
    </row>
    <row r="1941" spans="1:10" ht="22.5">
      <c r="A1941" s="27" t="s">
        <v>1262</v>
      </c>
      <c r="B1941" s="300" t="s">
        <v>991</v>
      </c>
      <c r="C1941" s="45" t="s">
        <v>992</v>
      </c>
      <c r="D1941" s="569">
        <v>2.1</v>
      </c>
      <c r="E1941" s="569">
        <v>4</v>
      </c>
      <c r="F1941" s="569" t="s">
        <v>974</v>
      </c>
      <c r="G1941" s="73">
        <f t="shared" si="10"/>
        <v>13440000</v>
      </c>
      <c r="H1941" s="569">
        <v>2</v>
      </c>
      <c r="I1941" s="569" t="s">
        <v>990</v>
      </c>
      <c r="J1941" s="531">
        <f t="shared" si="9"/>
        <v>13440000</v>
      </c>
    </row>
    <row r="1942" spans="1:10" ht="22.5">
      <c r="A1942" s="27" t="s">
        <v>1262</v>
      </c>
      <c r="B1942" s="300" t="s">
        <v>993</v>
      </c>
      <c r="C1942" s="45" t="s">
        <v>994</v>
      </c>
      <c r="D1942" s="569">
        <v>2.5</v>
      </c>
      <c r="E1942" s="569">
        <v>5.5</v>
      </c>
      <c r="F1942" s="569" t="s">
        <v>974</v>
      </c>
      <c r="G1942" s="73">
        <f t="shared" si="10"/>
        <v>21062500</v>
      </c>
      <c r="H1942" s="569">
        <v>2</v>
      </c>
      <c r="I1942" s="569" t="s">
        <v>990</v>
      </c>
      <c r="J1942" s="531">
        <f t="shared" si="9"/>
        <v>21062500</v>
      </c>
    </row>
    <row r="1943" spans="1:10" ht="33.75">
      <c r="A1943" s="27" t="s">
        <v>1262</v>
      </c>
      <c r="B1943" s="300" t="s">
        <v>995</v>
      </c>
      <c r="C1943" s="45" t="s">
        <v>996</v>
      </c>
      <c r="D1943" s="569">
        <v>12</v>
      </c>
      <c r="E1943" s="569">
        <v>6</v>
      </c>
      <c r="F1943" s="569" t="s">
        <v>974</v>
      </c>
      <c r="G1943" s="73">
        <f t="shared" si="10"/>
        <v>109199999.99999999</v>
      </c>
      <c r="H1943" s="569">
        <v>2</v>
      </c>
      <c r="I1943" s="569" t="s">
        <v>997</v>
      </c>
      <c r="J1943" s="531">
        <f t="shared" si="9"/>
        <v>109199999.99999999</v>
      </c>
    </row>
    <row r="1944" spans="1:10" ht="22.5">
      <c r="A1944" s="27" t="s">
        <v>1262</v>
      </c>
      <c r="B1944" s="300" t="s">
        <v>998</v>
      </c>
      <c r="C1944" s="45" t="s">
        <v>999</v>
      </c>
      <c r="D1944" s="569">
        <v>3.2</v>
      </c>
      <c r="E1944" s="569">
        <v>4</v>
      </c>
      <c r="F1944" s="569" t="s">
        <v>974</v>
      </c>
      <c r="G1944" s="73">
        <f t="shared" si="10"/>
        <v>20480000</v>
      </c>
      <c r="H1944" s="569">
        <v>2</v>
      </c>
      <c r="I1944" s="569" t="s">
        <v>990</v>
      </c>
      <c r="J1944" s="531">
        <f t="shared" si="9"/>
        <v>20480000</v>
      </c>
    </row>
    <row r="1945" spans="1:10" ht="45">
      <c r="A1945" s="27" t="s">
        <v>1262</v>
      </c>
      <c r="B1945" s="300" t="s">
        <v>1000</v>
      </c>
      <c r="C1945" s="45" t="s">
        <v>1001</v>
      </c>
      <c r="D1945" s="569">
        <v>9.8000000000000007</v>
      </c>
      <c r="E1945" s="569">
        <v>4.5</v>
      </c>
      <c r="F1945" s="569" t="s">
        <v>1002</v>
      </c>
      <c r="G1945" s="73">
        <f t="shared" si="10"/>
        <v>69335000</v>
      </c>
      <c r="H1945" s="569">
        <v>2</v>
      </c>
      <c r="I1945" s="569" t="s">
        <v>1003</v>
      </c>
      <c r="J1945" s="531">
        <f t="shared" si="9"/>
        <v>69335000</v>
      </c>
    </row>
    <row r="1946" spans="1:10" ht="22.5">
      <c r="A1946" s="27" t="s">
        <v>1262</v>
      </c>
      <c r="B1946" s="300" t="s">
        <v>1004</v>
      </c>
      <c r="C1946" s="45" t="s">
        <v>1005</v>
      </c>
      <c r="D1946" s="569">
        <v>1.6</v>
      </c>
      <c r="E1946" s="569">
        <v>5.5</v>
      </c>
      <c r="F1946" s="569" t="s">
        <v>974</v>
      </c>
      <c r="G1946" s="73">
        <f t="shared" si="10"/>
        <v>13480000</v>
      </c>
      <c r="H1946" s="569">
        <v>3</v>
      </c>
      <c r="I1946" s="569" t="s">
        <v>990</v>
      </c>
      <c r="J1946" s="531">
        <f t="shared" si="9"/>
        <v>13480000</v>
      </c>
    </row>
    <row r="1947" spans="1:10" ht="56.25">
      <c r="A1947" s="27" t="s">
        <v>1262</v>
      </c>
      <c r="B1947" s="300" t="s">
        <v>1006</v>
      </c>
      <c r="C1947" s="45" t="s">
        <v>1007</v>
      </c>
      <c r="D1947" s="569">
        <v>14.2</v>
      </c>
      <c r="E1947" s="569">
        <v>6</v>
      </c>
      <c r="F1947" s="569" t="s">
        <v>974</v>
      </c>
      <c r="G1947" s="73">
        <f>D1947*1000000+(D1947*E1947*0.15*9000*1000)+12000000</f>
        <v>141220000</v>
      </c>
      <c r="H1947" s="569">
        <v>2</v>
      </c>
      <c r="I1947" s="569" t="s">
        <v>1008</v>
      </c>
      <c r="J1947" s="531">
        <f t="shared" si="9"/>
        <v>141220000</v>
      </c>
    </row>
    <row r="1948" spans="1:10" ht="56.25">
      <c r="A1948" s="27" t="s">
        <v>1262</v>
      </c>
      <c r="B1948" s="300" t="s">
        <v>1009</v>
      </c>
      <c r="C1948" s="45" t="s">
        <v>1010</v>
      </c>
      <c r="D1948" s="569">
        <v>8.1999999999999993</v>
      </c>
      <c r="E1948" s="569">
        <v>5.5</v>
      </c>
      <c r="F1948" s="569" t="s">
        <v>974</v>
      </c>
      <c r="G1948" s="73">
        <f>D1948*1000000+(D1948*E1948*0.15*9000*1000)+3000000</f>
        <v>72084999.999999985</v>
      </c>
      <c r="H1948" s="569">
        <v>1</v>
      </c>
      <c r="I1948" s="569" t="s">
        <v>1011</v>
      </c>
      <c r="J1948" s="531">
        <f t="shared" si="9"/>
        <v>72084999.999999985</v>
      </c>
    </row>
    <row r="1949" spans="1:10" ht="45">
      <c r="A1949" s="27" t="s">
        <v>1262</v>
      </c>
      <c r="B1949" s="300" t="s">
        <v>1012</v>
      </c>
      <c r="C1949" s="45" t="s">
        <v>1013</v>
      </c>
      <c r="D1949" s="569">
        <v>13.2</v>
      </c>
      <c r="E1949" s="569">
        <v>5</v>
      </c>
      <c r="F1949" s="569" t="s">
        <v>974</v>
      </c>
      <c r="G1949" s="73">
        <f t="shared" si="10"/>
        <v>102300000</v>
      </c>
      <c r="H1949" s="569">
        <v>1</v>
      </c>
      <c r="I1949" s="569" t="s">
        <v>1014</v>
      </c>
      <c r="J1949" s="531">
        <f t="shared" si="9"/>
        <v>102300000</v>
      </c>
    </row>
    <row r="1950" spans="1:10" ht="33.75">
      <c r="A1950" s="27" t="s">
        <v>1262</v>
      </c>
      <c r="B1950" s="300" t="s">
        <v>1015</v>
      </c>
      <c r="C1950" s="45" t="s">
        <v>1016</v>
      </c>
      <c r="D1950" s="569">
        <v>3</v>
      </c>
      <c r="E1950" s="569">
        <v>5.5</v>
      </c>
      <c r="F1950" s="569" t="s">
        <v>1017</v>
      </c>
      <c r="G1950" s="73">
        <f t="shared" si="10"/>
        <v>25275000</v>
      </c>
      <c r="H1950" s="569">
        <v>1</v>
      </c>
      <c r="I1950" s="569" t="s">
        <v>997</v>
      </c>
      <c r="J1950" s="531">
        <f t="shared" si="9"/>
        <v>25275000</v>
      </c>
    </row>
    <row r="1951" spans="1:10" ht="22.5">
      <c r="A1951" s="27" t="s">
        <v>1043</v>
      </c>
      <c r="B1951" s="300" t="s">
        <v>1019</v>
      </c>
      <c r="C1951" s="45" t="s">
        <v>1020</v>
      </c>
      <c r="D1951" s="569">
        <v>3.6</v>
      </c>
      <c r="E1951" s="569">
        <v>2</v>
      </c>
      <c r="F1951" s="569" t="s">
        <v>1021</v>
      </c>
      <c r="G1951" s="73">
        <f t="shared" si="10"/>
        <v>13320000</v>
      </c>
      <c r="H1951" s="569">
        <v>1</v>
      </c>
      <c r="I1951" s="569" t="s">
        <v>1022</v>
      </c>
      <c r="J1951" s="531">
        <f t="shared" si="9"/>
        <v>13320000</v>
      </c>
    </row>
    <row r="1952" spans="1:10" ht="56.25">
      <c r="A1952" s="27" t="s">
        <v>1262</v>
      </c>
      <c r="B1952" s="300" t="s">
        <v>1023</v>
      </c>
      <c r="C1952" s="45" t="s">
        <v>1024</v>
      </c>
      <c r="D1952" s="569">
        <v>3.3</v>
      </c>
      <c r="E1952" s="569">
        <v>5</v>
      </c>
      <c r="F1952" s="569" t="s">
        <v>1025</v>
      </c>
      <c r="G1952" s="73">
        <f>D1952*1000000+(D1952*E1952*0.15*9000*1000)+20000000</f>
        <v>45575000</v>
      </c>
      <c r="H1952" s="569">
        <v>1</v>
      </c>
      <c r="I1952" s="569" t="s">
        <v>1026</v>
      </c>
      <c r="J1952" s="531">
        <f t="shared" si="9"/>
        <v>45575000</v>
      </c>
    </row>
    <row r="1953" spans="1:10" ht="45">
      <c r="A1953" s="27" t="s">
        <v>1262</v>
      </c>
      <c r="B1953" s="300" t="s">
        <v>1027</v>
      </c>
      <c r="C1953" s="45" t="s">
        <v>1024</v>
      </c>
      <c r="D1953" s="569">
        <v>3.3</v>
      </c>
      <c r="E1953" s="569">
        <v>5</v>
      </c>
      <c r="F1953" s="569" t="s">
        <v>1028</v>
      </c>
      <c r="G1953" s="73">
        <f t="shared" si="10"/>
        <v>25575000</v>
      </c>
      <c r="H1953" s="569">
        <v>1</v>
      </c>
      <c r="I1953" s="569" t="s">
        <v>1029</v>
      </c>
      <c r="J1953" s="531">
        <f t="shared" si="9"/>
        <v>25575000</v>
      </c>
    </row>
    <row r="1954" spans="1:10" ht="67.5">
      <c r="A1954" s="27" t="s">
        <v>1262</v>
      </c>
      <c r="B1954" s="300" t="s">
        <v>1030</v>
      </c>
      <c r="C1954" s="45" t="s">
        <v>1031</v>
      </c>
      <c r="D1954" s="569">
        <v>10</v>
      </c>
      <c r="E1954" s="569">
        <v>4</v>
      </c>
      <c r="F1954" s="569" t="s">
        <v>1032</v>
      </c>
      <c r="G1954" s="73">
        <f t="shared" si="10"/>
        <v>64000000</v>
      </c>
      <c r="H1954" s="569">
        <v>2</v>
      </c>
      <c r="I1954" s="569" t="s">
        <v>1033</v>
      </c>
      <c r="J1954" s="531">
        <f t="shared" si="9"/>
        <v>64000000</v>
      </c>
    </row>
    <row r="1955" spans="1:10" ht="45">
      <c r="A1955" s="27" t="s">
        <v>1262</v>
      </c>
      <c r="B1955" s="300" t="s">
        <v>1034</v>
      </c>
      <c r="C1955" s="45" t="s">
        <v>981</v>
      </c>
      <c r="D1955" s="569">
        <v>1.1000000000000001</v>
      </c>
      <c r="E1955" s="569">
        <v>3</v>
      </c>
      <c r="F1955" s="599" t="s">
        <v>974</v>
      </c>
      <c r="G1955" s="73">
        <f>D1955*1000000+(D1955*E1955*0.15*9000*1000)</f>
        <v>5555000</v>
      </c>
      <c r="H1955" s="569">
        <v>2</v>
      </c>
      <c r="I1955" s="569" t="s">
        <v>1035</v>
      </c>
      <c r="J1955" s="531">
        <f t="shared" si="9"/>
        <v>5555000</v>
      </c>
    </row>
    <row r="1956" spans="1:10" ht="45">
      <c r="A1956" s="27" t="s">
        <v>1263</v>
      </c>
      <c r="B1956" s="300" t="s">
        <v>1036</v>
      </c>
      <c r="C1956" s="46" t="s">
        <v>1037</v>
      </c>
      <c r="D1956" s="569">
        <v>0.6</v>
      </c>
      <c r="E1956" s="569">
        <v>4</v>
      </c>
      <c r="F1956" s="599" t="s">
        <v>974</v>
      </c>
      <c r="G1956" s="73">
        <f t="shared" si="10"/>
        <v>3840000</v>
      </c>
      <c r="H1956" s="569">
        <v>2</v>
      </c>
      <c r="I1956" s="569" t="str">
        <f>I1955</f>
        <v xml:space="preserve">Bacheo mecanizado, conformación de calzada, conformación de cunetas y lastreado total de la vía.
</v>
      </c>
      <c r="J1956" s="531">
        <f t="shared" si="9"/>
        <v>3840000</v>
      </c>
    </row>
    <row r="1957" spans="1:10" ht="67.5">
      <c r="A1957" s="27" t="s">
        <v>1262</v>
      </c>
      <c r="B1957" s="300" t="s">
        <v>1038</v>
      </c>
      <c r="C1957" s="46" t="s">
        <v>1001</v>
      </c>
      <c r="D1957" s="569">
        <v>9.8000000000000007</v>
      </c>
      <c r="E1957" s="569">
        <v>4.5</v>
      </c>
      <c r="F1957" s="569" t="s">
        <v>1039</v>
      </c>
      <c r="G1957" s="73">
        <f t="shared" si="10"/>
        <v>69335000</v>
      </c>
      <c r="H1957" s="569">
        <v>1</v>
      </c>
      <c r="I1957" s="569" t="s">
        <v>1040</v>
      </c>
      <c r="J1957" s="531">
        <f t="shared" si="9"/>
        <v>69335000</v>
      </c>
    </row>
    <row r="1958" spans="1:10" ht="56.25">
      <c r="A1958" s="27" t="s">
        <v>1043</v>
      </c>
      <c r="B1958" s="300" t="s">
        <v>1041</v>
      </c>
      <c r="C1958" s="45" t="s">
        <v>1042</v>
      </c>
      <c r="D1958" s="569">
        <v>1.5</v>
      </c>
      <c r="E1958" s="569">
        <v>10</v>
      </c>
      <c r="F1958" s="569" t="s">
        <v>974</v>
      </c>
      <c r="G1958" s="73">
        <f t="shared" si="10"/>
        <v>21750000</v>
      </c>
      <c r="H1958" s="569">
        <v>1</v>
      </c>
      <c r="I1958" s="569" t="s">
        <v>1011</v>
      </c>
      <c r="J1958" s="531">
        <f t="shared" si="9"/>
        <v>21750000</v>
      </c>
    </row>
    <row r="1959" spans="1:10" ht="45">
      <c r="A1959" s="27" t="s">
        <v>1043</v>
      </c>
      <c r="B1959" s="300" t="s">
        <v>1043</v>
      </c>
      <c r="C1959" s="45" t="s">
        <v>1044</v>
      </c>
      <c r="D1959" s="569">
        <v>0.8</v>
      </c>
      <c r="E1959" s="569">
        <v>10</v>
      </c>
      <c r="F1959" s="569" t="s">
        <v>974</v>
      </c>
      <c r="G1959" s="73">
        <f t="shared" si="10"/>
        <v>11600000</v>
      </c>
      <c r="H1959" s="569">
        <v>1</v>
      </c>
      <c r="I1959" s="569" t="s">
        <v>1045</v>
      </c>
      <c r="J1959" s="531">
        <f t="shared" si="9"/>
        <v>11600000</v>
      </c>
    </row>
    <row r="1960" spans="1:10" ht="45">
      <c r="A1960" s="27" t="s">
        <v>1055</v>
      </c>
      <c r="B1960" s="300" t="s">
        <v>142</v>
      </c>
      <c r="C1960" s="45" t="s">
        <v>1047</v>
      </c>
      <c r="D1960" s="569">
        <v>2.4</v>
      </c>
      <c r="E1960" s="569">
        <v>4</v>
      </c>
      <c r="F1960" s="569" t="s">
        <v>974</v>
      </c>
      <c r="G1960" s="73">
        <f t="shared" si="10"/>
        <v>15360000</v>
      </c>
      <c r="H1960" s="569">
        <v>2</v>
      </c>
      <c r="I1960" s="569" t="s">
        <v>1014</v>
      </c>
      <c r="J1960" s="531">
        <f t="shared" si="9"/>
        <v>15360000</v>
      </c>
    </row>
    <row r="1961" spans="1:10" ht="45">
      <c r="A1961" s="27" t="s">
        <v>1055</v>
      </c>
      <c r="B1961" s="300" t="s">
        <v>1048</v>
      </c>
      <c r="C1961" s="45" t="s">
        <v>1049</v>
      </c>
      <c r="D1961" s="569">
        <v>0.7</v>
      </c>
      <c r="E1961" s="569">
        <v>4</v>
      </c>
      <c r="F1961" s="569" t="s">
        <v>974</v>
      </c>
      <c r="G1961" s="73">
        <f t="shared" si="10"/>
        <v>4480000</v>
      </c>
      <c r="H1961" s="569">
        <v>1</v>
      </c>
      <c r="I1961" s="569" t="s">
        <v>1014</v>
      </c>
      <c r="J1961" s="531">
        <f t="shared" si="9"/>
        <v>4480000</v>
      </c>
    </row>
    <row r="1962" spans="1:10" ht="33.75">
      <c r="A1962" s="27" t="s">
        <v>1055</v>
      </c>
      <c r="B1962" s="300" t="s">
        <v>1050</v>
      </c>
      <c r="C1962" s="45" t="s">
        <v>1051</v>
      </c>
      <c r="D1962" s="569">
        <v>7.6</v>
      </c>
      <c r="E1962" s="569">
        <v>3.5</v>
      </c>
      <c r="F1962" s="569" t="s">
        <v>974</v>
      </c>
      <c r="G1962" s="73">
        <f t="shared" si="10"/>
        <v>43509999.999999993</v>
      </c>
      <c r="H1962" s="569">
        <v>2</v>
      </c>
      <c r="I1962" s="569" t="s">
        <v>1052</v>
      </c>
      <c r="J1962" s="531">
        <f t="shared" si="9"/>
        <v>43509999.999999993</v>
      </c>
    </row>
    <row r="1963" spans="1:10" ht="33.75">
      <c r="A1963" s="27" t="s">
        <v>1055</v>
      </c>
      <c r="B1963" s="300" t="s">
        <v>1053</v>
      </c>
      <c r="C1963" s="45" t="s">
        <v>1054</v>
      </c>
      <c r="D1963" s="569">
        <v>1</v>
      </c>
      <c r="E1963" s="569">
        <v>5.5</v>
      </c>
      <c r="F1963" s="569" t="s">
        <v>974</v>
      </c>
      <c r="G1963" s="73">
        <f t="shared" si="10"/>
        <v>8425000</v>
      </c>
      <c r="H1963" s="569">
        <v>1</v>
      </c>
      <c r="I1963" s="569" t="s">
        <v>1052</v>
      </c>
      <c r="J1963" s="531">
        <f t="shared" si="9"/>
        <v>8425000</v>
      </c>
    </row>
    <row r="1964" spans="1:10" ht="33.75">
      <c r="A1964" s="27" t="s">
        <v>1055</v>
      </c>
      <c r="B1964" s="300" t="s">
        <v>1055</v>
      </c>
      <c r="C1964" s="45" t="s">
        <v>1056</v>
      </c>
      <c r="D1964" s="569">
        <v>3.8</v>
      </c>
      <c r="E1964" s="569">
        <v>5.7</v>
      </c>
      <c r="F1964" s="569" t="s">
        <v>974</v>
      </c>
      <c r="G1964" s="73">
        <f t="shared" si="10"/>
        <v>33041000</v>
      </c>
      <c r="H1964" s="569">
        <v>3</v>
      </c>
      <c r="I1964" s="569" t="s">
        <v>1052</v>
      </c>
      <c r="J1964" s="531">
        <f t="shared" si="9"/>
        <v>33041000</v>
      </c>
    </row>
    <row r="1965" spans="1:10" ht="33.75">
      <c r="A1965" s="27" t="s">
        <v>1055</v>
      </c>
      <c r="B1965" s="300" t="s">
        <v>1055</v>
      </c>
      <c r="C1965" s="45" t="s">
        <v>1057</v>
      </c>
      <c r="D1965" s="569">
        <v>2</v>
      </c>
      <c r="E1965" s="569">
        <v>10</v>
      </c>
      <c r="F1965" s="569" t="s">
        <v>974</v>
      </c>
      <c r="G1965" s="73">
        <f t="shared" si="10"/>
        <v>29000000</v>
      </c>
      <c r="H1965" s="569">
        <v>3</v>
      </c>
      <c r="I1965" s="569" t="s">
        <v>1052</v>
      </c>
      <c r="J1965" s="531">
        <f t="shared" si="9"/>
        <v>29000000</v>
      </c>
    </row>
    <row r="1966" spans="1:10" ht="51">
      <c r="A1966" s="27" t="s">
        <v>1055</v>
      </c>
      <c r="B1966" s="300" t="s">
        <v>1058</v>
      </c>
      <c r="C1966" s="45" t="s">
        <v>1059</v>
      </c>
      <c r="D1966" s="569">
        <v>18.899999999999999</v>
      </c>
      <c r="E1966" s="569">
        <v>6</v>
      </c>
      <c r="F1966" s="569" t="s">
        <v>1060</v>
      </c>
      <c r="G1966" s="73">
        <f>D1966*1000000+(D1966*E1966*0.15*9000*1000)+15000000</f>
        <v>186989999.99999997</v>
      </c>
      <c r="H1966" s="569">
        <v>1</v>
      </c>
      <c r="I1966" s="569" t="s">
        <v>1061</v>
      </c>
      <c r="J1966" s="531">
        <f t="shared" si="9"/>
        <v>186989999.99999997</v>
      </c>
    </row>
    <row r="1967" spans="1:10" ht="33.75">
      <c r="A1967" s="27" t="s">
        <v>1055</v>
      </c>
      <c r="B1967" s="300" t="s">
        <v>1062</v>
      </c>
      <c r="C1967" s="45" t="s">
        <v>1063</v>
      </c>
      <c r="D1967" s="569">
        <v>3.8</v>
      </c>
      <c r="E1967" s="569">
        <v>4.5</v>
      </c>
      <c r="F1967" s="569" t="s">
        <v>974</v>
      </c>
      <c r="G1967" s="73">
        <f t="shared" si="10"/>
        <v>26884999.999999996</v>
      </c>
      <c r="H1967" s="569">
        <v>2</v>
      </c>
      <c r="I1967" s="569" t="s">
        <v>1052</v>
      </c>
      <c r="J1967" s="531">
        <f t="shared" si="9"/>
        <v>26884999.999999996</v>
      </c>
    </row>
    <row r="1968" spans="1:10" ht="33.75">
      <c r="A1968" s="27" t="s">
        <v>1055</v>
      </c>
      <c r="B1968" s="300" t="s">
        <v>1064</v>
      </c>
      <c r="C1968" s="45" t="s">
        <v>1065</v>
      </c>
      <c r="D1968" s="569">
        <v>7.3</v>
      </c>
      <c r="E1968" s="569">
        <v>4.5</v>
      </c>
      <c r="F1968" s="569" t="s">
        <v>974</v>
      </c>
      <c r="G1968" s="73">
        <f t="shared" si="10"/>
        <v>51647500</v>
      </c>
      <c r="H1968" s="569">
        <v>2</v>
      </c>
      <c r="I1968" s="569" t="s">
        <v>1052</v>
      </c>
      <c r="J1968" s="531">
        <f t="shared" si="9"/>
        <v>51647500</v>
      </c>
    </row>
    <row r="1969" spans="1:10" ht="33.75">
      <c r="A1969" s="27" t="s">
        <v>1055</v>
      </c>
      <c r="B1969" s="300" t="s">
        <v>1064</v>
      </c>
      <c r="C1969" s="45" t="s">
        <v>1065</v>
      </c>
      <c r="D1969" s="569">
        <v>7.3</v>
      </c>
      <c r="E1969" s="569">
        <v>4.5</v>
      </c>
      <c r="F1969" s="569" t="s">
        <v>974</v>
      </c>
      <c r="G1969" s="73">
        <f t="shared" si="10"/>
        <v>51647500</v>
      </c>
      <c r="H1969" s="569">
        <v>3</v>
      </c>
      <c r="I1969" s="569" t="s">
        <v>1052</v>
      </c>
      <c r="J1969" s="531">
        <f t="shared" si="9"/>
        <v>51647500</v>
      </c>
    </row>
    <row r="1970" spans="1:10" ht="90">
      <c r="A1970" s="27" t="s">
        <v>1264</v>
      </c>
      <c r="B1970" s="300" t="s">
        <v>1066</v>
      </c>
      <c r="C1970" s="45" t="s">
        <v>1067</v>
      </c>
      <c r="D1970" s="569">
        <v>17.3</v>
      </c>
      <c r="E1970" s="569">
        <v>4.5</v>
      </c>
      <c r="F1970" s="569" t="s">
        <v>1068</v>
      </c>
      <c r="G1970" s="73">
        <f t="shared" si="10"/>
        <v>122397500</v>
      </c>
      <c r="H1970" s="569">
        <v>1</v>
      </c>
      <c r="I1970" s="569" t="s">
        <v>1069</v>
      </c>
      <c r="J1970" s="531">
        <f>G1970+600000000</f>
        <v>722397500</v>
      </c>
    </row>
    <row r="1971" spans="1:10" ht="33.75">
      <c r="A1971" s="27" t="s">
        <v>1055</v>
      </c>
      <c r="B1971" s="300" t="s">
        <v>1070</v>
      </c>
      <c r="C1971" s="45" t="s">
        <v>1071</v>
      </c>
      <c r="D1971" s="569">
        <v>2.5</v>
      </c>
      <c r="E1971" s="569">
        <v>6</v>
      </c>
      <c r="F1971" s="569" t="s">
        <v>974</v>
      </c>
      <c r="G1971" s="73">
        <f t="shared" si="10"/>
        <v>22750000</v>
      </c>
      <c r="H1971" s="569">
        <v>1</v>
      </c>
      <c r="I1971" s="569" t="s">
        <v>1052</v>
      </c>
      <c r="J1971" s="531">
        <f>G1971</f>
        <v>22750000</v>
      </c>
    </row>
    <row r="1972" spans="1:10" ht="33.75">
      <c r="A1972" s="27" t="s">
        <v>1055</v>
      </c>
      <c r="B1972" s="300" t="s">
        <v>1072</v>
      </c>
      <c r="C1972" s="45" t="s">
        <v>1073</v>
      </c>
      <c r="D1972" s="569">
        <v>4.5</v>
      </c>
      <c r="E1972" s="569">
        <v>6</v>
      </c>
      <c r="F1972" s="569" t="s">
        <v>974</v>
      </c>
      <c r="G1972" s="73">
        <f t="shared" si="10"/>
        <v>40950000</v>
      </c>
      <c r="H1972" s="569">
        <v>2</v>
      </c>
      <c r="I1972" s="569" t="s">
        <v>1052</v>
      </c>
      <c r="J1972" s="531">
        <f t="shared" ref="J1972:J1989" si="11">G1972</f>
        <v>40950000</v>
      </c>
    </row>
    <row r="1973" spans="1:10" ht="45">
      <c r="A1973" s="27" t="s">
        <v>1075</v>
      </c>
      <c r="B1973" s="300" t="s">
        <v>1075</v>
      </c>
      <c r="C1973" s="45" t="s">
        <v>1076</v>
      </c>
      <c r="D1973" s="569">
        <v>1.5</v>
      </c>
      <c r="E1973" s="569">
        <v>6</v>
      </c>
      <c r="F1973" s="569" t="s">
        <v>974</v>
      </c>
      <c r="G1973" s="73">
        <f t="shared" si="10"/>
        <v>13649999.999999998</v>
      </c>
      <c r="H1973" s="569">
        <v>2</v>
      </c>
      <c r="I1973" s="569" t="s">
        <v>1045</v>
      </c>
      <c r="J1973" s="531">
        <f t="shared" si="11"/>
        <v>13649999.999999998</v>
      </c>
    </row>
    <row r="1974" spans="1:10" ht="45">
      <c r="A1974" s="27" t="s">
        <v>1075</v>
      </c>
      <c r="B1974" s="300" t="s">
        <v>376</v>
      </c>
      <c r="C1974" s="45" t="s">
        <v>1077</v>
      </c>
      <c r="D1974" s="569">
        <v>8.4</v>
      </c>
      <c r="E1974" s="569">
        <v>6</v>
      </c>
      <c r="F1974" s="569" t="s">
        <v>974</v>
      </c>
      <c r="G1974" s="73">
        <f t="shared" si="10"/>
        <v>76440000</v>
      </c>
      <c r="H1974" s="569">
        <v>1</v>
      </c>
      <c r="I1974" s="569" t="s">
        <v>1078</v>
      </c>
      <c r="J1974" s="531">
        <f t="shared" si="11"/>
        <v>76440000</v>
      </c>
    </row>
    <row r="1975" spans="1:10" ht="67.5">
      <c r="A1975" s="27" t="s">
        <v>1075</v>
      </c>
      <c r="B1975" s="300" t="s">
        <v>1075</v>
      </c>
      <c r="C1975" s="45" t="s">
        <v>1079</v>
      </c>
      <c r="D1975" s="569">
        <v>8.4</v>
      </c>
      <c r="E1975" s="569">
        <v>6</v>
      </c>
      <c r="F1975" s="569" t="s">
        <v>974</v>
      </c>
      <c r="G1975" s="73">
        <f t="shared" si="10"/>
        <v>76440000</v>
      </c>
      <c r="H1975" s="569">
        <v>2</v>
      </c>
      <c r="I1975" s="569" t="s">
        <v>1080</v>
      </c>
      <c r="J1975" s="531">
        <f>G1975+90000000</f>
        <v>166440000</v>
      </c>
    </row>
    <row r="1976" spans="1:10" ht="56.25">
      <c r="A1976" s="27" t="s">
        <v>1075</v>
      </c>
      <c r="B1976" s="300" t="s">
        <v>1081</v>
      </c>
      <c r="C1976" s="45" t="s">
        <v>1082</v>
      </c>
      <c r="D1976" s="569">
        <v>1.5</v>
      </c>
      <c r="E1976" s="569">
        <v>6</v>
      </c>
      <c r="F1976" s="569" t="s">
        <v>1083</v>
      </c>
      <c r="G1976" s="73">
        <f t="shared" si="10"/>
        <v>13649999.999999998</v>
      </c>
      <c r="H1976" s="569">
        <v>3</v>
      </c>
      <c r="I1976" s="569" t="s">
        <v>1084</v>
      </c>
      <c r="J1976" s="531">
        <f t="shared" si="11"/>
        <v>13649999.999999998</v>
      </c>
    </row>
    <row r="1977" spans="1:10" ht="45">
      <c r="A1977" s="27" t="s">
        <v>1075</v>
      </c>
      <c r="B1977" s="300" t="s">
        <v>1085</v>
      </c>
      <c r="C1977" s="45" t="s">
        <v>1086</v>
      </c>
      <c r="D1977" s="569">
        <v>9</v>
      </c>
      <c r="E1977" s="569">
        <v>6</v>
      </c>
      <c r="F1977" s="569" t="s">
        <v>974</v>
      </c>
      <c r="G1977" s="73">
        <f t="shared" si="10"/>
        <v>81900000</v>
      </c>
      <c r="H1977" s="569">
        <v>1</v>
      </c>
      <c r="I1977" s="569" t="s">
        <v>1087</v>
      </c>
      <c r="J1977" s="531">
        <f t="shared" si="11"/>
        <v>81900000</v>
      </c>
    </row>
    <row r="1978" spans="1:10" ht="67.5">
      <c r="A1978" s="27" t="s">
        <v>1075</v>
      </c>
      <c r="B1978" s="300" t="s">
        <v>1088</v>
      </c>
      <c r="C1978" s="45" t="s">
        <v>1089</v>
      </c>
      <c r="D1978" s="569">
        <v>0.5</v>
      </c>
      <c r="E1978" s="569">
        <v>6</v>
      </c>
      <c r="F1978" s="569" t="s">
        <v>974</v>
      </c>
      <c r="G1978" s="73">
        <f t="shared" si="10"/>
        <v>4550000</v>
      </c>
      <c r="H1978" s="569">
        <v>1</v>
      </c>
      <c r="I1978" s="569" t="s">
        <v>1090</v>
      </c>
      <c r="J1978" s="531">
        <f t="shared" si="11"/>
        <v>4550000</v>
      </c>
    </row>
    <row r="1979" spans="1:10" ht="67.5">
      <c r="A1979" s="27" t="s">
        <v>1075</v>
      </c>
      <c r="B1979" s="300" t="s">
        <v>266</v>
      </c>
      <c r="C1979" s="45" t="s">
        <v>1091</v>
      </c>
      <c r="D1979" s="569">
        <v>0.8</v>
      </c>
      <c r="E1979" s="569">
        <v>6</v>
      </c>
      <c r="F1979" s="569" t="s">
        <v>974</v>
      </c>
      <c r="G1979" s="73">
        <f t="shared" si="10"/>
        <v>7280000.0000000009</v>
      </c>
      <c r="H1979" s="569">
        <v>2</v>
      </c>
      <c r="I1979" s="569" t="s">
        <v>1090</v>
      </c>
      <c r="J1979" s="531">
        <f t="shared" si="11"/>
        <v>7280000.0000000009</v>
      </c>
    </row>
    <row r="1980" spans="1:10" ht="33.75">
      <c r="A1980" s="27" t="s">
        <v>1265</v>
      </c>
      <c r="B1980" s="300" t="s">
        <v>1093</v>
      </c>
      <c r="C1980" s="47" t="s">
        <v>1094</v>
      </c>
      <c r="D1980" s="569"/>
      <c r="E1980" s="569"/>
      <c r="F1980" s="569" t="s">
        <v>974</v>
      </c>
      <c r="G1980" s="73">
        <f t="shared" si="10"/>
        <v>0</v>
      </c>
      <c r="H1980" s="569">
        <v>3</v>
      </c>
      <c r="I1980" s="569" t="s">
        <v>1095</v>
      </c>
      <c r="J1980" s="531">
        <f t="shared" si="11"/>
        <v>0</v>
      </c>
    </row>
    <row r="1981" spans="1:10" ht="56.25">
      <c r="A1981" s="27" t="s">
        <v>1265</v>
      </c>
      <c r="B1981" s="300" t="s">
        <v>1093</v>
      </c>
      <c r="C1981" s="45" t="s">
        <v>1096</v>
      </c>
      <c r="D1981" s="569">
        <v>1.5</v>
      </c>
      <c r="E1981" s="569">
        <v>6</v>
      </c>
      <c r="F1981" s="569" t="s">
        <v>974</v>
      </c>
      <c r="G1981" s="73">
        <f t="shared" si="10"/>
        <v>13649999.999999998</v>
      </c>
      <c r="H1981" s="569">
        <v>1</v>
      </c>
      <c r="I1981" s="569" t="s">
        <v>1084</v>
      </c>
      <c r="J1981" s="531">
        <f t="shared" si="11"/>
        <v>13649999.999999998</v>
      </c>
    </row>
    <row r="1982" spans="1:10" ht="56.25">
      <c r="A1982" s="27" t="s">
        <v>1265</v>
      </c>
      <c r="B1982" s="300" t="s">
        <v>1097</v>
      </c>
      <c r="C1982" s="45" t="s">
        <v>1098</v>
      </c>
      <c r="D1982" s="569">
        <v>5</v>
      </c>
      <c r="E1982" s="569">
        <v>4.5</v>
      </c>
      <c r="F1982" s="569" t="s">
        <v>974</v>
      </c>
      <c r="G1982" s="73">
        <f t="shared" si="10"/>
        <v>35375000</v>
      </c>
      <c r="H1982" s="569">
        <v>1</v>
      </c>
      <c r="I1982" s="569" t="s">
        <v>1099</v>
      </c>
      <c r="J1982" s="531">
        <f t="shared" si="11"/>
        <v>35375000</v>
      </c>
    </row>
    <row r="1983" spans="1:10" ht="56.25">
      <c r="A1983" s="27" t="s">
        <v>1265</v>
      </c>
      <c r="B1983" s="300" t="s">
        <v>1097</v>
      </c>
      <c r="C1983" s="45" t="s">
        <v>1100</v>
      </c>
      <c r="D1983" s="569">
        <v>1.5</v>
      </c>
      <c r="E1983" s="569">
        <v>4.5</v>
      </c>
      <c r="F1983" s="569" t="s">
        <v>974</v>
      </c>
      <c r="G1983" s="73">
        <f t="shared" si="10"/>
        <v>10612500</v>
      </c>
      <c r="H1983" s="569">
        <v>1</v>
      </c>
      <c r="I1983" s="569" t="s">
        <v>1099</v>
      </c>
      <c r="J1983" s="531">
        <f t="shared" si="11"/>
        <v>10612500</v>
      </c>
    </row>
    <row r="1984" spans="1:10" ht="56.25">
      <c r="A1984" s="27" t="s">
        <v>1265</v>
      </c>
      <c r="B1984" s="300" t="s">
        <v>1101</v>
      </c>
      <c r="C1984" s="45" t="s">
        <v>1102</v>
      </c>
      <c r="D1984" s="569">
        <v>1.5</v>
      </c>
      <c r="E1984" s="569">
        <v>6</v>
      </c>
      <c r="F1984" s="569" t="s">
        <v>974</v>
      </c>
      <c r="G1984" s="73">
        <f t="shared" si="10"/>
        <v>13649999.999999998</v>
      </c>
      <c r="H1984" s="569">
        <v>1</v>
      </c>
      <c r="I1984" s="569" t="s">
        <v>1099</v>
      </c>
      <c r="J1984" s="531">
        <f t="shared" si="11"/>
        <v>13649999.999999998</v>
      </c>
    </row>
    <row r="1985" spans="1:10" ht="56.25">
      <c r="A1985" s="27" t="s">
        <v>1265</v>
      </c>
      <c r="B1985" s="300" t="s">
        <v>1101</v>
      </c>
      <c r="C1985" s="46" t="s">
        <v>1103</v>
      </c>
      <c r="D1985" s="569">
        <v>3.9</v>
      </c>
      <c r="E1985" s="569">
        <v>4.5</v>
      </c>
      <c r="F1985" s="569" t="s">
        <v>1104</v>
      </c>
      <c r="G1985" s="73">
        <f t="shared" si="10"/>
        <v>27592500</v>
      </c>
      <c r="H1985" s="569">
        <v>1</v>
      </c>
      <c r="I1985" s="569" t="s">
        <v>1099</v>
      </c>
      <c r="J1985" s="531">
        <f t="shared" si="11"/>
        <v>27592500</v>
      </c>
    </row>
    <row r="1986" spans="1:10" ht="45">
      <c r="A1986" s="27" t="s">
        <v>1266</v>
      </c>
      <c r="B1986" s="300" t="s">
        <v>1105</v>
      </c>
      <c r="C1986" s="46" t="s">
        <v>1106</v>
      </c>
      <c r="D1986" s="569">
        <v>8.9</v>
      </c>
      <c r="E1986" s="569">
        <v>4</v>
      </c>
      <c r="F1986" s="569" t="s">
        <v>1107</v>
      </c>
      <c r="G1986" s="73">
        <f t="shared" si="10"/>
        <v>56960000</v>
      </c>
      <c r="H1986" s="569">
        <v>1</v>
      </c>
      <c r="I1986" s="569" t="s">
        <v>1108</v>
      </c>
      <c r="J1986" s="531">
        <f t="shared" si="11"/>
        <v>56960000</v>
      </c>
    </row>
    <row r="1987" spans="1:10" ht="67.5">
      <c r="A1987" s="27" t="s">
        <v>1266</v>
      </c>
      <c r="B1987" s="300" t="s">
        <v>1109</v>
      </c>
      <c r="C1987" s="46" t="s">
        <v>1110</v>
      </c>
      <c r="D1987" s="569">
        <v>3</v>
      </c>
      <c r="E1987" s="569">
        <v>5.7</v>
      </c>
      <c r="F1987" s="569" t="s">
        <v>974</v>
      </c>
      <c r="G1987" s="73">
        <f t="shared" si="10"/>
        <v>26085000</v>
      </c>
      <c r="H1987" s="569">
        <v>2</v>
      </c>
      <c r="I1987" s="569" t="s">
        <v>1111</v>
      </c>
      <c r="J1987" s="531">
        <f t="shared" si="11"/>
        <v>26085000</v>
      </c>
    </row>
    <row r="1988" spans="1:10" ht="45">
      <c r="A1988" s="27" t="s">
        <v>1266</v>
      </c>
      <c r="B1988" s="300" t="s">
        <v>1112</v>
      </c>
      <c r="C1988" s="45" t="s">
        <v>1113</v>
      </c>
      <c r="D1988" s="569">
        <v>5.5</v>
      </c>
      <c r="E1988" s="569">
        <v>4</v>
      </c>
      <c r="F1988" s="569" t="s">
        <v>974</v>
      </c>
      <c r="G1988" s="73">
        <f t="shared" si="10"/>
        <v>35200000</v>
      </c>
      <c r="H1988" s="569">
        <v>1</v>
      </c>
      <c r="I1988" s="569" t="s">
        <v>1114</v>
      </c>
      <c r="J1988" s="531">
        <f t="shared" si="11"/>
        <v>35200000</v>
      </c>
    </row>
    <row r="1989" spans="1:10" ht="67.5">
      <c r="A1989" s="27" t="s">
        <v>1266</v>
      </c>
      <c r="B1989" s="300" t="s">
        <v>1115</v>
      </c>
      <c r="C1989" s="45" t="s">
        <v>1116</v>
      </c>
      <c r="D1989" s="569">
        <v>2.6</v>
      </c>
      <c r="E1989" s="569">
        <v>4</v>
      </c>
      <c r="F1989" s="569" t="s">
        <v>974</v>
      </c>
      <c r="G1989" s="73">
        <f t="shared" si="10"/>
        <v>16640000</v>
      </c>
      <c r="H1989" s="569">
        <v>3</v>
      </c>
      <c r="I1989" s="569" t="s">
        <v>1117</v>
      </c>
      <c r="J1989" s="531">
        <f t="shared" si="11"/>
        <v>16640000</v>
      </c>
    </row>
    <row r="1990" spans="1:10" ht="101.25">
      <c r="A1990" s="27" t="s">
        <v>1263</v>
      </c>
      <c r="B1990" s="300" t="s">
        <v>1118</v>
      </c>
      <c r="C1990" s="46" t="s">
        <v>1119</v>
      </c>
      <c r="D1990" s="569">
        <v>3</v>
      </c>
      <c r="E1990" s="569">
        <v>6</v>
      </c>
      <c r="F1990" s="569" t="s">
        <v>1120</v>
      </c>
      <c r="G1990" s="73">
        <f t="shared" si="10"/>
        <v>27299999.999999996</v>
      </c>
      <c r="H1990" s="569">
        <v>1</v>
      </c>
      <c r="I1990" s="569" t="s">
        <v>1121</v>
      </c>
      <c r="J1990" s="531">
        <f>154000000+G1990</f>
        <v>181300000</v>
      </c>
    </row>
    <row r="1991" spans="1:10" ht="33.75">
      <c r="A1991" s="27" t="str">
        <f>A1990</f>
        <v>Diriá</v>
      </c>
      <c r="B1991" s="300" t="s">
        <v>1118</v>
      </c>
      <c r="C1991" s="45" t="s">
        <v>1122</v>
      </c>
      <c r="D1991" s="569">
        <v>0.7</v>
      </c>
      <c r="E1991" s="569">
        <v>4</v>
      </c>
      <c r="F1991" s="569" t="s">
        <v>974</v>
      </c>
      <c r="G1991" s="73">
        <f t="shared" si="10"/>
        <v>4480000</v>
      </c>
      <c r="H1991" s="569">
        <v>2</v>
      </c>
      <c r="I1991" s="569" t="s">
        <v>1052</v>
      </c>
      <c r="J1991" s="531">
        <f>G1991</f>
        <v>4480000</v>
      </c>
    </row>
    <row r="1992" spans="1:10" ht="90">
      <c r="A1992" s="27" t="str">
        <f t="shared" ref="A1992:A1999" si="12">A1991</f>
        <v>Diriá</v>
      </c>
      <c r="B1992" s="300" t="s">
        <v>1123</v>
      </c>
      <c r="C1992" s="45" t="s">
        <v>1124</v>
      </c>
      <c r="D1992" s="569">
        <v>1.5</v>
      </c>
      <c r="E1992" s="569">
        <v>4</v>
      </c>
      <c r="F1992" s="569" t="s">
        <v>1125</v>
      </c>
      <c r="G1992" s="73">
        <f t="shared" si="10"/>
        <v>9600000</v>
      </c>
      <c r="H1992" s="569">
        <v>3</v>
      </c>
      <c r="I1992" s="569" t="s">
        <v>1126</v>
      </c>
      <c r="J1992" s="531">
        <f t="shared" ref="J1992:J2055" si="13">G1992</f>
        <v>9600000</v>
      </c>
    </row>
    <row r="1993" spans="1:10" ht="45">
      <c r="A1993" s="27" t="str">
        <f t="shared" si="12"/>
        <v>Diriá</v>
      </c>
      <c r="B1993" s="300" t="s">
        <v>1127</v>
      </c>
      <c r="C1993" s="45" t="s">
        <v>1128</v>
      </c>
      <c r="D1993" s="569">
        <v>5.7</v>
      </c>
      <c r="E1993" s="569">
        <v>4</v>
      </c>
      <c r="F1993" s="569" t="s">
        <v>974</v>
      </c>
      <c r="G1993" s="73">
        <f t="shared" si="10"/>
        <v>36480000</v>
      </c>
      <c r="H1993" s="569">
        <v>3</v>
      </c>
      <c r="I1993" s="569" t="s">
        <v>1078</v>
      </c>
      <c r="J1993" s="531">
        <f t="shared" si="13"/>
        <v>36480000</v>
      </c>
    </row>
    <row r="1994" spans="1:10" ht="33.75">
      <c r="A1994" s="27" t="str">
        <f t="shared" si="12"/>
        <v>Diriá</v>
      </c>
      <c r="B1994" s="300" t="s">
        <v>1129</v>
      </c>
      <c r="C1994" s="45" t="s">
        <v>1128</v>
      </c>
      <c r="D1994" s="569">
        <v>5.7</v>
      </c>
      <c r="E1994" s="569">
        <v>4</v>
      </c>
      <c r="F1994" s="569" t="s">
        <v>974</v>
      </c>
      <c r="G1994" s="73">
        <f t="shared" si="10"/>
        <v>36480000</v>
      </c>
      <c r="H1994" s="569">
        <v>3</v>
      </c>
      <c r="I1994" s="569" t="s">
        <v>1052</v>
      </c>
      <c r="J1994" s="531">
        <f t="shared" si="13"/>
        <v>36480000</v>
      </c>
    </row>
    <row r="1995" spans="1:10" ht="33.75">
      <c r="A1995" s="27" t="str">
        <f t="shared" si="12"/>
        <v>Diriá</v>
      </c>
      <c r="B1995" s="300" t="s">
        <v>1130</v>
      </c>
      <c r="C1995" s="45" t="s">
        <v>1128</v>
      </c>
      <c r="D1995" s="569">
        <v>5.7</v>
      </c>
      <c r="E1995" s="569">
        <v>4</v>
      </c>
      <c r="F1995" s="569" t="s">
        <v>974</v>
      </c>
      <c r="G1995" s="73">
        <f t="shared" si="10"/>
        <v>36480000</v>
      </c>
      <c r="H1995" s="569">
        <v>3</v>
      </c>
      <c r="I1995" s="569" t="s">
        <v>1052</v>
      </c>
      <c r="J1995" s="531">
        <f t="shared" si="13"/>
        <v>36480000</v>
      </c>
    </row>
    <row r="1996" spans="1:10" ht="33.75">
      <c r="A1996" s="27" t="str">
        <f t="shared" si="12"/>
        <v>Diriá</v>
      </c>
      <c r="B1996" s="300" t="s">
        <v>1131</v>
      </c>
      <c r="C1996" s="45" t="s">
        <v>1132</v>
      </c>
      <c r="D1996" s="569">
        <v>0.4</v>
      </c>
      <c r="E1996" s="569">
        <v>4</v>
      </c>
      <c r="F1996" s="569" t="s">
        <v>974</v>
      </c>
      <c r="G1996" s="73">
        <f t="shared" si="10"/>
        <v>2560000</v>
      </c>
      <c r="H1996" s="569">
        <v>3</v>
      </c>
      <c r="I1996" s="569" t="s">
        <v>1052</v>
      </c>
      <c r="J1996" s="531">
        <f t="shared" si="13"/>
        <v>2560000</v>
      </c>
    </row>
    <row r="1997" spans="1:10" ht="45">
      <c r="A1997" s="27" t="str">
        <f t="shared" si="12"/>
        <v>Diriá</v>
      </c>
      <c r="B1997" s="300" t="s">
        <v>1133</v>
      </c>
      <c r="C1997" s="45" t="s">
        <v>1134</v>
      </c>
      <c r="D1997" s="569">
        <v>1.5</v>
      </c>
      <c r="E1997" s="569">
        <v>4</v>
      </c>
      <c r="F1997" s="569" t="s">
        <v>974</v>
      </c>
      <c r="G1997" s="73">
        <f t="shared" si="10"/>
        <v>9600000</v>
      </c>
      <c r="H1997" s="569">
        <v>3</v>
      </c>
      <c r="I1997" s="569" t="s">
        <v>1078</v>
      </c>
      <c r="J1997" s="531">
        <f t="shared" si="13"/>
        <v>9600000</v>
      </c>
    </row>
    <row r="1998" spans="1:10" ht="33.75">
      <c r="A1998" s="27" t="str">
        <f t="shared" si="12"/>
        <v>Diriá</v>
      </c>
      <c r="B1998" s="300" t="s">
        <v>1135</v>
      </c>
      <c r="C1998" s="45" t="s">
        <v>1136</v>
      </c>
      <c r="D1998" s="569">
        <v>4.5</v>
      </c>
      <c r="E1998" s="569">
        <v>4.5</v>
      </c>
      <c r="F1998" s="569" t="s">
        <v>974</v>
      </c>
      <c r="G1998" s="73">
        <f t="shared" si="10"/>
        <v>31837500</v>
      </c>
      <c r="H1998" s="569">
        <v>2</v>
      </c>
      <c r="I1998" s="569" t="s">
        <v>1052</v>
      </c>
      <c r="J1998" s="531">
        <f t="shared" si="13"/>
        <v>31837500</v>
      </c>
    </row>
    <row r="1999" spans="1:10" ht="33.75">
      <c r="A1999" s="27" t="str">
        <f t="shared" si="12"/>
        <v>Diriá</v>
      </c>
      <c r="B1999" s="300" t="s">
        <v>1137</v>
      </c>
      <c r="C1999" s="45" t="s">
        <v>1138</v>
      </c>
      <c r="D1999" s="569">
        <v>3.1</v>
      </c>
      <c r="E1999" s="569">
        <v>5</v>
      </c>
      <c r="F1999" s="569" t="s">
        <v>974</v>
      </c>
      <c r="G1999" s="73">
        <f t="shared" si="10"/>
        <v>24024999.999999996</v>
      </c>
      <c r="H1999" s="569">
        <v>2</v>
      </c>
      <c r="I1999" s="569" t="s">
        <v>1052</v>
      </c>
      <c r="J1999" s="531">
        <f t="shared" si="13"/>
        <v>24024999.999999996</v>
      </c>
    </row>
    <row r="2000" spans="1:10" ht="33.75">
      <c r="A2000" s="27" t="s">
        <v>1267</v>
      </c>
      <c r="B2000" s="300" t="s">
        <v>1139</v>
      </c>
      <c r="C2000" s="47" t="s">
        <v>1140</v>
      </c>
      <c r="D2000" s="569">
        <v>0.8</v>
      </c>
      <c r="E2000" s="569">
        <v>0.4</v>
      </c>
      <c r="F2000" s="569" t="s">
        <v>974</v>
      </c>
      <c r="G2000" s="73">
        <f t="shared" si="10"/>
        <v>1232000</v>
      </c>
      <c r="H2000" s="569">
        <v>1</v>
      </c>
      <c r="I2000" s="569" t="s">
        <v>1052</v>
      </c>
      <c r="J2000" s="531">
        <f t="shared" si="13"/>
        <v>1232000</v>
      </c>
    </row>
    <row r="2001" spans="1:10" ht="33.75">
      <c r="A2001" s="27" t="s">
        <v>1267</v>
      </c>
      <c r="B2001" s="300" t="s">
        <v>1141</v>
      </c>
      <c r="C2001" s="47" t="s">
        <v>1142</v>
      </c>
      <c r="D2001" s="569">
        <v>3.5</v>
      </c>
      <c r="E2001" s="569">
        <v>4</v>
      </c>
      <c r="F2001" s="569" t="s">
        <v>974</v>
      </c>
      <c r="G2001" s="73">
        <f t="shared" si="10"/>
        <v>22400000</v>
      </c>
      <c r="H2001" s="569">
        <v>1</v>
      </c>
      <c r="I2001" s="569" t="s">
        <v>1052</v>
      </c>
      <c r="J2001" s="531">
        <f t="shared" si="13"/>
        <v>22400000</v>
      </c>
    </row>
    <row r="2002" spans="1:10" ht="33.75">
      <c r="A2002" s="27" t="s">
        <v>1267</v>
      </c>
      <c r="B2002" s="300" t="s">
        <v>1143</v>
      </c>
      <c r="C2002" s="47" t="s">
        <v>1144</v>
      </c>
      <c r="D2002" s="569">
        <v>2.7</v>
      </c>
      <c r="E2002" s="569">
        <v>4</v>
      </c>
      <c r="F2002" s="569" t="s">
        <v>974</v>
      </c>
      <c r="G2002" s="73">
        <f t="shared" ref="G2002:G2047" si="14">D2002*1000000+(D2002*E2002*0.15*9000*1000)</f>
        <v>17280000</v>
      </c>
      <c r="H2002" s="569">
        <v>1</v>
      </c>
      <c r="I2002" s="569" t="s">
        <v>1052</v>
      </c>
      <c r="J2002" s="531">
        <f t="shared" si="13"/>
        <v>17280000</v>
      </c>
    </row>
    <row r="2003" spans="1:10" ht="33.75">
      <c r="A2003" s="27" t="s">
        <v>1267</v>
      </c>
      <c r="B2003" s="300" t="s">
        <v>1145</v>
      </c>
      <c r="C2003" s="47" t="s">
        <v>1146</v>
      </c>
      <c r="D2003" s="569">
        <v>5.8</v>
      </c>
      <c r="E2003" s="569">
        <v>4</v>
      </c>
      <c r="F2003" s="569" t="s">
        <v>974</v>
      </c>
      <c r="G2003" s="73">
        <f t="shared" si="14"/>
        <v>37120000</v>
      </c>
      <c r="H2003" s="569">
        <v>1</v>
      </c>
      <c r="I2003" s="569" t="s">
        <v>1052</v>
      </c>
      <c r="J2003" s="531">
        <f t="shared" si="13"/>
        <v>37120000</v>
      </c>
    </row>
    <row r="2004" spans="1:10" ht="33.75">
      <c r="A2004" s="27" t="s">
        <v>1267</v>
      </c>
      <c r="B2004" s="300" t="s">
        <v>1147</v>
      </c>
      <c r="C2004" s="47" t="s">
        <v>1148</v>
      </c>
      <c r="D2004" s="569">
        <v>3.3</v>
      </c>
      <c r="E2004" s="569">
        <v>5</v>
      </c>
      <c r="F2004" s="569" t="s">
        <v>974</v>
      </c>
      <c r="G2004" s="73">
        <f t="shared" si="14"/>
        <v>25575000</v>
      </c>
      <c r="H2004" s="569">
        <v>3</v>
      </c>
      <c r="I2004" s="569" t="s">
        <v>1052</v>
      </c>
      <c r="J2004" s="531">
        <f t="shared" si="13"/>
        <v>25575000</v>
      </c>
    </row>
    <row r="2005" spans="1:10" ht="33.75">
      <c r="A2005" s="27" t="s">
        <v>1267</v>
      </c>
      <c r="B2005" s="300" t="s">
        <v>1149</v>
      </c>
      <c r="C2005" s="47" t="s">
        <v>1150</v>
      </c>
      <c r="D2005" s="569">
        <v>13.5</v>
      </c>
      <c r="E2005" s="569">
        <v>6</v>
      </c>
      <c r="F2005" s="569" t="s">
        <v>974</v>
      </c>
      <c r="G2005" s="73">
        <f t="shared" si="14"/>
        <v>122850000</v>
      </c>
      <c r="H2005" s="569">
        <v>1</v>
      </c>
      <c r="I2005" s="569" t="s">
        <v>1052</v>
      </c>
      <c r="J2005" s="531">
        <f t="shared" si="13"/>
        <v>122850000</v>
      </c>
    </row>
    <row r="2006" spans="1:10" ht="33.75">
      <c r="A2006" s="27" t="s">
        <v>1267</v>
      </c>
      <c r="B2006" s="300" t="s">
        <v>1151</v>
      </c>
      <c r="C2006" s="47" t="s">
        <v>1152</v>
      </c>
      <c r="D2006" s="569">
        <v>2</v>
      </c>
      <c r="E2006" s="569">
        <v>4</v>
      </c>
      <c r="F2006" s="569" t="s">
        <v>974</v>
      </c>
      <c r="G2006" s="73">
        <f t="shared" si="14"/>
        <v>12800000</v>
      </c>
      <c r="H2006" s="569">
        <v>1</v>
      </c>
      <c r="I2006" s="569" t="s">
        <v>1052</v>
      </c>
      <c r="J2006" s="531">
        <f t="shared" si="13"/>
        <v>12800000</v>
      </c>
    </row>
    <row r="2007" spans="1:10" ht="33.75">
      <c r="A2007" s="27" t="s">
        <v>1267</v>
      </c>
      <c r="B2007" s="300" t="s">
        <v>1151</v>
      </c>
      <c r="C2007" s="47" t="s">
        <v>1153</v>
      </c>
      <c r="D2007" s="569">
        <v>0.9</v>
      </c>
      <c r="E2007" s="569">
        <v>3.5</v>
      </c>
      <c r="F2007" s="569" t="s">
        <v>974</v>
      </c>
      <c r="G2007" s="73">
        <f t="shared" si="14"/>
        <v>5152500</v>
      </c>
      <c r="H2007" s="569">
        <v>1</v>
      </c>
      <c r="I2007" s="569" t="s">
        <v>1052</v>
      </c>
      <c r="J2007" s="531">
        <f t="shared" si="13"/>
        <v>5152500</v>
      </c>
    </row>
    <row r="2008" spans="1:10" ht="33.75">
      <c r="A2008" s="27" t="s">
        <v>1267</v>
      </c>
      <c r="B2008" s="300" t="s">
        <v>1154</v>
      </c>
      <c r="C2008" s="47" t="s">
        <v>1155</v>
      </c>
      <c r="D2008" s="569">
        <v>8</v>
      </c>
      <c r="E2008" s="569">
        <v>6</v>
      </c>
      <c r="F2008" s="569" t="s">
        <v>974</v>
      </c>
      <c r="G2008" s="73">
        <f t="shared" si="14"/>
        <v>72800000</v>
      </c>
      <c r="H2008" s="569">
        <v>2</v>
      </c>
      <c r="I2008" s="569" t="s">
        <v>1052</v>
      </c>
      <c r="J2008" s="531">
        <f t="shared" si="13"/>
        <v>72800000</v>
      </c>
    </row>
    <row r="2009" spans="1:10" ht="33.75">
      <c r="A2009" s="27" t="s">
        <v>1267</v>
      </c>
      <c r="B2009" s="300" t="s">
        <v>1156</v>
      </c>
      <c r="C2009" s="47" t="s">
        <v>1157</v>
      </c>
      <c r="D2009" s="569">
        <v>0.9</v>
      </c>
      <c r="E2009" s="569">
        <v>5</v>
      </c>
      <c r="F2009" s="569" t="s">
        <v>974</v>
      </c>
      <c r="G2009" s="73">
        <f t="shared" si="14"/>
        <v>6974999.9999999991</v>
      </c>
      <c r="H2009" s="569">
        <v>2</v>
      </c>
      <c r="I2009" s="569" t="s">
        <v>1052</v>
      </c>
      <c r="J2009" s="531">
        <f t="shared" si="13"/>
        <v>6974999.9999999991</v>
      </c>
    </row>
    <row r="2010" spans="1:10" ht="33.75">
      <c r="A2010" s="27" t="s">
        <v>1267</v>
      </c>
      <c r="B2010" s="300" t="s">
        <v>1158</v>
      </c>
      <c r="C2010" s="47" t="s">
        <v>1159</v>
      </c>
      <c r="D2010" s="569">
        <v>4</v>
      </c>
      <c r="E2010" s="569">
        <v>5.5</v>
      </c>
      <c r="F2010" s="569" t="s">
        <v>974</v>
      </c>
      <c r="G2010" s="73">
        <f t="shared" si="14"/>
        <v>33700000</v>
      </c>
      <c r="H2010" s="569">
        <v>1</v>
      </c>
      <c r="I2010" s="569" t="s">
        <v>1052</v>
      </c>
      <c r="J2010" s="531">
        <f t="shared" si="13"/>
        <v>33700000</v>
      </c>
    </row>
    <row r="2011" spans="1:10" ht="33.75">
      <c r="A2011" s="27" t="s">
        <v>1267</v>
      </c>
      <c r="B2011" s="300" t="s">
        <v>1160</v>
      </c>
      <c r="C2011" s="47" t="s">
        <v>1161</v>
      </c>
      <c r="D2011" s="569">
        <v>2.8</v>
      </c>
      <c r="E2011" s="569">
        <v>5</v>
      </c>
      <c r="F2011" s="569" t="s">
        <v>974</v>
      </c>
      <c r="G2011" s="73">
        <f t="shared" si="14"/>
        <v>21700000</v>
      </c>
      <c r="H2011" s="569">
        <v>1</v>
      </c>
      <c r="I2011" s="569" t="s">
        <v>1052</v>
      </c>
      <c r="J2011" s="531">
        <f t="shared" si="13"/>
        <v>21700000</v>
      </c>
    </row>
    <row r="2012" spans="1:10" ht="56.25">
      <c r="A2012" s="27" t="s">
        <v>1262</v>
      </c>
      <c r="B2012" s="300" t="s">
        <v>1015</v>
      </c>
      <c r="C2012" s="47" t="s">
        <v>1016</v>
      </c>
      <c r="D2012" s="569">
        <v>3</v>
      </c>
      <c r="E2012" s="569">
        <v>5.5</v>
      </c>
      <c r="F2012" s="569" t="s">
        <v>974</v>
      </c>
      <c r="G2012" s="73">
        <f t="shared" si="14"/>
        <v>25275000</v>
      </c>
      <c r="H2012" s="569">
        <v>1</v>
      </c>
      <c r="I2012" s="569" t="s">
        <v>1099</v>
      </c>
      <c r="J2012" s="531">
        <f t="shared" si="13"/>
        <v>25275000</v>
      </c>
    </row>
    <row r="2013" spans="1:10" ht="56.25">
      <c r="A2013" s="27" t="s">
        <v>1262</v>
      </c>
      <c r="B2013" s="300" t="s">
        <v>938</v>
      </c>
      <c r="C2013" s="47" t="s">
        <v>1162</v>
      </c>
      <c r="D2013" s="569">
        <v>2.2000000000000002</v>
      </c>
      <c r="E2013" s="569">
        <v>5.5</v>
      </c>
      <c r="F2013" s="569" t="s">
        <v>974</v>
      </c>
      <c r="G2013" s="73">
        <f t="shared" si="14"/>
        <v>18535000</v>
      </c>
      <c r="H2013" s="569">
        <v>1</v>
      </c>
      <c r="I2013" s="569" t="s">
        <v>1099</v>
      </c>
      <c r="J2013" s="531">
        <f t="shared" si="13"/>
        <v>18535000</v>
      </c>
    </row>
    <row r="2014" spans="1:10" ht="33.75">
      <c r="A2014" s="27" t="s">
        <v>1262</v>
      </c>
      <c r="B2014" s="300" t="s">
        <v>1163</v>
      </c>
      <c r="C2014" s="47" t="s">
        <v>1164</v>
      </c>
      <c r="D2014" s="569">
        <v>2.7</v>
      </c>
      <c r="E2014" s="569">
        <v>4.5</v>
      </c>
      <c r="F2014" s="569" t="s">
        <v>974</v>
      </c>
      <c r="G2014" s="73">
        <f t="shared" si="14"/>
        <v>19102500</v>
      </c>
      <c r="H2014" s="569">
        <v>3</v>
      </c>
      <c r="I2014" s="569" t="s">
        <v>1052</v>
      </c>
      <c r="J2014" s="531">
        <f t="shared" si="13"/>
        <v>19102500</v>
      </c>
    </row>
    <row r="2015" spans="1:10" ht="33.75">
      <c r="A2015" s="27" t="s">
        <v>1262</v>
      </c>
      <c r="B2015" s="300" t="s">
        <v>1165</v>
      </c>
      <c r="C2015" s="47" t="s">
        <v>981</v>
      </c>
      <c r="D2015" s="569">
        <v>1.1000000000000001</v>
      </c>
      <c r="E2015" s="569">
        <v>3</v>
      </c>
      <c r="F2015" s="569" t="s">
        <v>974</v>
      </c>
      <c r="G2015" s="73">
        <f t="shared" si="14"/>
        <v>5555000</v>
      </c>
      <c r="H2015" s="569">
        <v>1</v>
      </c>
      <c r="I2015" s="569" t="s">
        <v>1052</v>
      </c>
      <c r="J2015" s="531">
        <f t="shared" si="13"/>
        <v>5555000</v>
      </c>
    </row>
    <row r="2016" spans="1:10" ht="45">
      <c r="A2016" s="27" t="s">
        <v>1262</v>
      </c>
      <c r="B2016" s="300" t="s">
        <v>1034</v>
      </c>
      <c r="C2016" s="47" t="s">
        <v>981</v>
      </c>
      <c r="D2016" s="569">
        <v>1.1000000000000001</v>
      </c>
      <c r="E2016" s="569">
        <v>3</v>
      </c>
      <c r="F2016" s="569" t="s">
        <v>974</v>
      </c>
      <c r="G2016" s="73">
        <f t="shared" si="14"/>
        <v>5555000</v>
      </c>
      <c r="H2016" s="569">
        <v>1</v>
      </c>
      <c r="I2016" s="569" t="s">
        <v>1078</v>
      </c>
      <c r="J2016" s="531">
        <f t="shared" si="13"/>
        <v>5555000</v>
      </c>
    </row>
    <row r="2017" spans="1:10" ht="56.25">
      <c r="A2017" s="27" t="s">
        <v>1262</v>
      </c>
      <c r="B2017" s="300" t="s">
        <v>1166</v>
      </c>
      <c r="C2017" s="47" t="s">
        <v>1167</v>
      </c>
      <c r="D2017" s="569">
        <v>5.5</v>
      </c>
      <c r="E2017" s="569">
        <v>4.5</v>
      </c>
      <c r="F2017" s="569" t="s">
        <v>974</v>
      </c>
      <c r="G2017" s="73">
        <f t="shared" si="14"/>
        <v>38912500</v>
      </c>
      <c r="H2017" s="569">
        <v>2</v>
      </c>
      <c r="I2017" s="569" t="s">
        <v>1168</v>
      </c>
      <c r="J2017" s="531">
        <f t="shared" si="13"/>
        <v>38912500</v>
      </c>
    </row>
    <row r="2018" spans="1:10" ht="56.25">
      <c r="A2018" s="27" t="s">
        <v>1262</v>
      </c>
      <c r="B2018" s="300" t="s">
        <v>1169</v>
      </c>
      <c r="C2018" s="47" t="s">
        <v>1170</v>
      </c>
      <c r="D2018" s="569">
        <v>4.1500000000000004</v>
      </c>
      <c r="E2018" s="569">
        <v>7</v>
      </c>
      <c r="F2018" s="569" t="s">
        <v>974</v>
      </c>
      <c r="G2018" s="73">
        <f t="shared" si="14"/>
        <v>43367500.000000007</v>
      </c>
      <c r="H2018" s="569">
        <v>2</v>
      </c>
      <c r="I2018" s="569" t="s">
        <v>1171</v>
      </c>
      <c r="J2018" s="531">
        <f t="shared" si="13"/>
        <v>43367500.000000007</v>
      </c>
    </row>
    <row r="2019" spans="1:10" ht="56.25">
      <c r="A2019" s="27" t="s">
        <v>1262</v>
      </c>
      <c r="B2019" s="300" t="s">
        <v>1172</v>
      </c>
      <c r="C2019" s="47" t="s">
        <v>1173</v>
      </c>
      <c r="D2019" s="569">
        <v>18</v>
      </c>
      <c r="E2019" s="569">
        <v>3.7</v>
      </c>
      <c r="F2019" s="569" t="s">
        <v>974</v>
      </c>
      <c r="G2019" s="73">
        <f t="shared" si="14"/>
        <v>107910000</v>
      </c>
      <c r="H2019" s="569">
        <v>1</v>
      </c>
      <c r="I2019" s="569" t="s">
        <v>1174</v>
      </c>
      <c r="J2019" s="531">
        <f t="shared" si="13"/>
        <v>107910000</v>
      </c>
    </row>
    <row r="2020" spans="1:10" ht="33.75">
      <c r="A2020" s="27" t="s">
        <v>1262</v>
      </c>
      <c r="B2020" s="300" t="s">
        <v>1175</v>
      </c>
      <c r="C2020" s="47" t="s">
        <v>1176</v>
      </c>
      <c r="D2020" s="569">
        <v>3.2</v>
      </c>
      <c r="E2020" s="569">
        <v>4</v>
      </c>
      <c r="F2020" s="569" t="s">
        <v>974</v>
      </c>
      <c r="G2020" s="73">
        <f t="shared" si="14"/>
        <v>20480000</v>
      </c>
      <c r="H2020" s="569">
        <v>1</v>
      </c>
      <c r="I2020" s="569" t="s">
        <v>1052</v>
      </c>
      <c r="J2020" s="531">
        <f t="shared" si="13"/>
        <v>20480000</v>
      </c>
    </row>
    <row r="2021" spans="1:10" ht="33.75">
      <c r="A2021" s="27" t="s">
        <v>1262</v>
      </c>
      <c r="B2021" s="300" t="s">
        <v>1177</v>
      </c>
      <c r="C2021" s="47" t="s">
        <v>1178</v>
      </c>
      <c r="D2021" s="569">
        <v>1.6</v>
      </c>
      <c r="E2021" s="569">
        <v>6</v>
      </c>
      <c r="F2021" s="569" t="s">
        <v>974</v>
      </c>
      <c r="G2021" s="73">
        <f t="shared" si="14"/>
        <v>14560000.000000002</v>
      </c>
      <c r="H2021" s="569">
        <v>2</v>
      </c>
      <c r="I2021" s="569" t="s">
        <v>1052</v>
      </c>
      <c r="J2021" s="531">
        <f t="shared" si="13"/>
        <v>14560000.000000002</v>
      </c>
    </row>
    <row r="2022" spans="1:10" ht="56.25">
      <c r="A2022" s="27" t="s">
        <v>1262</v>
      </c>
      <c r="B2022" s="300" t="s">
        <v>1179</v>
      </c>
      <c r="C2022" s="47" t="s">
        <v>1180</v>
      </c>
      <c r="D2022" s="569">
        <v>2</v>
      </c>
      <c r="E2022" s="569">
        <v>5</v>
      </c>
      <c r="F2022" s="569" t="s">
        <v>974</v>
      </c>
      <c r="G2022" s="73">
        <f t="shared" si="14"/>
        <v>15500000</v>
      </c>
      <c r="H2022" s="569">
        <v>1</v>
      </c>
      <c r="I2022" s="569" t="s">
        <v>1174</v>
      </c>
      <c r="J2022" s="531">
        <f t="shared" si="13"/>
        <v>15500000</v>
      </c>
    </row>
    <row r="2023" spans="1:10" ht="33.75">
      <c r="A2023" s="27" t="s">
        <v>1262</v>
      </c>
      <c r="B2023" s="300" t="s">
        <v>1127</v>
      </c>
      <c r="C2023" s="47" t="s">
        <v>1181</v>
      </c>
      <c r="D2023" s="569">
        <v>2.2000000000000002</v>
      </c>
      <c r="E2023" s="569">
        <v>5.5</v>
      </c>
      <c r="F2023" s="569" t="s">
        <v>974</v>
      </c>
      <c r="G2023" s="73">
        <f t="shared" si="14"/>
        <v>18535000</v>
      </c>
      <c r="H2023" s="569">
        <v>2</v>
      </c>
      <c r="I2023" s="569" t="s">
        <v>1052</v>
      </c>
      <c r="J2023" s="531">
        <f t="shared" si="13"/>
        <v>18535000</v>
      </c>
    </row>
    <row r="2024" spans="1:10" ht="33.75">
      <c r="A2024" s="27" t="s">
        <v>1262</v>
      </c>
      <c r="B2024" s="300" t="s">
        <v>1038</v>
      </c>
      <c r="C2024" s="47" t="s">
        <v>1182</v>
      </c>
      <c r="D2024" s="569">
        <v>1.1000000000000001</v>
      </c>
      <c r="E2024" s="569">
        <v>4</v>
      </c>
      <c r="F2024" s="569" t="s">
        <v>974</v>
      </c>
      <c r="G2024" s="73">
        <f t="shared" si="14"/>
        <v>7040000</v>
      </c>
      <c r="H2024" s="569">
        <v>1</v>
      </c>
      <c r="I2024" s="569" t="s">
        <v>1052</v>
      </c>
      <c r="J2024" s="531">
        <f t="shared" si="13"/>
        <v>7040000</v>
      </c>
    </row>
    <row r="2025" spans="1:10" ht="33.75">
      <c r="A2025" s="27" t="s">
        <v>1262</v>
      </c>
      <c r="B2025" s="300" t="s">
        <v>1000</v>
      </c>
      <c r="C2025" s="47" t="s">
        <v>1183</v>
      </c>
      <c r="D2025" s="569">
        <v>2.5</v>
      </c>
      <c r="E2025" s="569">
        <v>6</v>
      </c>
      <c r="F2025" s="569" t="s">
        <v>974</v>
      </c>
      <c r="G2025" s="73">
        <f t="shared" si="14"/>
        <v>22750000</v>
      </c>
      <c r="H2025" s="569">
        <v>1</v>
      </c>
      <c r="I2025" s="569" t="s">
        <v>1052</v>
      </c>
      <c r="J2025" s="531">
        <f t="shared" si="13"/>
        <v>22750000</v>
      </c>
    </row>
    <row r="2026" spans="1:10" ht="63.75">
      <c r="A2026" s="27" t="s">
        <v>1262</v>
      </c>
      <c r="B2026" s="300" t="s">
        <v>1184</v>
      </c>
      <c r="C2026" s="47" t="s">
        <v>1185</v>
      </c>
      <c r="D2026" s="569">
        <v>3.5</v>
      </c>
      <c r="E2026" s="569">
        <v>3</v>
      </c>
      <c r="F2026" s="569" t="s">
        <v>974</v>
      </c>
      <c r="G2026" s="73">
        <f t="shared" si="14"/>
        <v>17675000</v>
      </c>
      <c r="H2026" s="569">
        <v>2</v>
      </c>
      <c r="I2026" s="569" t="s">
        <v>1186</v>
      </c>
      <c r="J2026" s="531">
        <f t="shared" si="13"/>
        <v>17675000</v>
      </c>
    </row>
    <row r="2027" spans="1:10" ht="33.75">
      <c r="A2027" s="27" t="s">
        <v>1055</v>
      </c>
      <c r="B2027" s="300" t="s">
        <v>1187</v>
      </c>
      <c r="C2027" s="47" t="s">
        <v>1188</v>
      </c>
      <c r="D2027" s="569">
        <v>0.4</v>
      </c>
      <c r="E2027" s="569">
        <v>0.5</v>
      </c>
      <c r="F2027" s="569" t="s">
        <v>974</v>
      </c>
      <c r="G2027" s="73">
        <f t="shared" si="14"/>
        <v>670000</v>
      </c>
      <c r="H2027" s="569">
        <v>2</v>
      </c>
      <c r="I2027" s="569" t="s">
        <v>1052</v>
      </c>
      <c r="J2027" s="531">
        <f t="shared" si="13"/>
        <v>670000</v>
      </c>
    </row>
    <row r="2028" spans="1:10" ht="33.75">
      <c r="A2028" s="27" t="s">
        <v>1055</v>
      </c>
      <c r="B2028" s="300" t="s">
        <v>1189</v>
      </c>
      <c r="C2028" s="47" t="s">
        <v>1190</v>
      </c>
      <c r="D2028" s="569">
        <v>6.3</v>
      </c>
      <c r="E2028" s="569">
        <v>3.5</v>
      </c>
      <c r="F2028" s="569" t="s">
        <v>974</v>
      </c>
      <c r="G2028" s="73">
        <f t="shared" si="14"/>
        <v>36067500</v>
      </c>
      <c r="H2028" s="569">
        <v>2</v>
      </c>
      <c r="I2028" s="569" t="s">
        <v>1052</v>
      </c>
      <c r="J2028" s="531">
        <f t="shared" si="13"/>
        <v>36067500</v>
      </c>
    </row>
    <row r="2029" spans="1:10" ht="67.5">
      <c r="A2029" s="27" t="s">
        <v>1055</v>
      </c>
      <c r="B2029" s="300" t="s">
        <v>1191</v>
      </c>
      <c r="C2029" s="47" t="s">
        <v>1192</v>
      </c>
      <c r="D2029" s="569">
        <v>7.5</v>
      </c>
      <c r="E2029" s="569">
        <v>4</v>
      </c>
      <c r="F2029" s="569" t="s">
        <v>974</v>
      </c>
      <c r="G2029" s="73">
        <f t="shared" si="14"/>
        <v>48000000</v>
      </c>
      <c r="H2029" s="569">
        <v>3</v>
      </c>
      <c r="I2029" s="569" t="s">
        <v>1193</v>
      </c>
      <c r="J2029" s="531">
        <f t="shared" si="13"/>
        <v>48000000</v>
      </c>
    </row>
    <row r="2030" spans="1:10" ht="56.25">
      <c r="A2030" s="27" t="s">
        <v>1268</v>
      </c>
      <c r="B2030" s="300" t="s">
        <v>1195</v>
      </c>
      <c r="C2030" s="47" t="s">
        <v>1196</v>
      </c>
      <c r="D2030" s="569">
        <v>2.76</v>
      </c>
      <c r="E2030" s="569">
        <v>6.5</v>
      </c>
      <c r="F2030" s="569" t="s">
        <v>1197</v>
      </c>
      <c r="G2030" s="73">
        <f t="shared" si="14"/>
        <v>26978999.999999993</v>
      </c>
      <c r="H2030" s="569">
        <v>1</v>
      </c>
      <c r="I2030" s="569" t="s">
        <v>1099</v>
      </c>
      <c r="J2030" s="531">
        <f t="shared" si="13"/>
        <v>26978999.999999993</v>
      </c>
    </row>
    <row r="2031" spans="1:10" ht="33.75">
      <c r="A2031" s="27" t="s">
        <v>1268</v>
      </c>
      <c r="B2031" s="300" t="s">
        <v>1198</v>
      </c>
      <c r="C2031" s="47" t="s">
        <v>1199</v>
      </c>
      <c r="D2031" s="569">
        <v>14.6</v>
      </c>
      <c r="E2031" s="569">
        <v>6</v>
      </c>
      <c r="F2031" s="569" t="s">
        <v>974</v>
      </c>
      <c r="G2031" s="73">
        <f t="shared" si="14"/>
        <v>132859999.99999999</v>
      </c>
      <c r="H2031" s="569">
        <v>1</v>
      </c>
      <c r="I2031" s="569" t="s">
        <v>1052</v>
      </c>
      <c r="J2031" s="531">
        <f t="shared" si="13"/>
        <v>132859999.99999999</v>
      </c>
    </row>
    <row r="2032" spans="1:10" ht="33.75">
      <c r="A2032" s="27" t="s">
        <v>1268</v>
      </c>
      <c r="B2032" s="300" t="s">
        <v>1200</v>
      </c>
      <c r="C2032" s="47" t="s">
        <v>1199</v>
      </c>
      <c r="D2032" s="569">
        <v>14.6</v>
      </c>
      <c r="E2032" s="569">
        <v>6</v>
      </c>
      <c r="F2032" s="569" t="s">
        <v>974</v>
      </c>
      <c r="G2032" s="73">
        <f t="shared" si="14"/>
        <v>132859999.99999999</v>
      </c>
      <c r="H2032" s="569">
        <v>2</v>
      </c>
      <c r="I2032" s="569" t="s">
        <v>1052</v>
      </c>
      <c r="J2032" s="531">
        <f t="shared" si="13"/>
        <v>132859999.99999999</v>
      </c>
    </row>
    <row r="2033" spans="1:10" ht="90">
      <c r="A2033" s="27" t="s">
        <v>1268</v>
      </c>
      <c r="B2033" s="300" t="s">
        <v>1201</v>
      </c>
      <c r="C2033" s="47" t="s">
        <v>1199</v>
      </c>
      <c r="D2033" s="569">
        <v>14.6</v>
      </c>
      <c r="E2033" s="569">
        <v>6</v>
      </c>
      <c r="F2033" s="569" t="s">
        <v>974</v>
      </c>
      <c r="G2033" s="73">
        <f t="shared" si="14"/>
        <v>132859999.99999999</v>
      </c>
      <c r="H2033" s="569">
        <v>2</v>
      </c>
      <c r="I2033" s="569" t="s">
        <v>1202</v>
      </c>
      <c r="J2033" s="531">
        <f t="shared" si="13"/>
        <v>132859999.99999999</v>
      </c>
    </row>
    <row r="2034" spans="1:10" ht="33.75">
      <c r="A2034" s="27" t="s">
        <v>1268</v>
      </c>
      <c r="B2034" s="300" t="s">
        <v>1203</v>
      </c>
      <c r="C2034" s="45" t="s">
        <v>1204</v>
      </c>
      <c r="D2034" s="569">
        <v>4.5</v>
      </c>
      <c r="E2034" s="569">
        <v>5</v>
      </c>
      <c r="F2034" s="569" t="s">
        <v>974</v>
      </c>
      <c r="G2034" s="73">
        <f t="shared" si="14"/>
        <v>34875000</v>
      </c>
      <c r="H2034" s="569">
        <v>1</v>
      </c>
      <c r="I2034" s="569" t="s">
        <v>1052</v>
      </c>
      <c r="J2034" s="531">
        <f t="shared" si="13"/>
        <v>34875000</v>
      </c>
    </row>
    <row r="2035" spans="1:10" ht="33.75">
      <c r="A2035" s="27" t="s">
        <v>1268</v>
      </c>
      <c r="B2035" s="300" t="s">
        <v>1205</v>
      </c>
      <c r="C2035" s="45" t="s">
        <v>1206</v>
      </c>
      <c r="D2035" s="569">
        <v>0.6</v>
      </c>
      <c r="E2035" s="569">
        <v>4</v>
      </c>
      <c r="F2035" s="569" t="s">
        <v>974</v>
      </c>
      <c r="G2035" s="73">
        <f t="shared" si="14"/>
        <v>3840000</v>
      </c>
      <c r="H2035" s="569">
        <v>2</v>
      </c>
      <c r="I2035" s="569" t="s">
        <v>1052</v>
      </c>
      <c r="J2035" s="531">
        <f t="shared" si="13"/>
        <v>3840000</v>
      </c>
    </row>
    <row r="2036" spans="1:10" ht="56.25">
      <c r="A2036" s="27" t="s">
        <v>1268</v>
      </c>
      <c r="B2036" s="300" t="s">
        <v>1207</v>
      </c>
      <c r="C2036" s="45" t="s">
        <v>1208</v>
      </c>
      <c r="D2036" s="569">
        <v>1.5</v>
      </c>
      <c r="E2036" s="569">
        <v>2</v>
      </c>
      <c r="F2036" s="569" t="s">
        <v>974</v>
      </c>
      <c r="G2036" s="73">
        <f t="shared" si="14"/>
        <v>5550000</v>
      </c>
      <c r="H2036" s="569">
        <v>2</v>
      </c>
      <c r="I2036" s="569" t="s">
        <v>1209</v>
      </c>
      <c r="J2036" s="531">
        <f t="shared" si="13"/>
        <v>5550000</v>
      </c>
    </row>
    <row r="2037" spans="1:10" ht="45">
      <c r="A2037" s="27" t="s">
        <v>1268</v>
      </c>
      <c r="B2037" s="300" t="s">
        <v>621</v>
      </c>
      <c r="C2037" s="45" t="s">
        <v>1210</v>
      </c>
      <c r="D2037" s="569">
        <v>1.9</v>
      </c>
      <c r="E2037" s="569">
        <v>4.5</v>
      </c>
      <c r="F2037" s="569" t="s">
        <v>974</v>
      </c>
      <c r="G2037" s="73">
        <f t="shared" si="14"/>
        <v>13442499.999999998</v>
      </c>
      <c r="H2037" s="569">
        <v>1</v>
      </c>
      <c r="I2037" s="569" t="s">
        <v>1211</v>
      </c>
      <c r="J2037" s="531">
        <f t="shared" si="13"/>
        <v>13442499.999999998</v>
      </c>
    </row>
    <row r="2038" spans="1:10" ht="45">
      <c r="A2038" s="27" t="s">
        <v>1268</v>
      </c>
      <c r="B2038" s="300" t="s">
        <v>1212</v>
      </c>
      <c r="C2038" s="45" t="s">
        <v>1213</v>
      </c>
      <c r="D2038" s="569">
        <v>5.2</v>
      </c>
      <c r="E2038" s="569">
        <v>5</v>
      </c>
      <c r="F2038" s="569" t="s">
        <v>974</v>
      </c>
      <c r="G2038" s="73">
        <f t="shared" si="14"/>
        <v>40300000</v>
      </c>
      <c r="H2038" s="569">
        <v>1</v>
      </c>
      <c r="I2038" s="569" t="s">
        <v>1078</v>
      </c>
      <c r="J2038" s="531">
        <f t="shared" si="13"/>
        <v>40300000</v>
      </c>
    </row>
    <row r="2039" spans="1:10" ht="56.25">
      <c r="A2039" s="27" t="s">
        <v>1268</v>
      </c>
      <c r="B2039" s="300" t="s">
        <v>1214</v>
      </c>
      <c r="C2039" s="45" t="s">
        <v>1215</v>
      </c>
      <c r="D2039" s="569">
        <v>1.9</v>
      </c>
      <c r="E2039" s="569">
        <v>4</v>
      </c>
      <c r="F2039" s="569" t="s">
        <v>974</v>
      </c>
      <c r="G2039" s="73">
        <f t="shared" si="14"/>
        <v>12160000</v>
      </c>
      <c r="H2039" s="569">
        <v>2</v>
      </c>
      <c r="I2039" s="569" t="s">
        <v>1209</v>
      </c>
      <c r="J2039" s="531">
        <f t="shared" si="13"/>
        <v>12160000</v>
      </c>
    </row>
    <row r="2040" spans="1:10" ht="33.75">
      <c r="A2040" s="27" t="s">
        <v>1268</v>
      </c>
      <c r="B2040" s="300" t="s">
        <v>621</v>
      </c>
      <c r="C2040" s="45" t="s">
        <v>1216</v>
      </c>
      <c r="D2040" s="569">
        <v>2.7</v>
      </c>
      <c r="E2040" s="569">
        <v>6</v>
      </c>
      <c r="F2040" s="569" t="s">
        <v>974</v>
      </c>
      <c r="G2040" s="73">
        <f t="shared" si="14"/>
        <v>24570000</v>
      </c>
      <c r="H2040" s="569">
        <v>1</v>
      </c>
      <c r="I2040" s="569" t="s">
        <v>1052</v>
      </c>
      <c r="J2040" s="531">
        <f t="shared" si="13"/>
        <v>24570000</v>
      </c>
    </row>
    <row r="2041" spans="1:10" ht="33.75">
      <c r="A2041" s="27" t="s">
        <v>1268</v>
      </c>
      <c r="B2041" s="300" t="s">
        <v>1217</v>
      </c>
      <c r="C2041" s="45" t="s">
        <v>1216</v>
      </c>
      <c r="D2041" s="569">
        <v>2.7</v>
      </c>
      <c r="E2041" s="569">
        <v>6</v>
      </c>
      <c r="F2041" s="569" t="s">
        <v>974</v>
      </c>
      <c r="G2041" s="73">
        <f t="shared" si="14"/>
        <v>24570000</v>
      </c>
      <c r="H2041" s="569">
        <v>2</v>
      </c>
      <c r="I2041" s="569" t="s">
        <v>1052</v>
      </c>
      <c r="J2041" s="531">
        <f t="shared" si="13"/>
        <v>24570000</v>
      </c>
    </row>
    <row r="2042" spans="1:10" ht="33.75">
      <c r="A2042" s="27" t="s">
        <v>1268</v>
      </c>
      <c r="B2042" s="300" t="s">
        <v>1217</v>
      </c>
      <c r="C2042" s="45" t="s">
        <v>1218</v>
      </c>
      <c r="D2042" s="569">
        <v>1.2</v>
      </c>
      <c r="E2042" s="569">
        <v>4</v>
      </c>
      <c r="F2042" s="569" t="s">
        <v>974</v>
      </c>
      <c r="G2042" s="73">
        <f t="shared" si="14"/>
        <v>7680000</v>
      </c>
      <c r="H2042" s="569">
        <v>2</v>
      </c>
      <c r="I2042" s="569" t="s">
        <v>1052</v>
      </c>
      <c r="J2042" s="531">
        <f t="shared" si="13"/>
        <v>7680000</v>
      </c>
    </row>
    <row r="2043" spans="1:10" ht="45">
      <c r="A2043" s="27" t="s">
        <v>1268</v>
      </c>
      <c r="B2043" s="300" t="s">
        <v>1219</v>
      </c>
      <c r="C2043" s="45" t="s">
        <v>1142</v>
      </c>
      <c r="D2043" s="569">
        <v>3.5</v>
      </c>
      <c r="E2043" s="569">
        <v>4</v>
      </c>
      <c r="F2043" s="569" t="s">
        <v>974</v>
      </c>
      <c r="G2043" s="73">
        <f t="shared" si="14"/>
        <v>22400000</v>
      </c>
      <c r="H2043" s="569">
        <v>2</v>
      </c>
      <c r="I2043" s="569" t="s">
        <v>1078</v>
      </c>
      <c r="J2043" s="531">
        <f t="shared" si="13"/>
        <v>22400000</v>
      </c>
    </row>
    <row r="2044" spans="1:10" ht="45">
      <c r="A2044" s="27" t="s">
        <v>1268</v>
      </c>
      <c r="B2044" s="300" t="s">
        <v>1220</v>
      </c>
      <c r="C2044" s="45" t="s">
        <v>1157</v>
      </c>
      <c r="D2044" s="569">
        <v>0.9</v>
      </c>
      <c r="E2044" s="569">
        <v>5</v>
      </c>
      <c r="F2044" s="569" t="s">
        <v>974</v>
      </c>
      <c r="G2044" s="73">
        <f t="shared" si="14"/>
        <v>6974999.9999999991</v>
      </c>
      <c r="H2044" s="569">
        <v>2</v>
      </c>
      <c r="I2044" s="569" t="s">
        <v>1221</v>
      </c>
      <c r="J2044" s="531">
        <f t="shared" si="13"/>
        <v>6974999.9999999991</v>
      </c>
    </row>
    <row r="2045" spans="1:10" ht="45">
      <c r="A2045" s="27" t="s">
        <v>1268</v>
      </c>
      <c r="B2045" s="300" t="s">
        <v>1222</v>
      </c>
      <c r="C2045" s="45" t="s">
        <v>1223</v>
      </c>
      <c r="D2045" s="569">
        <v>1.9</v>
      </c>
      <c r="E2045" s="569">
        <v>5</v>
      </c>
      <c r="F2045" s="569" t="s">
        <v>974</v>
      </c>
      <c r="G2045" s="73">
        <f t="shared" si="14"/>
        <v>14725000</v>
      </c>
      <c r="H2045" s="569">
        <v>2</v>
      </c>
      <c r="I2045" s="569" t="s">
        <v>1224</v>
      </c>
      <c r="J2045" s="531">
        <f t="shared" si="13"/>
        <v>14725000</v>
      </c>
    </row>
    <row r="2046" spans="1:10" ht="45">
      <c r="A2046" s="27" t="s">
        <v>1268</v>
      </c>
      <c r="B2046" s="300" t="s">
        <v>1225</v>
      </c>
      <c r="C2046" s="45" t="s">
        <v>1226</v>
      </c>
      <c r="D2046" s="569"/>
      <c r="E2046" s="569"/>
      <c r="F2046" s="569" t="s">
        <v>974</v>
      </c>
      <c r="G2046" s="73">
        <v>45000000</v>
      </c>
      <c r="H2046" s="569">
        <v>2</v>
      </c>
      <c r="I2046" s="569" t="s">
        <v>1224</v>
      </c>
      <c r="J2046" s="531">
        <f t="shared" si="13"/>
        <v>45000000</v>
      </c>
    </row>
    <row r="2047" spans="1:10" ht="45">
      <c r="A2047" s="27" t="s">
        <v>1267</v>
      </c>
      <c r="B2047" s="300" t="s">
        <v>1227</v>
      </c>
      <c r="C2047" s="45" t="s">
        <v>1146</v>
      </c>
      <c r="D2047" s="569">
        <v>5.8</v>
      </c>
      <c r="E2047" s="569">
        <v>4</v>
      </c>
      <c r="F2047" s="569" t="s">
        <v>974</v>
      </c>
      <c r="G2047" s="73">
        <f t="shared" si="14"/>
        <v>37120000</v>
      </c>
      <c r="H2047" s="569">
        <v>1</v>
      </c>
      <c r="I2047" s="569" t="s">
        <v>1224</v>
      </c>
      <c r="J2047" s="531">
        <f t="shared" si="13"/>
        <v>37120000</v>
      </c>
    </row>
    <row r="2048" spans="1:10" ht="45">
      <c r="A2048" s="27" t="s">
        <v>1267</v>
      </c>
      <c r="B2048" s="300" t="s">
        <v>1228</v>
      </c>
      <c r="C2048" s="45" t="s">
        <v>1226</v>
      </c>
      <c r="D2048" s="569"/>
      <c r="E2048" s="569"/>
      <c r="F2048" s="569" t="s">
        <v>974</v>
      </c>
      <c r="G2048" s="73">
        <v>25000000</v>
      </c>
      <c r="H2048" s="569">
        <v>2</v>
      </c>
      <c r="I2048" s="569" t="s">
        <v>1224</v>
      </c>
      <c r="J2048" s="531">
        <f t="shared" si="13"/>
        <v>25000000</v>
      </c>
    </row>
    <row r="2049" spans="1:10" ht="45">
      <c r="A2049" s="27" t="s">
        <v>1269</v>
      </c>
      <c r="B2049" s="300" t="s">
        <v>323</v>
      </c>
      <c r="C2049" s="45" t="s">
        <v>1229</v>
      </c>
      <c r="D2049" s="569">
        <v>3.7</v>
      </c>
      <c r="E2049" s="569">
        <v>4</v>
      </c>
      <c r="F2049" s="569" t="s">
        <v>974</v>
      </c>
      <c r="G2049" s="73">
        <f t="shared" ref="G2049:G2066" si="15">D2049*1000000+(D2049*E2049*0.15*9000*1000)</f>
        <v>23680000</v>
      </c>
      <c r="H2049" s="569">
        <v>2</v>
      </c>
      <c r="I2049" s="569" t="s">
        <v>1224</v>
      </c>
      <c r="J2049" s="531">
        <f t="shared" si="13"/>
        <v>23680000</v>
      </c>
    </row>
    <row r="2050" spans="1:10" ht="45">
      <c r="A2050" s="27" t="s">
        <v>1075</v>
      </c>
      <c r="B2050" s="300" t="s">
        <v>1230</v>
      </c>
      <c r="C2050" s="45" t="s">
        <v>1231</v>
      </c>
      <c r="D2050" s="569">
        <v>0.5</v>
      </c>
      <c r="E2050" s="569">
        <v>10</v>
      </c>
      <c r="F2050" s="569" t="s">
        <v>974</v>
      </c>
      <c r="G2050" s="73">
        <f t="shared" si="15"/>
        <v>7250000</v>
      </c>
      <c r="H2050" s="569">
        <v>2</v>
      </c>
      <c r="I2050" s="569" t="s">
        <v>1224</v>
      </c>
      <c r="J2050" s="531">
        <f t="shared" si="13"/>
        <v>7250000</v>
      </c>
    </row>
    <row r="2051" spans="1:10" ht="56.25">
      <c r="A2051" s="27" t="s">
        <v>1262</v>
      </c>
      <c r="B2051" s="300" t="s">
        <v>1169</v>
      </c>
      <c r="C2051" s="45" t="s">
        <v>996</v>
      </c>
      <c r="D2051" s="569">
        <v>12</v>
      </c>
      <c r="E2051" s="569">
        <v>6</v>
      </c>
      <c r="F2051" s="569" t="s">
        <v>974</v>
      </c>
      <c r="G2051" s="73">
        <f t="shared" si="15"/>
        <v>109199999.99999999</v>
      </c>
      <c r="H2051" s="569">
        <v>3</v>
      </c>
      <c r="I2051" s="569" t="s">
        <v>1232</v>
      </c>
      <c r="J2051" s="531">
        <f t="shared" si="13"/>
        <v>109199999.99999999</v>
      </c>
    </row>
    <row r="2052" spans="1:10" ht="56.25">
      <c r="A2052" s="27" t="s">
        <v>1262</v>
      </c>
      <c r="B2052" s="300" t="s">
        <v>1166</v>
      </c>
      <c r="C2052" s="45" t="s">
        <v>1167</v>
      </c>
      <c r="D2052" s="569">
        <v>5.5</v>
      </c>
      <c r="E2052" s="569">
        <v>4.5</v>
      </c>
      <c r="F2052" s="569" t="s">
        <v>974</v>
      </c>
      <c r="G2052" s="73">
        <f t="shared" si="15"/>
        <v>38912500</v>
      </c>
      <c r="H2052" s="569">
        <v>3</v>
      </c>
      <c r="I2052" s="569" t="s">
        <v>1232</v>
      </c>
      <c r="J2052" s="531">
        <f t="shared" si="13"/>
        <v>38912500</v>
      </c>
    </row>
    <row r="2053" spans="1:10" ht="45">
      <c r="A2053" s="27" t="s">
        <v>1262</v>
      </c>
      <c r="B2053" s="300" t="s">
        <v>1233</v>
      </c>
      <c r="C2053" s="45" t="s">
        <v>1234</v>
      </c>
      <c r="D2053" s="569">
        <v>1.7</v>
      </c>
      <c r="E2053" s="569">
        <v>4</v>
      </c>
      <c r="F2053" s="569" t="s">
        <v>974</v>
      </c>
      <c r="G2053" s="73">
        <f t="shared" si="15"/>
        <v>10880000</v>
      </c>
      <c r="H2053" s="569">
        <v>3</v>
      </c>
      <c r="I2053" s="569" t="s">
        <v>1235</v>
      </c>
      <c r="J2053" s="531">
        <f t="shared" si="13"/>
        <v>10880000</v>
      </c>
    </row>
    <row r="2054" spans="1:10" ht="45">
      <c r="A2054" s="27" t="s">
        <v>1267</v>
      </c>
      <c r="B2054" s="300" t="s">
        <v>1154</v>
      </c>
      <c r="C2054" s="45" t="s">
        <v>1236</v>
      </c>
      <c r="D2054" s="569">
        <v>1.9</v>
      </c>
      <c r="E2054" s="569">
        <v>4</v>
      </c>
      <c r="F2054" s="569" t="s">
        <v>974</v>
      </c>
      <c r="G2054" s="73">
        <f t="shared" si="15"/>
        <v>12160000</v>
      </c>
      <c r="H2054" s="569">
        <v>2</v>
      </c>
      <c r="I2054" s="569" t="s">
        <v>1224</v>
      </c>
      <c r="J2054" s="531">
        <f t="shared" si="13"/>
        <v>12160000</v>
      </c>
    </row>
    <row r="2055" spans="1:10" ht="45">
      <c r="A2055" s="27" t="s">
        <v>1263</v>
      </c>
      <c r="B2055" s="300" t="s">
        <v>1237</v>
      </c>
      <c r="C2055" s="45" t="s">
        <v>1238</v>
      </c>
      <c r="D2055" s="569">
        <v>2.5</v>
      </c>
      <c r="E2055" s="569">
        <v>4</v>
      </c>
      <c r="F2055" s="569" t="s">
        <v>974</v>
      </c>
      <c r="G2055" s="73">
        <f t="shared" si="15"/>
        <v>16000000</v>
      </c>
      <c r="H2055" s="569">
        <v>3</v>
      </c>
      <c r="I2055" s="569" t="s">
        <v>1224</v>
      </c>
      <c r="J2055" s="531">
        <f t="shared" si="13"/>
        <v>16000000</v>
      </c>
    </row>
    <row r="2056" spans="1:10" ht="45">
      <c r="A2056" s="27" t="s">
        <v>1055</v>
      </c>
      <c r="B2056" s="300" t="s">
        <v>1239</v>
      </c>
      <c r="C2056" s="45" t="s">
        <v>1071</v>
      </c>
      <c r="D2056" s="569">
        <v>2.5</v>
      </c>
      <c r="E2056" s="569">
        <v>6</v>
      </c>
      <c r="F2056" s="569" t="s">
        <v>974</v>
      </c>
      <c r="G2056" s="73">
        <f t="shared" si="15"/>
        <v>22750000</v>
      </c>
      <c r="H2056" s="569">
        <v>2</v>
      </c>
      <c r="I2056" s="569" t="s">
        <v>1224</v>
      </c>
      <c r="J2056" s="531">
        <f t="shared" ref="J2056:J2063" si="16">G2056</f>
        <v>22750000</v>
      </c>
    </row>
    <row r="2057" spans="1:10" ht="45">
      <c r="A2057" s="27" t="s">
        <v>1055</v>
      </c>
      <c r="B2057" s="300" t="s">
        <v>1240</v>
      </c>
      <c r="C2057" s="45" t="s">
        <v>1241</v>
      </c>
      <c r="D2057" s="569">
        <v>6</v>
      </c>
      <c r="E2057" s="569">
        <v>6</v>
      </c>
      <c r="F2057" s="569" t="s">
        <v>974</v>
      </c>
      <c r="G2057" s="73">
        <f t="shared" si="15"/>
        <v>54599999.999999993</v>
      </c>
      <c r="H2057" s="569">
        <v>3</v>
      </c>
      <c r="I2057" s="569" t="s">
        <v>1224</v>
      </c>
      <c r="J2057" s="531">
        <f t="shared" si="16"/>
        <v>54599999.999999993</v>
      </c>
    </row>
    <row r="2058" spans="1:10" ht="45">
      <c r="A2058" s="27" t="s">
        <v>1055</v>
      </c>
      <c r="B2058" s="300" t="s">
        <v>1242</v>
      </c>
      <c r="C2058" s="45" t="s">
        <v>1243</v>
      </c>
      <c r="D2058" s="569">
        <v>1.3</v>
      </c>
      <c r="E2058" s="569">
        <v>4</v>
      </c>
      <c r="F2058" s="569" t="s">
        <v>974</v>
      </c>
      <c r="G2058" s="73">
        <f t="shared" si="15"/>
        <v>8320000</v>
      </c>
      <c r="H2058" s="569">
        <v>1</v>
      </c>
      <c r="I2058" s="569" t="s">
        <v>1224</v>
      </c>
      <c r="J2058" s="531">
        <f t="shared" si="16"/>
        <v>8320000</v>
      </c>
    </row>
    <row r="2059" spans="1:10" ht="45">
      <c r="A2059" s="27" t="s">
        <v>1055</v>
      </c>
      <c r="B2059" s="300" t="s">
        <v>1244</v>
      </c>
      <c r="C2059" s="45" t="s">
        <v>1245</v>
      </c>
      <c r="D2059" s="569">
        <v>0.7</v>
      </c>
      <c r="E2059" s="569">
        <v>4</v>
      </c>
      <c r="F2059" s="569" t="s">
        <v>974</v>
      </c>
      <c r="G2059" s="73">
        <f t="shared" si="15"/>
        <v>4480000</v>
      </c>
      <c r="H2059" s="569">
        <v>1</v>
      </c>
      <c r="I2059" s="569" t="s">
        <v>1224</v>
      </c>
      <c r="J2059" s="531">
        <f t="shared" si="16"/>
        <v>4480000</v>
      </c>
    </row>
    <row r="2060" spans="1:10" ht="45">
      <c r="A2060" s="27" t="s">
        <v>1055</v>
      </c>
      <c r="B2060" s="300" t="s">
        <v>1246</v>
      </c>
      <c r="C2060" s="45" t="s">
        <v>1247</v>
      </c>
      <c r="D2060" s="569">
        <v>5</v>
      </c>
      <c r="E2060" s="569">
        <v>6</v>
      </c>
      <c r="F2060" s="569" t="s">
        <v>974</v>
      </c>
      <c r="G2060" s="73">
        <f t="shared" si="15"/>
        <v>45500000</v>
      </c>
      <c r="H2060" s="569">
        <v>1</v>
      </c>
      <c r="I2060" s="569" t="s">
        <v>1224</v>
      </c>
      <c r="J2060" s="531">
        <f t="shared" si="16"/>
        <v>45500000</v>
      </c>
    </row>
    <row r="2061" spans="1:10" ht="45">
      <c r="A2061" s="27" t="s">
        <v>1075</v>
      </c>
      <c r="B2061" s="300" t="s">
        <v>1248</v>
      </c>
      <c r="C2061" s="45" t="s">
        <v>1218</v>
      </c>
      <c r="D2061" s="569">
        <v>1.2</v>
      </c>
      <c r="E2061" s="569">
        <v>4</v>
      </c>
      <c r="F2061" s="569" t="s">
        <v>974</v>
      </c>
      <c r="G2061" s="73">
        <f t="shared" si="15"/>
        <v>7680000</v>
      </c>
      <c r="H2061" s="569">
        <v>2</v>
      </c>
      <c r="I2061" s="569" t="s">
        <v>1224</v>
      </c>
      <c r="J2061" s="531">
        <f t="shared" si="16"/>
        <v>7680000</v>
      </c>
    </row>
    <row r="2062" spans="1:10" ht="45">
      <c r="A2062" s="27" t="s">
        <v>1270</v>
      </c>
      <c r="B2062" s="300" t="s">
        <v>1249</v>
      </c>
      <c r="C2062" s="45" t="s">
        <v>1250</v>
      </c>
      <c r="D2062" s="569">
        <v>1</v>
      </c>
      <c r="E2062" s="569">
        <v>4</v>
      </c>
      <c r="F2062" s="569" t="s">
        <v>974</v>
      </c>
      <c r="G2062" s="73">
        <f t="shared" si="15"/>
        <v>6400000</v>
      </c>
      <c r="H2062" s="569">
        <v>2</v>
      </c>
      <c r="I2062" s="569" t="s">
        <v>1224</v>
      </c>
      <c r="J2062" s="531">
        <f t="shared" si="16"/>
        <v>6400000</v>
      </c>
    </row>
    <row r="2063" spans="1:10" ht="56.25">
      <c r="A2063" s="27" t="s">
        <v>1055</v>
      </c>
      <c r="B2063" s="300" t="s">
        <v>1251</v>
      </c>
      <c r="C2063" s="45" t="s">
        <v>1252</v>
      </c>
      <c r="D2063" s="569">
        <v>1.7</v>
      </c>
      <c r="E2063" s="569">
        <v>3</v>
      </c>
      <c r="F2063" s="569" t="s">
        <v>974</v>
      </c>
      <c r="G2063" s="73">
        <f t="shared" si="15"/>
        <v>8585000</v>
      </c>
      <c r="H2063" s="569">
        <v>2</v>
      </c>
      <c r="I2063" s="569" t="s">
        <v>1253</v>
      </c>
      <c r="J2063" s="531">
        <f t="shared" si="16"/>
        <v>8585000</v>
      </c>
    </row>
    <row r="2064" spans="1:10" ht="67.5">
      <c r="A2064" s="27" t="s">
        <v>1262</v>
      </c>
      <c r="B2064" s="300" t="s">
        <v>1254</v>
      </c>
      <c r="C2064" s="45" t="s">
        <v>1255</v>
      </c>
      <c r="D2064" s="569">
        <v>6.7</v>
      </c>
      <c r="E2064" s="569">
        <v>4.5</v>
      </c>
      <c r="F2064" s="569" t="s">
        <v>974</v>
      </c>
      <c r="G2064" s="73">
        <f>D2064*1000000+(D2064*E2064*0.15*9000*1000)+20000000</f>
        <v>67402500</v>
      </c>
      <c r="H2064" s="569">
        <v>1</v>
      </c>
      <c r="I2064" s="569" t="s">
        <v>1256</v>
      </c>
      <c r="J2064" s="531">
        <f>G2064</f>
        <v>67402500</v>
      </c>
    </row>
    <row r="2065" spans="1:10" ht="45">
      <c r="A2065" s="27" t="s">
        <v>1263</v>
      </c>
      <c r="B2065" s="300" t="s">
        <v>1257</v>
      </c>
      <c r="C2065" s="45" t="s">
        <v>1258</v>
      </c>
      <c r="D2065" s="569">
        <v>1.5</v>
      </c>
      <c r="E2065" s="569">
        <v>2</v>
      </c>
      <c r="F2065" s="569" t="s">
        <v>974</v>
      </c>
      <c r="G2065" s="73">
        <f t="shared" si="15"/>
        <v>5550000</v>
      </c>
      <c r="H2065" s="569">
        <v>3</v>
      </c>
      <c r="I2065" s="569" t="s">
        <v>1224</v>
      </c>
      <c r="J2065" s="531">
        <f>G2065</f>
        <v>5550000</v>
      </c>
    </row>
    <row r="2066" spans="1:10" ht="45">
      <c r="A2066" s="27" t="s">
        <v>1271</v>
      </c>
      <c r="B2066" s="300" t="s">
        <v>1259</v>
      </c>
      <c r="C2066" s="45" t="s">
        <v>1260</v>
      </c>
      <c r="D2066" s="569">
        <v>2.5</v>
      </c>
      <c r="E2066" s="569">
        <v>4</v>
      </c>
      <c r="F2066" s="569" t="s">
        <v>974</v>
      </c>
      <c r="G2066" s="73">
        <f t="shared" si="15"/>
        <v>16000000</v>
      </c>
      <c r="H2066" s="569">
        <v>1</v>
      </c>
      <c r="I2066" s="569" t="s">
        <v>1224</v>
      </c>
      <c r="J2066" s="531">
        <f>G2066</f>
        <v>16000000</v>
      </c>
    </row>
    <row r="2067" spans="1:10" ht="90">
      <c r="A2067" s="22">
        <v>3</v>
      </c>
      <c r="B2067" s="26" t="s">
        <v>24521</v>
      </c>
      <c r="C2067" s="569" t="s">
        <v>24522</v>
      </c>
      <c r="D2067" s="569">
        <v>11.595000000000001</v>
      </c>
      <c r="E2067" s="569">
        <v>6.5</v>
      </c>
      <c r="F2067" s="569" t="s">
        <v>24523</v>
      </c>
      <c r="G2067" s="73">
        <v>0</v>
      </c>
      <c r="H2067" s="569" t="s">
        <v>30</v>
      </c>
      <c r="I2067" s="569" t="s">
        <v>24524</v>
      </c>
      <c r="J2067" s="531">
        <v>165000000</v>
      </c>
    </row>
    <row r="2068" spans="1:10" ht="15.75">
      <c r="A2068" s="1013" t="s">
        <v>189</v>
      </c>
      <c r="B2068" s="1014"/>
      <c r="C2068" s="1014"/>
      <c r="D2068" s="1014"/>
      <c r="E2068" s="1014"/>
      <c r="F2068" s="1014"/>
      <c r="G2068" s="550">
        <f>SUM(G1935:G2067)</f>
        <v>4460354500</v>
      </c>
      <c r="H2068" s="564"/>
      <c r="I2068" s="564"/>
      <c r="J2068" s="626">
        <f>SUM(J1935:J2067)</f>
        <v>5469354500</v>
      </c>
    </row>
    <row r="2069" spans="1:10" ht="15.75">
      <c r="A2069" s="1013" t="s">
        <v>1467</v>
      </c>
      <c r="B2069" s="1014"/>
      <c r="C2069" s="1014"/>
      <c r="D2069" s="1014"/>
      <c r="E2069" s="1014"/>
      <c r="F2069" s="1014"/>
      <c r="G2069" s="1014"/>
      <c r="H2069" s="1014"/>
      <c r="I2069" s="1014"/>
      <c r="J2069" s="1015"/>
    </row>
    <row r="2070" spans="1:10" ht="24.75">
      <c r="A2070" s="27" t="s">
        <v>1417</v>
      </c>
      <c r="B2070" s="300" t="s">
        <v>1418</v>
      </c>
      <c r="C2070" s="569" t="s">
        <v>1419</v>
      </c>
      <c r="D2070" s="569">
        <v>2</v>
      </c>
      <c r="E2070" s="569">
        <v>5.5</v>
      </c>
      <c r="F2070" s="600" t="s">
        <v>1420</v>
      </c>
      <c r="G2070" s="73">
        <v>24000000</v>
      </c>
      <c r="H2070" s="569"/>
      <c r="I2070" s="569" t="s">
        <v>1421</v>
      </c>
      <c r="J2070" s="531">
        <v>51684000</v>
      </c>
    </row>
    <row r="2071" spans="1:10" ht="24.75">
      <c r="A2071" s="27" t="s">
        <v>1417</v>
      </c>
      <c r="B2071" s="300" t="s">
        <v>1422</v>
      </c>
      <c r="C2071" s="569" t="s">
        <v>1423</v>
      </c>
      <c r="D2071" s="569">
        <v>5</v>
      </c>
      <c r="E2071" s="569">
        <v>5.5</v>
      </c>
      <c r="F2071" s="600" t="s">
        <v>1420</v>
      </c>
      <c r="G2071" s="73">
        <v>60000000</v>
      </c>
      <c r="H2071" s="569"/>
      <c r="I2071" s="569" t="s">
        <v>1421</v>
      </c>
      <c r="J2071" s="531">
        <v>129210000</v>
      </c>
    </row>
    <row r="2072" spans="1:10" ht="24.75">
      <c r="A2072" s="27" t="s">
        <v>1417</v>
      </c>
      <c r="B2072" s="300" t="s">
        <v>1424</v>
      </c>
      <c r="C2072" s="569" t="s">
        <v>1425</v>
      </c>
      <c r="D2072" s="569">
        <v>1</v>
      </c>
      <c r="E2072" s="569">
        <v>6</v>
      </c>
      <c r="F2072" s="600" t="s">
        <v>1420</v>
      </c>
      <c r="G2072" s="73">
        <v>12000000</v>
      </c>
      <c r="H2072" s="569"/>
      <c r="I2072" s="569" t="s">
        <v>1421</v>
      </c>
      <c r="J2072" s="531">
        <v>25842000</v>
      </c>
    </row>
    <row r="2073" spans="1:10" ht="25.5">
      <c r="A2073" s="27" t="s">
        <v>1417</v>
      </c>
      <c r="B2073" s="300" t="s">
        <v>1426</v>
      </c>
      <c r="C2073" s="569" t="s">
        <v>1427</v>
      </c>
      <c r="D2073" s="569">
        <v>6</v>
      </c>
      <c r="E2073" s="569">
        <v>6</v>
      </c>
      <c r="F2073" s="600" t="s">
        <v>1420</v>
      </c>
      <c r="G2073" s="73">
        <v>72000000</v>
      </c>
      <c r="H2073" s="569"/>
      <c r="I2073" s="569" t="s">
        <v>1421</v>
      </c>
      <c r="J2073" s="531">
        <v>155052000</v>
      </c>
    </row>
    <row r="2074" spans="1:10" ht="24.75">
      <c r="A2074" s="27" t="s">
        <v>1417</v>
      </c>
      <c r="B2074" s="300" t="s">
        <v>1428</v>
      </c>
      <c r="C2074" s="569" t="s">
        <v>1429</v>
      </c>
      <c r="D2074" s="569">
        <v>2.5</v>
      </c>
      <c r="E2074" s="569">
        <v>5.5</v>
      </c>
      <c r="F2074" s="600" t="s">
        <v>1420</v>
      </c>
      <c r="G2074" s="73">
        <v>30000000</v>
      </c>
      <c r="H2074" s="569"/>
      <c r="I2074" s="569" t="s">
        <v>1421</v>
      </c>
      <c r="J2074" s="531">
        <v>64605000</v>
      </c>
    </row>
    <row r="2075" spans="1:10" ht="24.75">
      <c r="A2075" s="27" t="s">
        <v>1417</v>
      </c>
      <c r="B2075" s="300" t="s">
        <v>1430</v>
      </c>
      <c r="C2075" s="569" t="s">
        <v>1431</v>
      </c>
      <c r="D2075" s="569">
        <v>3</v>
      </c>
      <c r="E2075" s="569">
        <v>5.5</v>
      </c>
      <c r="F2075" s="600" t="s">
        <v>1420</v>
      </c>
      <c r="G2075" s="73">
        <v>36000000</v>
      </c>
      <c r="H2075" s="569"/>
      <c r="I2075" s="569" t="s">
        <v>1421</v>
      </c>
      <c r="J2075" s="531">
        <v>77526000</v>
      </c>
    </row>
    <row r="2076" spans="1:10" ht="24.75">
      <c r="A2076" s="27" t="s">
        <v>1417</v>
      </c>
      <c r="B2076" s="300" t="s">
        <v>1432</v>
      </c>
      <c r="C2076" s="569" t="s">
        <v>1433</v>
      </c>
      <c r="D2076" s="569">
        <v>2.5</v>
      </c>
      <c r="E2076" s="569">
        <v>5.5</v>
      </c>
      <c r="F2076" s="600" t="s">
        <v>1420</v>
      </c>
      <c r="G2076" s="73">
        <v>30000000</v>
      </c>
      <c r="H2076" s="569"/>
      <c r="I2076" s="569" t="s">
        <v>1421</v>
      </c>
      <c r="J2076" s="531">
        <v>64605000</v>
      </c>
    </row>
    <row r="2077" spans="1:10" ht="24.75">
      <c r="A2077" s="27" t="s">
        <v>1417</v>
      </c>
      <c r="B2077" s="300" t="s">
        <v>1430</v>
      </c>
      <c r="C2077" s="569" t="s">
        <v>1434</v>
      </c>
      <c r="D2077" s="569">
        <v>3</v>
      </c>
      <c r="E2077" s="569">
        <v>5.5</v>
      </c>
      <c r="F2077" s="600" t="s">
        <v>1420</v>
      </c>
      <c r="G2077" s="73">
        <v>36000000</v>
      </c>
      <c r="H2077" s="569"/>
      <c r="I2077" s="569" t="s">
        <v>1421</v>
      </c>
      <c r="J2077" s="531">
        <v>77526000</v>
      </c>
    </row>
    <row r="2078" spans="1:10" ht="24.75">
      <c r="A2078" s="27" t="s">
        <v>1417</v>
      </c>
      <c r="B2078" s="300" t="s">
        <v>1435</v>
      </c>
      <c r="C2078" s="569" t="s">
        <v>1436</v>
      </c>
      <c r="D2078" s="569">
        <v>6</v>
      </c>
      <c r="E2078" s="569">
        <v>6</v>
      </c>
      <c r="F2078" s="600" t="s">
        <v>1420</v>
      </c>
      <c r="G2078" s="73">
        <v>72000000</v>
      </c>
      <c r="H2078" s="569"/>
      <c r="I2078" s="569" t="s">
        <v>1421</v>
      </c>
      <c r="J2078" s="531">
        <v>155052000</v>
      </c>
    </row>
    <row r="2079" spans="1:10" ht="24.75">
      <c r="A2079" s="27" t="s">
        <v>1417</v>
      </c>
      <c r="B2079" s="300" t="s">
        <v>1437</v>
      </c>
      <c r="C2079" s="569" t="s">
        <v>1438</v>
      </c>
      <c r="D2079" s="569">
        <v>1.5</v>
      </c>
      <c r="E2079" s="569">
        <v>5.5</v>
      </c>
      <c r="F2079" s="600" t="s">
        <v>1420</v>
      </c>
      <c r="G2079" s="73">
        <v>18000000</v>
      </c>
      <c r="H2079" s="569"/>
      <c r="I2079" s="569" t="s">
        <v>1421</v>
      </c>
      <c r="J2079" s="531">
        <v>38763000</v>
      </c>
    </row>
    <row r="2080" spans="1:10" ht="24.75">
      <c r="A2080" s="27" t="s">
        <v>1417</v>
      </c>
      <c r="B2080" s="300" t="s">
        <v>1439</v>
      </c>
      <c r="C2080" s="569" t="s">
        <v>1440</v>
      </c>
      <c r="D2080" s="569">
        <v>1</v>
      </c>
      <c r="E2080" s="569">
        <v>5.5</v>
      </c>
      <c r="F2080" s="600" t="s">
        <v>1420</v>
      </c>
      <c r="G2080" s="73">
        <v>12000000</v>
      </c>
      <c r="H2080" s="569"/>
      <c r="I2080" s="569" t="s">
        <v>1421</v>
      </c>
      <c r="J2080" s="531">
        <v>25842000</v>
      </c>
    </row>
    <row r="2081" spans="1:10" ht="24.75">
      <c r="A2081" s="27" t="s">
        <v>1417</v>
      </c>
      <c r="B2081" s="300" t="s">
        <v>1441</v>
      </c>
      <c r="C2081" s="569" t="s">
        <v>1442</v>
      </c>
      <c r="D2081" s="569">
        <v>4</v>
      </c>
      <c r="E2081" s="569">
        <v>6</v>
      </c>
      <c r="F2081" s="600" t="s">
        <v>1420</v>
      </c>
      <c r="G2081" s="73">
        <v>48000000</v>
      </c>
      <c r="H2081" s="569"/>
      <c r="I2081" s="569" t="s">
        <v>1421</v>
      </c>
      <c r="J2081" s="531">
        <v>103368000</v>
      </c>
    </row>
    <row r="2082" spans="1:10" ht="24.75">
      <c r="A2082" s="27" t="s">
        <v>1417</v>
      </c>
      <c r="B2082" s="300" t="s">
        <v>1443</v>
      </c>
      <c r="C2082" s="569" t="s">
        <v>1444</v>
      </c>
      <c r="D2082" s="569">
        <v>2</v>
      </c>
      <c r="E2082" s="569">
        <v>6</v>
      </c>
      <c r="F2082" s="600" t="s">
        <v>1420</v>
      </c>
      <c r="G2082" s="73">
        <v>24000000</v>
      </c>
      <c r="H2082" s="569"/>
      <c r="I2082" s="569" t="s">
        <v>1421</v>
      </c>
      <c r="J2082" s="531">
        <v>51684000</v>
      </c>
    </row>
    <row r="2083" spans="1:10" ht="24.75">
      <c r="A2083" s="27" t="s">
        <v>1417</v>
      </c>
      <c r="B2083" s="300" t="s">
        <v>1445</v>
      </c>
      <c r="C2083" s="569" t="s">
        <v>1446</v>
      </c>
      <c r="D2083" s="569">
        <v>1.5</v>
      </c>
      <c r="E2083" s="569">
        <v>6</v>
      </c>
      <c r="F2083" s="600" t="s">
        <v>1420</v>
      </c>
      <c r="G2083" s="73">
        <v>18000000</v>
      </c>
      <c r="H2083" s="569"/>
      <c r="I2083" s="569" t="s">
        <v>1421</v>
      </c>
      <c r="J2083" s="531">
        <v>38763000</v>
      </c>
    </row>
    <row r="2084" spans="1:10" ht="24.75">
      <c r="A2084" s="27" t="s">
        <v>1417</v>
      </c>
      <c r="B2084" s="300" t="s">
        <v>1447</v>
      </c>
      <c r="C2084" s="569" t="s">
        <v>1436</v>
      </c>
      <c r="D2084" s="569">
        <v>2</v>
      </c>
      <c r="E2084" s="569">
        <v>5.5</v>
      </c>
      <c r="F2084" s="600" t="s">
        <v>1420</v>
      </c>
      <c r="G2084" s="73">
        <v>24000000</v>
      </c>
      <c r="H2084" s="569"/>
      <c r="I2084" s="569" t="s">
        <v>1421</v>
      </c>
      <c r="J2084" s="531">
        <v>51684000</v>
      </c>
    </row>
    <row r="2085" spans="1:10" ht="24.75">
      <c r="A2085" s="27" t="s">
        <v>1417</v>
      </c>
      <c r="B2085" s="300" t="s">
        <v>1448</v>
      </c>
      <c r="C2085" s="569" t="s">
        <v>1449</v>
      </c>
      <c r="D2085" s="569">
        <v>1.5</v>
      </c>
      <c r="E2085" s="569">
        <v>5</v>
      </c>
      <c r="F2085" s="600" t="s">
        <v>1420</v>
      </c>
      <c r="G2085" s="73">
        <v>18000000</v>
      </c>
      <c r="H2085" s="569"/>
      <c r="I2085" s="569" t="s">
        <v>1421</v>
      </c>
      <c r="J2085" s="531">
        <v>38763000</v>
      </c>
    </row>
    <row r="2086" spans="1:10" ht="24.75">
      <c r="A2086" s="27" t="s">
        <v>1450</v>
      </c>
      <c r="B2086" s="300" t="s">
        <v>1451</v>
      </c>
      <c r="C2086" s="569" t="s">
        <v>1452</v>
      </c>
      <c r="D2086" s="569">
        <v>3</v>
      </c>
      <c r="E2086" s="569">
        <v>5.5</v>
      </c>
      <c r="F2086" s="600" t="s">
        <v>1420</v>
      </c>
      <c r="G2086" s="73">
        <v>36000000</v>
      </c>
      <c r="H2086" s="569"/>
      <c r="I2086" s="569" t="s">
        <v>1421</v>
      </c>
      <c r="J2086" s="531">
        <v>77526000</v>
      </c>
    </row>
    <row r="2087" spans="1:10" ht="24.75">
      <c r="A2087" s="27" t="s">
        <v>1450</v>
      </c>
      <c r="B2087" s="300" t="s">
        <v>1453</v>
      </c>
      <c r="C2087" s="569" t="s">
        <v>1454</v>
      </c>
      <c r="D2087" s="569">
        <v>2</v>
      </c>
      <c r="E2087" s="569">
        <v>5.5</v>
      </c>
      <c r="F2087" s="600" t="s">
        <v>1420</v>
      </c>
      <c r="G2087" s="73">
        <v>24000000</v>
      </c>
      <c r="H2087" s="569"/>
      <c r="I2087" s="569" t="s">
        <v>1421</v>
      </c>
      <c r="J2087" s="531">
        <v>51684000</v>
      </c>
    </row>
    <row r="2088" spans="1:10" ht="24.75">
      <c r="A2088" s="27" t="s">
        <v>1450</v>
      </c>
      <c r="B2088" s="300" t="s">
        <v>1455</v>
      </c>
      <c r="C2088" s="569" t="s">
        <v>1456</v>
      </c>
      <c r="D2088" s="569">
        <v>2.5</v>
      </c>
      <c r="E2088" s="569">
        <v>5</v>
      </c>
      <c r="F2088" s="600" t="s">
        <v>1420</v>
      </c>
      <c r="G2088" s="73">
        <v>30000000</v>
      </c>
      <c r="H2088" s="569"/>
      <c r="I2088" s="569" t="s">
        <v>1421</v>
      </c>
      <c r="J2088" s="531">
        <v>64605000</v>
      </c>
    </row>
    <row r="2089" spans="1:10" ht="24.75">
      <c r="A2089" s="27" t="s">
        <v>1450</v>
      </c>
      <c r="B2089" s="300" t="s">
        <v>1457</v>
      </c>
      <c r="C2089" s="569" t="s">
        <v>1458</v>
      </c>
      <c r="D2089" s="569">
        <v>1.5</v>
      </c>
      <c r="E2089" s="569">
        <v>6</v>
      </c>
      <c r="F2089" s="600" t="s">
        <v>1420</v>
      </c>
      <c r="G2089" s="73">
        <v>18000000</v>
      </c>
      <c r="H2089" s="569"/>
      <c r="I2089" s="569" t="s">
        <v>1421</v>
      </c>
      <c r="J2089" s="531">
        <v>38763000</v>
      </c>
    </row>
    <row r="2090" spans="1:10" ht="24.75">
      <c r="A2090" s="27" t="s">
        <v>1450</v>
      </c>
      <c r="B2090" s="300" t="s">
        <v>1127</v>
      </c>
      <c r="C2090" s="569" t="s">
        <v>1459</v>
      </c>
      <c r="D2090" s="569">
        <v>2</v>
      </c>
      <c r="E2090" s="569">
        <v>5</v>
      </c>
      <c r="F2090" s="600" t="s">
        <v>1420</v>
      </c>
      <c r="G2090" s="73">
        <v>24000000</v>
      </c>
      <c r="H2090" s="569"/>
      <c r="I2090" s="569" t="s">
        <v>1421</v>
      </c>
      <c r="J2090" s="531">
        <v>51684000</v>
      </c>
    </row>
    <row r="2091" spans="1:10" ht="24.75">
      <c r="A2091" s="27" t="s">
        <v>1460</v>
      </c>
      <c r="B2091" s="300" t="s">
        <v>1461</v>
      </c>
      <c r="C2091" s="569"/>
      <c r="D2091" s="569">
        <v>1.5</v>
      </c>
      <c r="E2091" s="569">
        <v>5</v>
      </c>
      <c r="F2091" s="600" t="s">
        <v>1420</v>
      </c>
      <c r="G2091" s="73">
        <v>18000000</v>
      </c>
      <c r="H2091" s="569"/>
      <c r="I2091" s="569" t="s">
        <v>1421</v>
      </c>
      <c r="J2091" s="531">
        <v>38763000</v>
      </c>
    </row>
    <row r="2092" spans="1:10" ht="24.75">
      <c r="A2092" s="27" t="s">
        <v>1460</v>
      </c>
      <c r="B2092" s="300" t="s">
        <v>1462</v>
      </c>
      <c r="C2092" s="569"/>
      <c r="D2092" s="569">
        <v>2.5</v>
      </c>
      <c r="E2092" s="569">
        <v>5</v>
      </c>
      <c r="F2092" s="600" t="s">
        <v>1420</v>
      </c>
      <c r="G2092" s="73">
        <v>30000000</v>
      </c>
      <c r="H2092" s="569"/>
      <c r="I2092" s="569" t="s">
        <v>1421</v>
      </c>
      <c r="J2092" s="531">
        <v>64605000</v>
      </c>
    </row>
    <row r="2093" spans="1:10" ht="24.75">
      <c r="A2093" s="27" t="s">
        <v>1463</v>
      </c>
      <c r="B2093" s="300" t="s">
        <v>1464</v>
      </c>
      <c r="C2093" s="569"/>
      <c r="D2093" s="569">
        <v>2.5</v>
      </c>
      <c r="E2093" s="569">
        <v>5.5</v>
      </c>
      <c r="F2093" s="600" t="s">
        <v>1420</v>
      </c>
      <c r="G2093" s="73">
        <v>30000000</v>
      </c>
      <c r="H2093" s="569"/>
      <c r="I2093" s="569" t="s">
        <v>1421</v>
      </c>
      <c r="J2093" s="531">
        <v>64605000</v>
      </c>
    </row>
    <row r="2094" spans="1:10" ht="24.75">
      <c r="A2094" s="27" t="s">
        <v>1463</v>
      </c>
      <c r="B2094" s="300" t="s">
        <v>1465</v>
      </c>
      <c r="C2094" s="569" t="s">
        <v>1466</v>
      </c>
      <c r="D2094" s="569">
        <v>3.5</v>
      </c>
      <c r="E2094" s="569">
        <v>5</v>
      </c>
      <c r="F2094" s="600" t="s">
        <v>1420</v>
      </c>
      <c r="G2094" s="73">
        <v>42000000</v>
      </c>
      <c r="H2094" s="569"/>
      <c r="I2094" s="569" t="s">
        <v>1421</v>
      </c>
      <c r="J2094" s="531">
        <v>90447000</v>
      </c>
    </row>
    <row r="2095" spans="1:10" ht="15.75">
      <c r="A2095" s="1013" t="s">
        <v>189</v>
      </c>
      <c r="B2095" s="1014"/>
      <c r="C2095" s="1014"/>
      <c r="D2095" s="1014"/>
      <c r="E2095" s="1014"/>
      <c r="F2095" s="1014"/>
      <c r="G2095" s="550">
        <f>SUM(G2070:G2094)</f>
        <v>786000000</v>
      </c>
      <c r="H2095" s="564"/>
      <c r="I2095" s="564"/>
      <c r="J2095" s="626">
        <f>SUM(J2070:J2094)</f>
        <v>1692651000</v>
      </c>
    </row>
    <row r="2096" spans="1:10" ht="15.75">
      <c r="A2096" s="1013" t="s">
        <v>1482</v>
      </c>
      <c r="B2096" s="1014"/>
      <c r="C2096" s="1014"/>
      <c r="D2096" s="1014"/>
      <c r="E2096" s="1014"/>
      <c r="F2096" s="1014"/>
      <c r="G2096" s="1014"/>
      <c r="H2096" s="1014"/>
      <c r="I2096" s="1014"/>
      <c r="J2096" s="1015"/>
    </row>
    <row r="2097" spans="1:10" ht="45">
      <c r="A2097" s="657" t="s">
        <v>1483</v>
      </c>
      <c r="B2097" s="26" t="s">
        <v>1484</v>
      </c>
      <c r="C2097" s="54" t="s">
        <v>1485</v>
      </c>
      <c r="D2097" s="569">
        <v>2.5000000000000001E-2</v>
      </c>
      <c r="E2097" s="569">
        <v>6</v>
      </c>
      <c r="F2097" s="569" t="s">
        <v>1486</v>
      </c>
      <c r="G2097" s="73">
        <v>5500000</v>
      </c>
      <c r="H2097" s="569">
        <v>1</v>
      </c>
      <c r="I2097" s="569" t="s">
        <v>1487</v>
      </c>
      <c r="J2097" s="531">
        <v>15000000</v>
      </c>
    </row>
    <row r="2098" spans="1:10" ht="56.25">
      <c r="A2098" s="657" t="s">
        <v>1483</v>
      </c>
      <c r="B2098" s="26" t="s">
        <v>1484</v>
      </c>
      <c r="C2098" s="54" t="s">
        <v>1488</v>
      </c>
      <c r="D2098" s="569">
        <v>0.4</v>
      </c>
      <c r="E2098" s="569">
        <v>6</v>
      </c>
      <c r="F2098" s="569" t="s">
        <v>1489</v>
      </c>
      <c r="G2098" s="73">
        <v>500000</v>
      </c>
      <c r="H2098" s="569">
        <v>4</v>
      </c>
      <c r="I2098" s="569" t="s">
        <v>1490</v>
      </c>
      <c r="J2098" s="531">
        <v>2520000</v>
      </c>
    </row>
    <row r="2099" spans="1:10" ht="56.25">
      <c r="A2099" s="657" t="s">
        <v>1483</v>
      </c>
      <c r="B2099" s="26" t="s">
        <v>1491</v>
      </c>
      <c r="C2099" s="54" t="s">
        <v>1492</v>
      </c>
      <c r="D2099" s="569">
        <v>4</v>
      </c>
      <c r="E2099" s="569">
        <v>7</v>
      </c>
      <c r="F2099" s="569" t="s">
        <v>1489</v>
      </c>
      <c r="G2099" s="73">
        <v>20000000</v>
      </c>
      <c r="H2099" s="569">
        <v>3</v>
      </c>
      <c r="I2099" s="569" t="s">
        <v>1490</v>
      </c>
      <c r="J2099" s="531">
        <v>39200000</v>
      </c>
    </row>
    <row r="2100" spans="1:10" ht="45">
      <c r="A2100" s="657" t="s">
        <v>1483</v>
      </c>
      <c r="B2100" s="26" t="s">
        <v>1493</v>
      </c>
      <c r="C2100" s="54" t="s">
        <v>1494</v>
      </c>
      <c r="D2100" s="569">
        <v>2</v>
      </c>
      <c r="E2100" s="569">
        <v>6.5</v>
      </c>
      <c r="F2100" s="569" t="s">
        <v>1489</v>
      </c>
      <c r="G2100" s="73">
        <v>300000</v>
      </c>
      <c r="H2100" s="569">
        <v>1</v>
      </c>
      <c r="I2100" s="569" t="s">
        <v>1490</v>
      </c>
      <c r="J2100" s="531">
        <v>13650000</v>
      </c>
    </row>
    <row r="2101" spans="1:10" ht="56.25">
      <c r="A2101" s="657" t="s">
        <v>1483</v>
      </c>
      <c r="B2101" s="26" t="s">
        <v>1495</v>
      </c>
      <c r="C2101" s="54" t="s">
        <v>1496</v>
      </c>
      <c r="D2101" s="569">
        <v>3.5</v>
      </c>
      <c r="E2101" s="569">
        <v>7</v>
      </c>
      <c r="F2101" s="569" t="s">
        <v>1489</v>
      </c>
      <c r="G2101" s="73">
        <v>10000000</v>
      </c>
      <c r="H2101" s="569">
        <v>1</v>
      </c>
      <c r="I2101" s="569" t="s">
        <v>1490</v>
      </c>
      <c r="J2101" s="531">
        <v>34300000</v>
      </c>
    </row>
    <row r="2102" spans="1:10" ht="78.75">
      <c r="A2102" s="657" t="s">
        <v>1483</v>
      </c>
      <c r="B2102" s="26" t="s">
        <v>1497</v>
      </c>
      <c r="C2102" s="54" t="s">
        <v>1498</v>
      </c>
      <c r="D2102" s="569">
        <v>7</v>
      </c>
      <c r="E2102" s="569">
        <v>8</v>
      </c>
      <c r="F2102" s="569" t="s">
        <v>1489</v>
      </c>
      <c r="G2102" s="73">
        <v>30000000</v>
      </c>
      <c r="H2102" s="569">
        <v>1</v>
      </c>
      <c r="I2102" s="569" t="s">
        <v>1490</v>
      </c>
      <c r="J2102" s="531">
        <v>78400000</v>
      </c>
    </row>
    <row r="2103" spans="1:10" ht="56.25">
      <c r="A2103" s="657" t="s">
        <v>1483</v>
      </c>
      <c r="B2103" s="26" t="s">
        <v>1499</v>
      </c>
      <c r="C2103" s="54" t="s">
        <v>1500</v>
      </c>
      <c r="D2103" s="569">
        <v>8</v>
      </c>
      <c r="E2103" s="569">
        <v>6.5</v>
      </c>
      <c r="F2103" s="569" t="s">
        <v>1489</v>
      </c>
      <c r="G2103" s="73">
        <v>20000000</v>
      </c>
      <c r="H2103" s="569">
        <v>3</v>
      </c>
      <c r="I2103" s="569" t="s">
        <v>1490</v>
      </c>
      <c r="J2103" s="531">
        <v>72800000</v>
      </c>
    </row>
    <row r="2104" spans="1:10" ht="56.25">
      <c r="A2104" s="657" t="s">
        <v>1483</v>
      </c>
      <c r="B2104" s="26" t="s">
        <v>1501</v>
      </c>
      <c r="C2104" s="54" t="s">
        <v>1502</v>
      </c>
      <c r="D2104" s="569">
        <v>4</v>
      </c>
      <c r="E2104" s="569">
        <v>6</v>
      </c>
      <c r="F2104" s="569" t="s">
        <v>1489</v>
      </c>
      <c r="G2104" s="73">
        <v>10000000</v>
      </c>
      <c r="H2104" s="569">
        <v>2</v>
      </c>
      <c r="I2104" s="569" t="s">
        <v>1490</v>
      </c>
      <c r="J2104" s="531">
        <v>25200000</v>
      </c>
    </row>
    <row r="2105" spans="1:10" ht="45">
      <c r="A2105" s="657" t="s">
        <v>1483</v>
      </c>
      <c r="B2105" s="26" t="s">
        <v>1503</v>
      </c>
      <c r="C2105" s="54" t="s">
        <v>1504</v>
      </c>
      <c r="D2105" s="569">
        <v>0.25</v>
      </c>
      <c r="E2105" s="569">
        <v>7</v>
      </c>
      <c r="F2105" s="569" t="s">
        <v>1489</v>
      </c>
      <c r="G2105" s="73">
        <v>200000</v>
      </c>
      <c r="H2105" s="569">
        <v>1</v>
      </c>
      <c r="I2105" s="569" t="s">
        <v>1490</v>
      </c>
      <c r="J2105" s="531">
        <v>1200000</v>
      </c>
    </row>
    <row r="2106" spans="1:10" ht="45">
      <c r="A2106" s="657" t="s">
        <v>1483</v>
      </c>
      <c r="B2106" s="26" t="s">
        <v>1505</v>
      </c>
      <c r="C2106" s="54" t="s">
        <v>1506</v>
      </c>
      <c r="D2106" s="569">
        <v>1</v>
      </c>
      <c r="E2106" s="569">
        <v>6</v>
      </c>
      <c r="F2106" s="569" t="s">
        <v>1489</v>
      </c>
      <c r="G2106" s="73">
        <v>1000000</v>
      </c>
      <c r="H2106" s="569">
        <v>3</v>
      </c>
      <c r="I2106" s="569" t="s">
        <v>1490</v>
      </c>
      <c r="J2106" s="531">
        <v>6300000</v>
      </c>
    </row>
    <row r="2107" spans="1:10" ht="78.75">
      <c r="A2107" s="657" t="s">
        <v>1483</v>
      </c>
      <c r="B2107" s="26" t="s">
        <v>1507</v>
      </c>
      <c r="C2107" s="54" t="s">
        <v>1508</v>
      </c>
      <c r="D2107" s="569">
        <v>0.5</v>
      </c>
      <c r="E2107" s="569">
        <v>6</v>
      </c>
      <c r="F2107" s="569" t="s">
        <v>1489</v>
      </c>
      <c r="G2107" s="73">
        <v>100000</v>
      </c>
      <c r="H2107" s="569">
        <v>1</v>
      </c>
      <c r="I2107" s="569" t="s">
        <v>1490</v>
      </c>
      <c r="J2107" s="531">
        <v>2100000</v>
      </c>
    </row>
    <row r="2108" spans="1:10" ht="45">
      <c r="A2108" s="657" t="s">
        <v>1509</v>
      </c>
      <c r="B2108" s="300" t="s">
        <v>157</v>
      </c>
      <c r="C2108" s="601" t="s">
        <v>1510</v>
      </c>
      <c r="D2108" s="569">
        <v>3</v>
      </c>
      <c r="E2108" s="569">
        <v>7</v>
      </c>
      <c r="F2108" s="569" t="s">
        <v>1489</v>
      </c>
      <c r="G2108" s="73">
        <v>5000000</v>
      </c>
      <c r="H2108" s="569">
        <v>1</v>
      </c>
      <c r="I2108" s="569" t="s">
        <v>1490</v>
      </c>
      <c r="J2108" s="531">
        <v>14700000</v>
      </c>
    </row>
    <row r="2109" spans="1:10" ht="45">
      <c r="A2109" s="657" t="s">
        <v>1509</v>
      </c>
      <c r="B2109" s="300" t="s">
        <v>1511</v>
      </c>
      <c r="C2109" s="601" t="s">
        <v>1512</v>
      </c>
      <c r="D2109" s="569">
        <v>3</v>
      </c>
      <c r="E2109" s="569">
        <v>6</v>
      </c>
      <c r="F2109" s="569" t="s">
        <v>1489</v>
      </c>
      <c r="G2109" s="73">
        <v>500000</v>
      </c>
      <c r="H2109" s="569">
        <v>1</v>
      </c>
      <c r="I2109" s="569" t="s">
        <v>1490</v>
      </c>
      <c r="J2109" s="531">
        <v>6300000</v>
      </c>
    </row>
    <row r="2110" spans="1:10" ht="45">
      <c r="A2110" s="657" t="s">
        <v>1509</v>
      </c>
      <c r="B2110" s="300" t="s">
        <v>1513</v>
      </c>
      <c r="C2110" s="601" t="s">
        <v>1514</v>
      </c>
      <c r="D2110" s="569">
        <v>0.4</v>
      </c>
      <c r="E2110" s="569">
        <v>7</v>
      </c>
      <c r="F2110" s="569" t="s">
        <v>1489</v>
      </c>
      <c r="G2110" s="73">
        <v>100000</v>
      </c>
      <c r="H2110" s="569">
        <v>3</v>
      </c>
      <c r="I2110" s="569" t="s">
        <v>1490</v>
      </c>
      <c r="J2110" s="531">
        <v>1960000</v>
      </c>
    </row>
    <row r="2111" spans="1:10" ht="56.25">
      <c r="A2111" s="657" t="s">
        <v>1509</v>
      </c>
      <c r="B2111" s="300" t="s">
        <v>1515</v>
      </c>
      <c r="C2111" s="601" t="s">
        <v>1516</v>
      </c>
      <c r="D2111" s="569">
        <v>0.3</v>
      </c>
      <c r="E2111" s="569">
        <v>6</v>
      </c>
      <c r="F2111" s="569" t="s">
        <v>1489</v>
      </c>
      <c r="G2111" s="73">
        <v>100000</v>
      </c>
      <c r="H2111" s="569">
        <v>2</v>
      </c>
      <c r="I2111" s="569" t="s">
        <v>1490</v>
      </c>
      <c r="J2111" s="531">
        <v>1890000</v>
      </c>
    </row>
    <row r="2112" spans="1:10" ht="56.25">
      <c r="A2112" s="657" t="s">
        <v>1509</v>
      </c>
      <c r="B2112" s="300" t="s">
        <v>1515</v>
      </c>
      <c r="C2112" s="602" t="s">
        <v>1517</v>
      </c>
      <c r="D2112" s="569">
        <v>0.3</v>
      </c>
      <c r="E2112" s="569">
        <v>6</v>
      </c>
      <c r="F2112" s="569" t="s">
        <v>1489</v>
      </c>
      <c r="G2112" s="73">
        <v>100000</v>
      </c>
      <c r="H2112" s="569">
        <v>2</v>
      </c>
      <c r="I2112" s="569" t="s">
        <v>1490</v>
      </c>
      <c r="J2112" s="531">
        <v>1890000</v>
      </c>
    </row>
    <row r="2113" spans="1:10" ht="56.25">
      <c r="A2113" s="657" t="s">
        <v>1509</v>
      </c>
      <c r="B2113" s="300" t="s">
        <v>1518</v>
      </c>
      <c r="C2113" s="601" t="s">
        <v>1519</v>
      </c>
      <c r="D2113" s="569">
        <v>0.25</v>
      </c>
      <c r="E2113" s="569">
        <v>7</v>
      </c>
      <c r="F2113" s="569" t="s">
        <v>1489</v>
      </c>
      <c r="G2113" s="73">
        <v>500000</v>
      </c>
      <c r="H2113" s="569">
        <v>2</v>
      </c>
      <c r="I2113" s="569" t="s">
        <v>1490</v>
      </c>
      <c r="J2113" s="531">
        <v>1837500</v>
      </c>
    </row>
    <row r="2114" spans="1:10" ht="67.5">
      <c r="A2114" s="657" t="s">
        <v>1509</v>
      </c>
      <c r="B2114" s="300" t="s">
        <v>1520</v>
      </c>
      <c r="C2114" s="601" t="s">
        <v>1521</v>
      </c>
      <c r="D2114" s="569">
        <v>0.4</v>
      </c>
      <c r="E2114" s="569">
        <v>6.5</v>
      </c>
      <c r="F2114" s="569" t="s">
        <v>1489</v>
      </c>
      <c r="G2114" s="73">
        <v>1000000</v>
      </c>
      <c r="H2114" s="569">
        <v>1</v>
      </c>
      <c r="I2114" s="569" t="s">
        <v>1490</v>
      </c>
      <c r="J2114" s="531">
        <v>3640000</v>
      </c>
    </row>
    <row r="2115" spans="1:10" ht="45">
      <c r="A2115" s="657" t="s">
        <v>1509</v>
      </c>
      <c r="B2115" s="300" t="s">
        <v>1522</v>
      </c>
      <c r="C2115" s="601" t="s">
        <v>1523</v>
      </c>
      <c r="D2115" s="569">
        <v>3</v>
      </c>
      <c r="E2115" s="569">
        <v>7</v>
      </c>
      <c r="F2115" s="569" t="s">
        <v>1489</v>
      </c>
      <c r="G2115" s="73">
        <v>8000000</v>
      </c>
      <c r="H2115" s="569">
        <v>1</v>
      </c>
      <c r="I2115" s="569" t="s">
        <v>1490</v>
      </c>
      <c r="J2115" s="531">
        <v>19600000</v>
      </c>
    </row>
    <row r="2116" spans="1:10" ht="45">
      <c r="A2116" s="657" t="s">
        <v>1509</v>
      </c>
      <c r="B2116" s="300" t="s">
        <v>1520</v>
      </c>
      <c r="C2116" s="601" t="s">
        <v>1524</v>
      </c>
      <c r="D2116" s="569">
        <v>0.4</v>
      </c>
      <c r="E2116" s="569">
        <v>6</v>
      </c>
      <c r="F2116" s="569" t="s">
        <v>1489</v>
      </c>
      <c r="G2116" s="73">
        <v>1500000</v>
      </c>
      <c r="H2116" s="569">
        <v>1</v>
      </c>
      <c r="I2116" s="569" t="s">
        <v>1490</v>
      </c>
      <c r="J2116" s="531">
        <v>3360000</v>
      </c>
    </row>
    <row r="2117" spans="1:10" ht="78.75">
      <c r="A2117" s="657" t="s">
        <v>1509</v>
      </c>
      <c r="B2117" s="300" t="s">
        <v>1525</v>
      </c>
      <c r="C2117" s="601" t="s">
        <v>1526</v>
      </c>
      <c r="D2117" s="569">
        <v>3</v>
      </c>
      <c r="E2117" s="569">
        <v>6</v>
      </c>
      <c r="F2117" s="569" t="s">
        <v>1489</v>
      </c>
      <c r="G2117" s="73">
        <v>10000000</v>
      </c>
      <c r="H2117" s="569">
        <v>1</v>
      </c>
      <c r="I2117" s="569" t="s">
        <v>1490</v>
      </c>
      <c r="J2117" s="531">
        <v>25200000</v>
      </c>
    </row>
    <row r="2118" spans="1:10" ht="83.25">
      <c r="A2118" s="657" t="s">
        <v>1509</v>
      </c>
      <c r="B2118" s="300" t="s">
        <v>1527</v>
      </c>
      <c r="C2118" s="601" t="s">
        <v>1528</v>
      </c>
      <c r="D2118" s="569">
        <v>1.1000000000000001</v>
      </c>
      <c r="E2118" s="569">
        <v>6</v>
      </c>
      <c r="F2118" s="569" t="s">
        <v>1489</v>
      </c>
      <c r="G2118" s="73">
        <v>8000000</v>
      </c>
      <c r="H2118" s="569">
        <v>1</v>
      </c>
      <c r="I2118" s="569" t="s">
        <v>1490</v>
      </c>
      <c r="J2118" s="531">
        <v>11550000</v>
      </c>
    </row>
    <row r="2119" spans="1:10" ht="56.25">
      <c r="A2119" s="657" t="s">
        <v>1529</v>
      </c>
      <c r="B2119" s="300" t="s">
        <v>1530</v>
      </c>
      <c r="C2119" s="109" t="s">
        <v>1531</v>
      </c>
      <c r="D2119" s="569">
        <v>5</v>
      </c>
      <c r="E2119" s="569">
        <v>6</v>
      </c>
      <c r="F2119" s="569" t="s">
        <v>1489</v>
      </c>
      <c r="G2119" s="73">
        <v>15000000</v>
      </c>
      <c r="H2119" s="569">
        <v>2</v>
      </c>
      <c r="I2119" s="35" t="s">
        <v>1490</v>
      </c>
      <c r="J2119" s="531">
        <v>21000000</v>
      </c>
    </row>
    <row r="2120" spans="1:10" ht="56.25">
      <c r="A2120" s="657" t="s">
        <v>1529</v>
      </c>
      <c r="B2120" s="300" t="s">
        <v>1532</v>
      </c>
      <c r="C2120" s="109" t="s">
        <v>1533</v>
      </c>
      <c r="D2120" s="569">
        <v>9</v>
      </c>
      <c r="E2120" s="569">
        <v>7</v>
      </c>
      <c r="F2120" s="569" t="s">
        <v>1489</v>
      </c>
      <c r="G2120" s="73">
        <v>50000000</v>
      </c>
      <c r="H2120" s="569">
        <v>2</v>
      </c>
      <c r="I2120" s="35" t="s">
        <v>1490</v>
      </c>
      <c r="J2120" s="531">
        <v>88200000</v>
      </c>
    </row>
    <row r="2121" spans="1:10" ht="56.25">
      <c r="A2121" s="657" t="s">
        <v>1529</v>
      </c>
      <c r="B2121" s="300" t="s">
        <v>1534</v>
      </c>
      <c r="C2121" s="109" t="s">
        <v>1535</v>
      </c>
      <c r="D2121" s="569">
        <v>2</v>
      </c>
      <c r="E2121" s="569">
        <v>6</v>
      </c>
      <c r="F2121" s="569" t="s">
        <v>1489</v>
      </c>
      <c r="G2121" s="73">
        <v>10000000</v>
      </c>
      <c r="H2121" s="569">
        <v>1</v>
      </c>
      <c r="I2121" s="35" t="s">
        <v>1490</v>
      </c>
      <c r="J2121" s="531">
        <v>16800000</v>
      </c>
    </row>
    <row r="2122" spans="1:10" ht="45">
      <c r="A2122" s="657" t="s">
        <v>1529</v>
      </c>
      <c r="B2122" s="300" t="s">
        <v>1536</v>
      </c>
      <c r="C2122" s="109" t="s">
        <v>1537</v>
      </c>
      <c r="D2122" s="569">
        <v>10</v>
      </c>
      <c r="E2122" s="569">
        <v>7</v>
      </c>
      <c r="F2122" s="569" t="s">
        <v>1489</v>
      </c>
      <c r="G2122" s="73">
        <v>50000000</v>
      </c>
      <c r="H2122" s="569">
        <v>3</v>
      </c>
      <c r="I2122" s="35" t="s">
        <v>1490</v>
      </c>
      <c r="J2122" s="531">
        <v>98000000</v>
      </c>
    </row>
    <row r="2123" spans="1:10" ht="67.5">
      <c r="A2123" s="657" t="s">
        <v>1529</v>
      </c>
      <c r="B2123" s="300" t="s">
        <v>1538</v>
      </c>
      <c r="C2123" s="109" t="s">
        <v>1539</v>
      </c>
      <c r="D2123" s="569">
        <v>0.6</v>
      </c>
      <c r="E2123" s="569">
        <v>6</v>
      </c>
      <c r="F2123" s="569" t="s">
        <v>1489</v>
      </c>
      <c r="G2123" s="73">
        <v>1000000</v>
      </c>
      <c r="H2123" s="569">
        <v>1</v>
      </c>
      <c r="I2123" s="35" t="s">
        <v>1490</v>
      </c>
      <c r="J2123" s="531">
        <v>5040000</v>
      </c>
    </row>
    <row r="2124" spans="1:10" ht="45">
      <c r="A2124" s="657" t="s">
        <v>1529</v>
      </c>
      <c r="B2124" s="300" t="s">
        <v>1540</v>
      </c>
      <c r="C2124" s="109" t="s">
        <v>1541</v>
      </c>
      <c r="D2124" s="569">
        <v>4</v>
      </c>
      <c r="E2124" s="569">
        <v>6.5</v>
      </c>
      <c r="F2124" s="569" t="s">
        <v>1489</v>
      </c>
      <c r="G2124" s="73">
        <v>15000000</v>
      </c>
      <c r="H2124" s="569">
        <v>1</v>
      </c>
      <c r="I2124" s="35" t="s">
        <v>1490</v>
      </c>
      <c r="J2124" s="531">
        <v>36400000</v>
      </c>
    </row>
    <row r="2125" spans="1:10" ht="56.25">
      <c r="A2125" s="657" t="s">
        <v>1529</v>
      </c>
      <c r="B2125" s="300" t="s">
        <v>1542</v>
      </c>
      <c r="C2125" s="109" t="s">
        <v>1543</v>
      </c>
      <c r="D2125" s="569">
        <v>2.5</v>
      </c>
      <c r="E2125" s="569">
        <v>6.5</v>
      </c>
      <c r="F2125" s="569" t="s">
        <v>1489</v>
      </c>
      <c r="G2125" s="73">
        <v>12000000</v>
      </c>
      <c r="H2125" s="569">
        <v>1</v>
      </c>
      <c r="I2125" s="35" t="s">
        <v>1490</v>
      </c>
      <c r="J2125" s="531">
        <v>22750000</v>
      </c>
    </row>
    <row r="2126" spans="1:10" ht="45">
      <c r="A2126" s="657" t="s">
        <v>1529</v>
      </c>
      <c r="B2126" s="300" t="s">
        <v>1544</v>
      </c>
      <c r="C2126" s="109" t="s">
        <v>1545</v>
      </c>
      <c r="D2126" s="569">
        <v>4</v>
      </c>
      <c r="E2126" s="569">
        <v>7</v>
      </c>
      <c r="F2126" s="569" t="s">
        <v>1489</v>
      </c>
      <c r="G2126" s="73">
        <v>25000000</v>
      </c>
      <c r="H2126" s="569">
        <v>1</v>
      </c>
      <c r="I2126" s="35" t="s">
        <v>1490</v>
      </c>
      <c r="J2126" s="531">
        <v>49000000</v>
      </c>
    </row>
    <row r="2127" spans="1:10" ht="45">
      <c r="A2127" s="657" t="s">
        <v>1529</v>
      </c>
      <c r="B2127" s="300" t="s">
        <v>1546</v>
      </c>
      <c r="C2127" s="109" t="s">
        <v>1547</v>
      </c>
      <c r="D2127" s="569">
        <v>2</v>
      </c>
      <c r="E2127" s="569">
        <v>7</v>
      </c>
      <c r="F2127" s="569" t="s">
        <v>1489</v>
      </c>
      <c r="G2127" s="73">
        <v>10000000</v>
      </c>
      <c r="H2127" s="569">
        <v>2</v>
      </c>
      <c r="I2127" s="35" t="s">
        <v>1490</v>
      </c>
      <c r="J2127" s="531">
        <v>22050000</v>
      </c>
    </row>
    <row r="2128" spans="1:10" ht="45">
      <c r="A2128" s="657" t="s">
        <v>1529</v>
      </c>
      <c r="B2128" s="300" t="s">
        <v>1548</v>
      </c>
      <c r="C2128" s="109" t="s">
        <v>1549</v>
      </c>
      <c r="D2128" s="569">
        <v>8</v>
      </c>
      <c r="E2128" s="569">
        <v>7</v>
      </c>
      <c r="F2128" s="569" t="s">
        <v>1489</v>
      </c>
      <c r="G2128" s="73">
        <v>100000000</v>
      </c>
      <c r="H2128" s="569">
        <v>1</v>
      </c>
      <c r="I2128" s="35" t="s">
        <v>1490</v>
      </c>
      <c r="J2128" s="531">
        <v>147000000</v>
      </c>
    </row>
    <row r="2129" spans="1:10" ht="56.25">
      <c r="A2129" s="657" t="s">
        <v>1529</v>
      </c>
      <c r="B2129" s="300" t="s">
        <v>1550</v>
      </c>
      <c r="C2129" s="109" t="s">
        <v>1551</v>
      </c>
      <c r="D2129" s="569">
        <v>9</v>
      </c>
      <c r="E2129" s="569">
        <v>6</v>
      </c>
      <c r="F2129" s="569" t="s">
        <v>1489</v>
      </c>
      <c r="G2129" s="73">
        <v>50000000</v>
      </c>
      <c r="H2129" s="569">
        <v>2</v>
      </c>
      <c r="I2129" s="35" t="s">
        <v>1490</v>
      </c>
      <c r="J2129" s="531">
        <v>75600000</v>
      </c>
    </row>
    <row r="2130" spans="1:10" ht="45">
      <c r="A2130" s="657" t="s">
        <v>1529</v>
      </c>
      <c r="B2130" s="300" t="s">
        <v>1552</v>
      </c>
      <c r="C2130" s="35" t="s">
        <v>1553</v>
      </c>
      <c r="D2130" s="569">
        <v>4</v>
      </c>
      <c r="E2130" s="569">
        <v>6</v>
      </c>
      <c r="F2130" s="569" t="s">
        <v>1489</v>
      </c>
      <c r="G2130" s="73">
        <v>10000000</v>
      </c>
      <c r="H2130" s="569">
        <v>1</v>
      </c>
      <c r="I2130" s="35" t="s">
        <v>1490</v>
      </c>
      <c r="J2130" s="531">
        <v>25200000</v>
      </c>
    </row>
    <row r="2131" spans="1:10" ht="45">
      <c r="A2131" s="657" t="s">
        <v>1529</v>
      </c>
      <c r="B2131" s="300" t="s">
        <v>1554</v>
      </c>
      <c r="C2131" s="109" t="s">
        <v>1555</v>
      </c>
      <c r="D2131" s="569">
        <v>9</v>
      </c>
      <c r="E2131" s="569">
        <v>7</v>
      </c>
      <c r="F2131" s="569" t="s">
        <v>1489</v>
      </c>
      <c r="G2131" s="73">
        <v>40000000</v>
      </c>
      <c r="H2131" s="569">
        <v>1</v>
      </c>
      <c r="I2131" s="35" t="s">
        <v>1490</v>
      </c>
      <c r="J2131" s="531">
        <v>66150000</v>
      </c>
    </row>
    <row r="2132" spans="1:10" ht="45">
      <c r="A2132" s="657" t="s">
        <v>1529</v>
      </c>
      <c r="B2132" s="300" t="s">
        <v>1556</v>
      </c>
      <c r="C2132" s="109" t="s">
        <v>1557</v>
      </c>
      <c r="D2132" s="569">
        <v>4</v>
      </c>
      <c r="E2132" s="569">
        <v>7</v>
      </c>
      <c r="F2132" s="569" t="s">
        <v>1489</v>
      </c>
      <c r="G2132" s="73">
        <v>40000000</v>
      </c>
      <c r="H2132" s="569">
        <v>1</v>
      </c>
      <c r="I2132" s="35" t="s">
        <v>1490</v>
      </c>
      <c r="J2132" s="531">
        <v>50400000</v>
      </c>
    </row>
    <row r="2133" spans="1:10" ht="57">
      <c r="A2133" s="657" t="s">
        <v>1529</v>
      </c>
      <c r="B2133" s="300" t="s">
        <v>1558</v>
      </c>
      <c r="C2133" s="603" t="s">
        <v>1559</v>
      </c>
      <c r="D2133" s="569">
        <v>0.8</v>
      </c>
      <c r="E2133" s="569">
        <v>6</v>
      </c>
      <c r="F2133" s="569" t="s">
        <v>1489</v>
      </c>
      <c r="G2133" s="73">
        <v>5000000</v>
      </c>
      <c r="H2133" s="569">
        <v>1</v>
      </c>
      <c r="I2133" s="35" t="s">
        <v>1490</v>
      </c>
      <c r="J2133" s="531">
        <v>8400000</v>
      </c>
    </row>
    <row r="2134" spans="1:10" ht="45">
      <c r="A2134" s="657" t="s">
        <v>1529</v>
      </c>
      <c r="B2134" s="300" t="s">
        <v>1530</v>
      </c>
      <c r="C2134" s="603" t="s">
        <v>1560</v>
      </c>
      <c r="D2134" s="569">
        <v>2</v>
      </c>
      <c r="E2134" s="569">
        <v>6</v>
      </c>
      <c r="F2134" s="569" t="s">
        <v>1489</v>
      </c>
      <c r="G2134" s="73">
        <v>5000000</v>
      </c>
      <c r="H2134" s="569">
        <v>1</v>
      </c>
      <c r="I2134" s="35" t="s">
        <v>1490</v>
      </c>
      <c r="J2134" s="531">
        <v>21000000</v>
      </c>
    </row>
    <row r="2135" spans="1:10" ht="45">
      <c r="A2135" s="657" t="s">
        <v>1529</v>
      </c>
      <c r="B2135" s="300" t="s">
        <v>1561</v>
      </c>
      <c r="C2135" s="603" t="s">
        <v>1562</v>
      </c>
      <c r="D2135" s="569">
        <v>3</v>
      </c>
      <c r="E2135" s="569">
        <v>6</v>
      </c>
      <c r="F2135" s="569" t="s">
        <v>1489</v>
      </c>
      <c r="G2135" s="73">
        <v>10000000</v>
      </c>
      <c r="H2135" s="569">
        <v>2</v>
      </c>
      <c r="I2135" s="35" t="s">
        <v>1490</v>
      </c>
      <c r="J2135" s="531">
        <v>25200000</v>
      </c>
    </row>
    <row r="2136" spans="1:10" ht="45">
      <c r="A2136" s="657" t="s">
        <v>1563</v>
      </c>
      <c r="B2136" s="324" t="s">
        <v>1564</v>
      </c>
      <c r="C2136" s="601" t="s">
        <v>1565</v>
      </c>
      <c r="D2136" s="569">
        <v>2</v>
      </c>
      <c r="E2136" s="569">
        <v>6</v>
      </c>
      <c r="F2136" s="569" t="s">
        <v>1489</v>
      </c>
      <c r="G2136" s="73">
        <v>5000000</v>
      </c>
      <c r="H2136" s="569">
        <v>1</v>
      </c>
      <c r="I2136" s="35" t="s">
        <v>1490</v>
      </c>
      <c r="J2136" s="531">
        <v>16800000</v>
      </c>
    </row>
    <row r="2137" spans="1:10" ht="56.25">
      <c r="A2137" s="657" t="s">
        <v>1563</v>
      </c>
      <c r="B2137" s="324" t="s">
        <v>1566</v>
      </c>
      <c r="C2137" s="601" t="s">
        <v>1567</v>
      </c>
      <c r="D2137" s="569">
        <v>2</v>
      </c>
      <c r="E2137" s="569">
        <v>7</v>
      </c>
      <c r="F2137" s="569" t="s">
        <v>1489</v>
      </c>
      <c r="G2137" s="73">
        <v>5000000</v>
      </c>
      <c r="H2137" s="569">
        <v>1</v>
      </c>
      <c r="I2137" s="35" t="s">
        <v>1490</v>
      </c>
      <c r="J2137" s="531">
        <v>19600000</v>
      </c>
    </row>
    <row r="2138" spans="1:10" ht="45">
      <c r="A2138" s="657" t="s">
        <v>1563</v>
      </c>
      <c r="B2138" s="324" t="s">
        <v>1568</v>
      </c>
      <c r="C2138" s="601" t="s">
        <v>1569</v>
      </c>
      <c r="D2138" s="569">
        <v>2.5</v>
      </c>
      <c r="E2138" s="569">
        <v>6</v>
      </c>
      <c r="F2138" s="569" t="s">
        <v>1489</v>
      </c>
      <c r="G2138" s="73">
        <v>8000000</v>
      </c>
      <c r="H2138" s="569">
        <v>1</v>
      </c>
      <c r="I2138" s="35" t="s">
        <v>1490</v>
      </c>
      <c r="J2138" s="531">
        <v>21000000</v>
      </c>
    </row>
    <row r="2139" spans="1:10" ht="56.25">
      <c r="A2139" s="657" t="s">
        <v>1563</v>
      </c>
      <c r="B2139" s="324" t="s">
        <v>1570</v>
      </c>
      <c r="C2139" s="601" t="s">
        <v>1571</v>
      </c>
      <c r="D2139" s="569">
        <v>4</v>
      </c>
      <c r="E2139" s="569">
        <v>7</v>
      </c>
      <c r="F2139" s="569" t="s">
        <v>1489</v>
      </c>
      <c r="G2139" s="73">
        <v>10000000</v>
      </c>
      <c r="H2139" s="569">
        <v>1</v>
      </c>
      <c r="I2139" s="35" t="s">
        <v>1490</v>
      </c>
      <c r="J2139" s="531">
        <v>39200000</v>
      </c>
    </row>
    <row r="2140" spans="1:10" ht="45">
      <c r="A2140" s="657" t="s">
        <v>1563</v>
      </c>
      <c r="B2140" s="324" t="s">
        <v>1572</v>
      </c>
      <c r="C2140" s="601" t="s">
        <v>1573</v>
      </c>
      <c r="D2140" s="569">
        <v>1</v>
      </c>
      <c r="E2140" s="569">
        <v>6</v>
      </c>
      <c r="F2140" s="569" t="s">
        <v>1489</v>
      </c>
      <c r="G2140" s="73">
        <v>1000000</v>
      </c>
      <c r="H2140" s="569">
        <v>1</v>
      </c>
      <c r="I2140" s="35" t="s">
        <v>1490</v>
      </c>
      <c r="J2140" s="531">
        <v>8400000</v>
      </c>
    </row>
    <row r="2141" spans="1:10" ht="45">
      <c r="A2141" s="657" t="s">
        <v>1563</v>
      </c>
      <c r="B2141" s="324" t="s">
        <v>1574</v>
      </c>
      <c r="C2141" s="601" t="s">
        <v>1575</v>
      </c>
      <c r="D2141" s="569">
        <v>1</v>
      </c>
      <c r="E2141" s="569">
        <v>6.5</v>
      </c>
      <c r="F2141" s="569" t="s">
        <v>1489</v>
      </c>
      <c r="G2141" s="73">
        <v>1500000</v>
      </c>
      <c r="H2141" s="569">
        <v>1</v>
      </c>
      <c r="I2141" s="35" t="s">
        <v>1490</v>
      </c>
      <c r="J2141" s="531">
        <v>9100000</v>
      </c>
    </row>
    <row r="2142" spans="1:10" ht="45">
      <c r="A2142" s="657" t="s">
        <v>1563</v>
      </c>
      <c r="B2142" s="324" t="s">
        <v>1576</v>
      </c>
      <c r="C2142" s="601" t="s">
        <v>1577</v>
      </c>
      <c r="D2142" s="569">
        <v>0.7</v>
      </c>
      <c r="E2142" s="569">
        <v>7</v>
      </c>
      <c r="F2142" s="569" t="s">
        <v>1489</v>
      </c>
      <c r="G2142" s="73">
        <v>1000000</v>
      </c>
      <c r="H2142" s="569">
        <v>1</v>
      </c>
      <c r="I2142" s="35" t="s">
        <v>1490</v>
      </c>
      <c r="J2142" s="531">
        <v>6860000</v>
      </c>
    </row>
    <row r="2143" spans="1:10" ht="56.25">
      <c r="A2143" s="657" t="s">
        <v>1563</v>
      </c>
      <c r="B2143" s="324" t="s">
        <v>1578</v>
      </c>
      <c r="C2143" s="601" t="s">
        <v>1579</v>
      </c>
      <c r="D2143" s="569">
        <v>6</v>
      </c>
      <c r="E2143" s="569">
        <v>7</v>
      </c>
      <c r="F2143" s="569" t="s">
        <v>1489</v>
      </c>
      <c r="G2143" s="73">
        <v>10000000</v>
      </c>
      <c r="H2143" s="569">
        <v>1</v>
      </c>
      <c r="I2143" s="35" t="s">
        <v>1490</v>
      </c>
      <c r="J2143" s="531">
        <v>58800000</v>
      </c>
    </row>
    <row r="2144" spans="1:10" ht="67.5">
      <c r="A2144" s="657" t="s">
        <v>1563</v>
      </c>
      <c r="B2144" s="324" t="s">
        <v>1580</v>
      </c>
      <c r="C2144" s="601" t="s">
        <v>1581</v>
      </c>
      <c r="D2144" s="569">
        <v>9</v>
      </c>
      <c r="E2144" s="569">
        <v>7</v>
      </c>
      <c r="F2144" s="569" t="s">
        <v>1489</v>
      </c>
      <c r="G2144" s="73">
        <v>20000000</v>
      </c>
      <c r="H2144" s="569">
        <v>1</v>
      </c>
      <c r="I2144" s="35" t="s">
        <v>1490</v>
      </c>
      <c r="J2144" s="531">
        <v>88200000</v>
      </c>
    </row>
    <row r="2145" spans="1:10" ht="56.25">
      <c r="A2145" s="657" t="s">
        <v>1563</v>
      </c>
      <c r="B2145" s="324" t="s">
        <v>1582</v>
      </c>
      <c r="C2145" s="601" t="s">
        <v>1583</v>
      </c>
      <c r="D2145" s="569">
        <v>3.5</v>
      </c>
      <c r="E2145" s="569">
        <v>6.5</v>
      </c>
      <c r="F2145" s="569" t="s">
        <v>1489</v>
      </c>
      <c r="G2145" s="73">
        <v>10000000</v>
      </c>
      <c r="H2145" s="569">
        <v>1</v>
      </c>
      <c r="I2145" s="35" t="s">
        <v>1490</v>
      </c>
      <c r="J2145" s="531">
        <v>31850000</v>
      </c>
    </row>
    <row r="2146" spans="1:10" ht="56.25">
      <c r="A2146" s="657" t="s">
        <v>1563</v>
      </c>
      <c r="B2146" s="324" t="s">
        <v>1584</v>
      </c>
      <c r="C2146" s="601" t="s">
        <v>1585</v>
      </c>
      <c r="D2146" s="569">
        <v>3.5</v>
      </c>
      <c r="E2146" s="569">
        <v>6</v>
      </c>
      <c r="F2146" s="569" t="s">
        <v>1489</v>
      </c>
      <c r="G2146" s="73">
        <v>10000000</v>
      </c>
      <c r="H2146" s="569">
        <v>1</v>
      </c>
      <c r="I2146" s="35" t="s">
        <v>1490</v>
      </c>
      <c r="J2146" s="531">
        <v>29400000</v>
      </c>
    </row>
    <row r="2147" spans="1:10" ht="56.25">
      <c r="A2147" s="657" t="s">
        <v>1563</v>
      </c>
      <c r="B2147" s="324" t="s">
        <v>1491</v>
      </c>
      <c r="C2147" s="601" t="s">
        <v>1586</v>
      </c>
      <c r="D2147" s="569">
        <v>4</v>
      </c>
      <c r="E2147" s="569">
        <v>6</v>
      </c>
      <c r="F2147" s="569" t="s">
        <v>1489</v>
      </c>
      <c r="G2147" s="73">
        <v>15000000</v>
      </c>
      <c r="H2147" s="569">
        <v>1</v>
      </c>
      <c r="I2147" s="35" t="s">
        <v>1490</v>
      </c>
      <c r="J2147" s="531">
        <v>33600000</v>
      </c>
    </row>
    <row r="2148" spans="1:10" ht="45">
      <c r="A2148" s="657" t="s">
        <v>1563</v>
      </c>
      <c r="B2148" s="324" t="s">
        <v>1587</v>
      </c>
      <c r="C2148" s="601" t="s">
        <v>1588</v>
      </c>
      <c r="D2148" s="569">
        <v>3.5</v>
      </c>
      <c r="E2148" s="569">
        <v>6</v>
      </c>
      <c r="F2148" s="569" t="s">
        <v>1489</v>
      </c>
      <c r="G2148" s="73">
        <v>10000000</v>
      </c>
      <c r="H2148" s="569">
        <v>2</v>
      </c>
      <c r="I2148" s="35" t="s">
        <v>1490</v>
      </c>
      <c r="J2148" s="531">
        <v>29400000</v>
      </c>
    </row>
    <row r="2149" spans="1:10" ht="56.25">
      <c r="A2149" s="657" t="s">
        <v>1563</v>
      </c>
      <c r="B2149" s="324" t="s">
        <v>1589</v>
      </c>
      <c r="C2149" s="601" t="s">
        <v>1590</v>
      </c>
      <c r="D2149" s="569">
        <v>4</v>
      </c>
      <c r="E2149" s="569">
        <v>6</v>
      </c>
      <c r="F2149" s="569" t="s">
        <v>1489</v>
      </c>
      <c r="G2149" s="73">
        <v>9000000</v>
      </c>
      <c r="H2149" s="569">
        <v>2</v>
      </c>
      <c r="I2149" s="35" t="s">
        <v>1490</v>
      </c>
      <c r="J2149" s="531">
        <v>33600000</v>
      </c>
    </row>
    <row r="2150" spans="1:10" ht="45">
      <c r="A2150" s="657" t="s">
        <v>1563</v>
      </c>
      <c r="B2150" s="324" t="s">
        <v>1591</v>
      </c>
      <c r="C2150" s="601" t="s">
        <v>1592</v>
      </c>
      <c r="D2150" s="569">
        <v>4</v>
      </c>
      <c r="E2150" s="569">
        <v>6</v>
      </c>
      <c r="F2150" s="569" t="s">
        <v>1489</v>
      </c>
      <c r="G2150" s="73">
        <v>9000000</v>
      </c>
      <c r="H2150" s="569">
        <v>2</v>
      </c>
      <c r="I2150" s="35" t="s">
        <v>1490</v>
      </c>
      <c r="J2150" s="531">
        <v>33600000</v>
      </c>
    </row>
    <row r="2151" spans="1:10" ht="45">
      <c r="A2151" s="657" t="s">
        <v>1563</v>
      </c>
      <c r="B2151" s="324" t="s">
        <v>1593</v>
      </c>
      <c r="C2151" s="601" t="s">
        <v>1594</v>
      </c>
      <c r="D2151" s="569">
        <v>5</v>
      </c>
      <c r="E2151" s="569">
        <v>6</v>
      </c>
      <c r="F2151" s="569" t="s">
        <v>1489</v>
      </c>
      <c r="G2151" s="73">
        <v>15000000</v>
      </c>
      <c r="H2151" s="569">
        <v>2</v>
      </c>
      <c r="I2151" s="35" t="s">
        <v>1490</v>
      </c>
      <c r="J2151" s="531">
        <v>42000000</v>
      </c>
    </row>
    <row r="2152" spans="1:10" ht="78.75">
      <c r="A2152" s="22">
        <v>3</v>
      </c>
      <c r="B2152" s="26" t="s">
        <v>1556</v>
      </c>
      <c r="C2152" s="569" t="s">
        <v>23725</v>
      </c>
      <c r="D2152" s="569">
        <v>12.04</v>
      </c>
      <c r="E2152" s="569">
        <v>7</v>
      </c>
      <c r="F2152" s="569" t="s">
        <v>23726</v>
      </c>
      <c r="G2152" s="73">
        <v>0</v>
      </c>
      <c r="H2152" s="569" t="s">
        <v>30</v>
      </c>
      <c r="I2152" s="569" t="s">
        <v>23727</v>
      </c>
      <c r="J2152" s="531">
        <v>95550000</v>
      </c>
    </row>
    <row r="2153" spans="1:10" ht="15.75">
      <c r="A2153" s="1013" t="s">
        <v>189</v>
      </c>
      <c r="B2153" s="1014"/>
      <c r="C2153" s="1014"/>
      <c r="D2153" s="1014"/>
      <c r="E2153" s="1014"/>
      <c r="F2153" s="1014"/>
      <c r="G2153" s="550">
        <f>SUM(G2097:G2152)</f>
        <v>719900000</v>
      </c>
      <c r="H2153" s="564"/>
      <c r="I2153" s="564"/>
      <c r="J2153" s="626">
        <f>SUM(J2097:J2152)</f>
        <v>1757747500</v>
      </c>
    </row>
    <row r="2154" spans="1:10" ht="15.75">
      <c r="A2154" s="1013" t="s">
        <v>118</v>
      </c>
      <c r="B2154" s="1014"/>
      <c r="C2154" s="1014"/>
      <c r="D2154" s="1014"/>
      <c r="E2154" s="1014"/>
      <c r="F2154" s="1014"/>
      <c r="G2154" s="1014"/>
      <c r="H2154" s="1014"/>
      <c r="I2154" s="1014"/>
      <c r="J2154" s="1015"/>
    </row>
    <row r="2155" spans="1:10" ht="36">
      <c r="A2155" s="15" t="s">
        <v>119</v>
      </c>
      <c r="B2155" s="16" t="s">
        <v>120</v>
      </c>
      <c r="C2155" s="16">
        <v>506003</v>
      </c>
      <c r="D2155" s="18">
        <v>5.5</v>
      </c>
      <c r="E2155" s="18">
        <v>6</v>
      </c>
      <c r="F2155" s="17" t="s">
        <v>121</v>
      </c>
      <c r="G2155" s="604">
        <v>13200000</v>
      </c>
      <c r="H2155" s="16" t="s">
        <v>31</v>
      </c>
      <c r="I2155" s="17" t="s">
        <v>122</v>
      </c>
      <c r="J2155" s="509">
        <v>49500000</v>
      </c>
    </row>
    <row r="2156" spans="1:10" ht="38.25">
      <c r="A2156" s="15" t="s">
        <v>119</v>
      </c>
      <c r="B2156" s="16" t="s">
        <v>123</v>
      </c>
      <c r="C2156" s="16">
        <v>506008</v>
      </c>
      <c r="D2156" s="18">
        <v>2.5</v>
      </c>
      <c r="E2156" s="18">
        <v>5.5</v>
      </c>
      <c r="F2156" s="16" t="s">
        <v>124</v>
      </c>
      <c r="G2156" s="604">
        <v>5500000</v>
      </c>
      <c r="H2156" s="16" t="s">
        <v>125</v>
      </c>
      <c r="I2156" s="17" t="s">
        <v>122</v>
      </c>
      <c r="J2156" s="509">
        <v>20600000</v>
      </c>
    </row>
    <row r="2157" spans="1:10" ht="38.25">
      <c r="A2157" s="15" t="s">
        <v>119</v>
      </c>
      <c r="B2157" s="605" t="s">
        <v>126</v>
      </c>
      <c r="C2157" s="16">
        <v>506009</v>
      </c>
      <c r="D2157" s="18">
        <v>2.4</v>
      </c>
      <c r="E2157" s="18">
        <v>5.5</v>
      </c>
      <c r="F2157" s="16" t="s">
        <v>124</v>
      </c>
      <c r="G2157" s="604">
        <v>5300000</v>
      </c>
      <c r="H2157" s="16" t="s">
        <v>125</v>
      </c>
      <c r="I2157" s="17" t="s">
        <v>122</v>
      </c>
      <c r="J2157" s="509">
        <v>19800000</v>
      </c>
    </row>
    <row r="2158" spans="1:10" ht="38.25">
      <c r="A2158" s="15" t="s">
        <v>119</v>
      </c>
      <c r="B2158" s="605" t="s">
        <v>127</v>
      </c>
      <c r="C2158" s="16">
        <v>506010</v>
      </c>
      <c r="D2158" s="18">
        <v>5.4</v>
      </c>
      <c r="E2158" s="18">
        <v>6</v>
      </c>
      <c r="F2158" s="16" t="s">
        <v>121</v>
      </c>
      <c r="G2158" s="604">
        <v>13000000</v>
      </c>
      <c r="H2158" s="16" t="s">
        <v>125</v>
      </c>
      <c r="I2158" s="17" t="s">
        <v>122</v>
      </c>
      <c r="J2158" s="509">
        <v>48600000</v>
      </c>
    </row>
    <row r="2159" spans="1:10" ht="38.25">
      <c r="A2159" s="15" t="s">
        <v>119</v>
      </c>
      <c r="B2159" s="16" t="s">
        <v>128</v>
      </c>
      <c r="C2159" s="16">
        <v>506011</v>
      </c>
      <c r="D2159" s="18">
        <v>7.5</v>
      </c>
      <c r="E2159" s="18">
        <v>5.5</v>
      </c>
      <c r="F2159" s="16" t="s">
        <v>129</v>
      </c>
      <c r="G2159" s="604">
        <v>16500000</v>
      </c>
      <c r="H2159" s="16" t="s">
        <v>125</v>
      </c>
      <c r="I2159" s="17" t="s">
        <v>122</v>
      </c>
      <c r="J2159" s="509">
        <v>61900000</v>
      </c>
    </row>
    <row r="2160" spans="1:10" ht="38.25">
      <c r="A2160" s="15" t="s">
        <v>119</v>
      </c>
      <c r="B2160" s="16" t="s">
        <v>130</v>
      </c>
      <c r="C2160" s="16">
        <v>506019</v>
      </c>
      <c r="D2160" s="18">
        <v>2</v>
      </c>
      <c r="E2160" s="18">
        <v>8</v>
      </c>
      <c r="F2160" s="16" t="s">
        <v>124</v>
      </c>
      <c r="G2160" s="604">
        <v>14400000</v>
      </c>
      <c r="H2160" s="16" t="s">
        <v>31</v>
      </c>
      <c r="I2160" s="17" t="s">
        <v>122</v>
      </c>
      <c r="J2160" s="509">
        <v>24000000</v>
      </c>
    </row>
    <row r="2161" spans="1:10" ht="38.25">
      <c r="A2161" s="15" t="s">
        <v>119</v>
      </c>
      <c r="B2161" s="606" t="s">
        <v>131</v>
      </c>
      <c r="C2161" s="16">
        <v>506022</v>
      </c>
      <c r="D2161" s="18">
        <v>4.3</v>
      </c>
      <c r="E2161" s="18">
        <v>5.5</v>
      </c>
      <c r="F2161" s="16" t="s">
        <v>124</v>
      </c>
      <c r="G2161" s="604">
        <v>9500000</v>
      </c>
      <c r="H2161" s="16" t="s">
        <v>125</v>
      </c>
      <c r="I2161" s="17" t="s">
        <v>122</v>
      </c>
      <c r="J2161" s="509">
        <v>35500000</v>
      </c>
    </row>
    <row r="2162" spans="1:10" ht="38.25">
      <c r="A2162" s="15" t="s">
        <v>119</v>
      </c>
      <c r="B2162" s="607" t="s">
        <v>132</v>
      </c>
      <c r="C2162" s="16">
        <v>506023</v>
      </c>
      <c r="D2162" s="18">
        <v>1</v>
      </c>
      <c r="E2162" s="18">
        <v>5.5</v>
      </c>
      <c r="F2162" s="16" t="s">
        <v>124</v>
      </c>
      <c r="G2162" s="604">
        <v>2200000</v>
      </c>
      <c r="H2162" s="16" t="s">
        <v>125</v>
      </c>
      <c r="I2162" s="17" t="s">
        <v>122</v>
      </c>
      <c r="J2162" s="509">
        <v>8300000</v>
      </c>
    </row>
    <row r="2163" spans="1:10" ht="38.25">
      <c r="A2163" s="15" t="s">
        <v>119</v>
      </c>
      <c r="B2163" s="607" t="s">
        <v>133</v>
      </c>
      <c r="C2163" s="16">
        <v>506024</v>
      </c>
      <c r="D2163" s="18">
        <v>3.8</v>
      </c>
      <c r="E2163" s="18">
        <v>6</v>
      </c>
      <c r="F2163" s="16" t="s">
        <v>121</v>
      </c>
      <c r="G2163" s="604">
        <v>9100000</v>
      </c>
      <c r="H2163" s="16" t="s">
        <v>125</v>
      </c>
      <c r="I2163" s="17" t="s">
        <v>122</v>
      </c>
      <c r="J2163" s="509">
        <v>34200000</v>
      </c>
    </row>
    <row r="2164" spans="1:10" ht="38.25">
      <c r="A2164" s="15" t="s">
        <v>119</v>
      </c>
      <c r="B2164" s="607" t="s">
        <v>134</v>
      </c>
      <c r="C2164" s="16">
        <v>506025</v>
      </c>
      <c r="D2164" s="18">
        <v>5.3</v>
      </c>
      <c r="E2164" s="18">
        <v>6</v>
      </c>
      <c r="F2164" s="16" t="s">
        <v>121</v>
      </c>
      <c r="G2164" s="604">
        <v>12700000</v>
      </c>
      <c r="H2164" s="16" t="s">
        <v>125</v>
      </c>
      <c r="I2164" s="17" t="s">
        <v>122</v>
      </c>
      <c r="J2164" s="509">
        <v>47700000</v>
      </c>
    </row>
    <row r="2165" spans="1:10" ht="38.25">
      <c r="A2165" s="15" t="s">
        <v>119</v>
      </c>
      <c r="B2165" s="607" t="s">
        <v>135</v>
      </c>
      <c r="C2165" s="16">
        <v>506026</v>
      </c>
      <c r="D2165" s="18">
        <v>12.1</v>
      </c>
      <c r="E2165" s="18">
        <v>6</v>
      </c>
      <c r="F2165" s="16" t="s">
        <v>121</v>
      </c>
      <c r="G2165" s="604">
        <v>29000000</v>
      </c>
      <c r="H2165" s="16" t="s">
        <v>125</v>
      </c>
      <c r="I2165" s="17" t="s">
        <v>122</v>
      </c>
      <c r="J2165" s="509">
        <v>108900000</v>
      </c>
    </row>
    <row r="2166" spans="1:10" ht="38.25">
      <c r="A2166" s="15" t="s">
        <v>119</v>
      </c>
      <c r="B2166" s="607" t="s">
        <v>136</v>
      </c>
      <c r="C2166" s="16">
        <v>506027</v>
      </c>
      <c r="D2166" s="18">
        <v>2.5</v>
      </c>
      <c r="E2166" s="18">
        <v>5</v>
      </c>
      <c r="F2166" s="16" t="s">
        <v>121</v>
      </c>
      <c r="G2166" s="604">
        <v>5000000</v>
      </c>
      <c r="H2166" s="16" t="s">
        <v>125</v>
      </c>
      <c r="I2166" s="17" t="s">
        <v>122</v>
      </c>
      <c r="J2166" s="509">
        <v>18800000</v>
      </c>
    </row>
    <row r="2167" spans="1:10" ht="36">
      <c r="A2167" s="15" t="s">
        <v>119</v>
      </c>
      <c r="B2167" s="607" t="s">
        <v>136</v>
      </c>
      <c r="C2167" s="16">
        <v>506028</v>
      </c>
      <c r="D2167" s="19">
        <v>2</v>
      </c>
      <c r="E2167" s="18">
        <v>5</v>
      </c>
      <c r="F2167" s="17" t="s">
        <v>121</v>
      </c>
      <c r="G2167" s="604">
        <v>4000000</v>
      </c>
      <c r="H2167" s="16" t="s">
        <v>125</v>
      </c>
      <c r="I2167" s="17" t="s">
        <v>122</v>
      </c>
      <c r="J2167" s="509">
        <v>15000000</v>
      </c>
    </row>
    <row r="2168" spans="1:10" ht="38.25">
      <c r="A2168" s="15" t="s">
        <v>119</v>
      </c>
      <c r="B2168" s="607" t="s">
        <v>137</v>
      </c>
      <c r="C2168" s="16">
        <v>506029</v>
      </c>
      <c r="D2168" s="19">
        <v>1.7</v>
      </c>
      <c r="E2168" s="18">
        <v>5</v>
      </c>
      <c r="F2168" s="16" t="s">
        <v>124</v>
      </c>
      <c r="G2168" s="604">
        <v>3400000</v>
      </c>
      <c r="H2168" s="16" t="s">
        <v>125</v>
      </c>
      <c r="I2168" s="17" t="s">
        <v>122</v>
      </c>
      <c r="J2168" s="509">
        <v>12800000</v>
      </c>
    </row>
    <row r="2169" spans="1:10" ht="38.25">
      <c r="A2169" s="15" t="s">
        <v>119</v>
      </c>
      <c r="B2169" s="607" t="s">
        <v>138</v>
      </c>
      <c r="C2169" s="16">
        <v>506030</v>
      </c>
      <c r="D2169" s="19">
        <v>3.1</v>
      </c>
      <c r="E2169" s="18">
        <v>5</v>
      </c>
      <c r="F2169" s="16" t="s">
        <v>124</v>
      </c>
      <c r="G2169" s="604">
        <v>6200000</v>
      </c>
      <c r="H2169" s="16" t="s">
        <v>125</v>
      </c>
      <c r="I2169" s="17" t="s">
        <v>122</v>
      </c>
      <c r="J2169" s="509">
        <v>23300000</v>
      </c>
    </row>
    <row r="2170" spans="1:10" ht="38.25">
      <c r="A2170" s="15" t="s">
        <v>119</v>
      </c>
      <c r="B2170" s="607" t="s">
        <v>139</v>
      </c>
      <c r="C2170" s="16">
        <v>506035</v>
      </c>
      <c r="D2170" s="19">
        <v>4.0999999999999996</v>
      </c>
      <c r="E2170" s="18">
        <v>5</v>
      </c>
      <c r="F2170" s="16" t="s">
        <v>124</v>
      </c>
      <c r="G2170" s="604">
        <v>8200000</v>
      </c>
      <c r="H2170" s="16" t="s">
        <v>31</v>
      </c>
      <c r="I2170" s="17" t="s">
        <v>122</v>
      </c>
      <c r="J2170" s="509">
        <v>30800000</v>
      </c>
    </row>
    <row r="2171" spans="1:10" ht="36">
      <c r="A2171" s="15" t="s">
        <v>119</v>
      </c>
      <c r="B2171" s="607" t="s">
        <v>19</v>
      </c>
      <c r="C2171" s="16">
        <v>506039</v>
      </c>
      <c r="D2171" s="19">
        <v>1.5</v>
      </c>
      <c r="E2171" s="18">
        <v>6</v>
      </c>
      <c r="F2171" s="17" t="s">
        <v>121</v>
      </c>
      <c r="G2171" s="604">
        <v>3600000</v>
      </c>
      <c r="H2171" s="16" t="s">
        <v>31</v>
      </c>
      <c r="I2171" s="17" t="s">
        <v>122</v>
      </c>
      <c r="J2171" s="509">
        <v>13500000</v>
      </c>
    </row>
    <row r="2172" spans="1:10" ht="38.25">
      <c r="A2172" s="15" t="s">
        <v>119</v>
      </c>
      <c r="B2172" s="607" t="s">
        <v>140</v>
      </c>
      <c r="C2172" s="16">
        <v>506040</v>
      </c>
      <c r="D2172" s="19">
        <v>1.4</v>
      </c>
      <c r="E2172" s="18">
        <v>6</v>
      </c>
      <c r="F2172" s="16" t="s">
        <v>124</v>
      </c>
      <c r="G2172" s="604">
        <v>3400000</v>
      </c>
      <c r="H2172" s="16" t="s">
        <v>31</v>
      </c>
      <c r="I2172" s="17" t="s">
        <v>122</v>
      </c>
      <c r="J2172" s="509">
        <v>12600000</v>
      </c>
    </row>
    <row r="2173" spans="1:10" ht="38.25">
      <c r="A2173" s="15" t="s">
        <v>119</v>
      </c>
      <c r="B2173" s="607" t="s">
        <v>141</v>
      </c>
      <c r="C2173" s="16">
        <v>506041</v>
      </c>
      <c r="D2173" s="19">
        <v>4.9000000000000004</v>
      </c>
      <c r="E2173" s="18">
        <v>6</v>
      </c>
      <c r="F2173" s="16" t="s">
        <v>124</v>
      </c>
      <c r="G2173" s="604">
        <v>11800000</v>
      </c>
      <c r="H2173" s="16" t="s">
        <v>31</v>
      </c>
      <c r="I2173" s="17" t="s">
        <v>122</v>
      </c>
      <c r="J2173" s="509">
        <v>44100000</v>
      </c>
    </row>
    <row r="2174" spans="1:10" ht="38.25">
      <c r="A2174" s="15" t="s">
        <v>119</v>
      </c>
      <c r="B2174" s="605" t="s">
        <v>142</v>
      </c>
      <c r="C2174" s="16">
        <v>506042</v>
      </c>
      <c r="D2174" s="19">
        <v>2.7</v>
      </c>
      <c r="E2174" s="18">
        <v>6</v>
      </c>
      <c r="F2174" s="16" t="s">
        <v>124</v>
      </c>
      <c r="G2174" s="604">
        <v>6500000</v>
      </c>
      <c r="H2174" s="16" t="s">
        <v>31</v>
      </c>
      <c r="I2174" s="17" t="s">
        <v>122</v>
      </c>
      <c r="J2174" s="509">
        <v>24300000</v>
      </c>
    </row>
    <row r="2175" spans="1:10" ht="38.25">
      <c r="A2175" s="15" t="s">
        <v>119</v>
      </c>
      <c r="B2175" s="606" t="s">
        <v>143</v>
      </c>
      <c r="C2175" s="16">
        <v>506043</v>
      </c>
      <c r="D2175" s="18">
        <v>2.5</v>
      </c>
      <c r="E2175" s="18">
        <v>6</v>
      </c>
      <c r="F2175" s="16" t="s">
        <v>121</v>
      </c>
      <c r="G2175" s="604">
        <v>6000000</v>
      </c>
      <c r="H2175" s="16" t="s">
        <v>31</v>
      </c>
      <c r="I2175" s="17" t="s">
        <v>122</v>
      </c>
      <c r="J2175" s="509">
        <v>22500000</v>
      </c>
    </row>
    <row r="2176" spans="1:10" ht="38.25">
      <c r="A2176" s="15" t="s">
        <v>119</v>
      </c>
      <c r="B2176" s="607" t="s">
        <v>144</v>
      </c>
      <c r="C2176" s="16">
        <v>506067</v>
      </c>
      <c r="D2176" s="18">
        <v>1</v>
      </c>
      <c r="E2176" s="19">
        <v>6</v>
      </c>
      <c r="F2176" s="16" t="s">
        <v>124</v>
      </c>
      <c r="G2176" s="604">
        <v>2400000</v>
      </c>
      <c r="H2176" s="16" t="s">
        <v>31</v>
      </c>
      <c r="I2176" s="17" t="s">
        <v>122</v>
      </c>
      <c r="J2176" s="509">
        <v>9000000</v>
      </c>
    </row>
    <row r="2177" spans="1:10" ht="38.25">
      <c r="A2177" s="15" t="s">
        <v>119</v>
      </c>
      <c r="B2177" s="607" t="s">
        <v>145</v>
      </c>
      <c r="C2177" s="16">
        <v>506069</v>
      </c>
      <c r="D2177" s="18">
        <v>5.2</v>
      </c>
      <c r="E2177" s="19">
        <v>8.91</v>
      </c>
      <c r="F2177" s="16" t="s">
        <v>124</v>
      </c>
      <c r="G2177" s="604">
        <v>18500000</v>
      </c>
      <c r="H2177" s="16" t="s">
        <v>31</v>
      </c>
      <c r="I2177" s="17" t="s">
        <v>122</v>
      </c>
      <c r="J2177" s="509">
        <v>69500000</v>
      </c>
    </row>
    <row r="2178" spans="1:10" ht="38.25">
      <c r="A2178" s="15" t="s">
        <v>119</v>
      </c>
      <c r="B2178" s="607" t="s">
        <v>146</v>
      </c>
      <c r="C2178" s="16">
        <v>506070</v>
      </c>
      <c r="D2178" s="18">
        <v>1.9</v>
      </c>
      <c r="E2178" s="19">
        <v>5.5</v>
      </c>
      <c r="F2178" s="16" t="s">
        <v>124</v>
      </c>
      <c r="G2178" s="604">
        <v>4200000</v>
      </c>
      <c r="H2178" s="16" t="s">
        <v>31</v>
      </c>
      <c r="I2178" s="17" t="s">
        <v>122</v>
      </c>
      <c r="J2178" s="509">
        <v>15700000</v>
      </c>
    </row>
    <row r="2179" spans="1:10" ht="38.25">
      <c r="A2179" s="15" t="s">
        <v>119</v>
      </c>
      <c r="B2179" s="607" t="s">
        <v>147</v>
      </c>
      <c r="C2179" s="16">
        <v>506072</v>
      </c>
      <c r="D2179" s="18">
        <v>1.7</v>
      </c>
      <c r="E2179" s="19">
        <v>6</v>
      </c>
      <c r="F2179" s="16" t="s">
        <v>124</v>
      </c>
      <c r="G2179" s="604">
        <v>4100000</v>
      </c>
      <c r="H2179" s="16" t="s">
        <v>31</v>
      </c>
      <c r="I2179" s="17" t="s">
        <v>122</v>
      </c>
      <c r="J2179" s="509">
        <v>15300000</v>
      </c>
    </row>
    <row r="2180" spans="1:10" ht="38.25">
      <c r="A2180" s="20" t="s">
        <v>119</v>
      </c>
      <c r="B2180" s="607" t="s">
        <v>148</v>
      </c>
      <c r="C2180" s="16">
        <v>506074</v>
      </c>
      <c r="D2180" s="18">
        <v>0.9</v>
      </c>
      <c r="E2180" s="19">
        <v>6</v>
      </c>
      <c r="F2180" s="16" t="s">
        <v>124</v>
      </c>
      <c r="G2180" s="604">
        <v>2200000</v>
      </c>
      <c r="H2180" s="16" t="s">
        <v>31</v>
      </c>
      <c r="I2180" s="17" t="s">
        <v>122</v>
      </c>
      <c r="J2180" s="509">
        <v>8100000</v>
      </c>
    </row>
    <row r="2181" spans="1:10" ht="38.25">
      <c r="A2181" s="20" t="s">
        <v>119</v>
      </c>
      <c r="B2181" s="607" t="s">
        <v>149</v>
      </c>
      <c r="C2181" s="16">
        <v>506076</v>
      </c>
      <c r="D2181" s="18">
        <v>1.8</v>
      </c>
      <c r="E2181" s="19">
        <v>6</v>
      </c>
      <c r="F2181" s="16" t="s">
        <v>124</v>
      </c>
      <c r="G2181" s="604">
        <v>4300000</v>
      </c>
      <c r="H2181" s="16" t="s">
        <v>125</v>
      </c>
      <c r="I2181" s="17" t="s">
        <v>122</v>
      </c>
      <c r="J2181" s="509">
        <v>16200000</v>
      </c>
    </row>
    <row r="2182" spans="1:10" ht="38.25">
      <c r="A2182" s="20" t="s">
        <v>119</v>
      </c>
      <c r="B2182" s="607" t="s">
        <v>149</v>
      </c>
      <c r="C2182" s="16">
        <v>506077</v>
      </c>
      <c r="D2182" s="18">
        <v>3.5</v>
      </c>
      <c r="E2182" s="19">
        <v>5.5</v>
      </c>
      <c r="F2182" s="16" t="s">
        <v>124</v>
      </c>
      <c r="G2182" s="604">
        <v>7700000</v>
      </c>
      <c r="H2182" s="16" t="s">
        <v>125</v>
      </c>
      <c r="I2182" s="17" t="s">
        <v>122</v>
      </c>
      <c r="J2182" s="509">
        <v>28900000</v>
      </c>
    </row>
    <row r="2183" spans="1:10" ht="38.25">
      <c r="A2183" s="15" t="s">
        <v>150</v>
      </c>
      <c r="B2183" s="16" t="s">
        <v>151</v>
      </c>
      <c r="C2183" s="16">
        <v>506001</v>
      </c>
      <c r="D2183" s="18">
        <v>11.85</v>
      </c>
      <c r="E2183" s="18">
        <v>6</v>
      </c>
      <c r="F2183" s="16" t="s">
        <v>124</v>
      </c>
      <c r="G2183" s="495">
        <v>28400000</v>
      </c>
      <c r="H2183" s="16" t="s">
        <v>125</v>
      </c>
      <c r="I2183" s="17" t="s">
        <v>122</v>
      </c>
      <c r="J2183" s="509">
        <v>106700000</v>
      </c>
    </row>
    <row r="2184" spans="1:10" ht="36">
      <c r="A2184" s="15" t="s">
        <v>150</v>
      </c>
      <c r="B2184" s="605" t="s">
        <v>152</v>
      </c>
      <c r="C2184" s="16">
        <v>506002</v>
      </c>
      <c r="D2184" s="19">
        <v>6.3</v>
      </c>
      <c r="E2184" s="18">
        <v>6</v>
      </c>
      <c r="F2184" s="17" t="s">
        <v>121</v>
      </c>
      <c r="G2184" s="604">
        <v>15100000</v>
      </c>
      <c r="H2184" s="16" t="s">
        <v>31</v>
      </c>
      <c r="I2184" s="17" t="s">
        <v>122</v>
      </c>
      <c r="J2184" s="509">
        <v>56700000</v>
      </c>
    </row>
    <row r="2185" spans="1:10" ht="36">
      <c r="A2185" s="15" t="s">
        <v>150</v>
      </c>
      <c r="B2185" s="16" t="s">
        <v>153</v>
      </c>
      <c r="C2185" s="16">
        <v>506017</v>
      </c>
      <c r="D2185" s="18">
        <v>2</v>
      </c>
      <c r="E2185" s="18">
        <v>5.5</v>
      </c>
      <c r="F2185" s="17" t="s">
        <v>121</v>
      </c>
      <c r="G2185" s="604">
        <v>4400000</v>
      </c>
      <c r="H2185" s="16" t="s">
        <v>31</v>
      </c>
      <c r="I2185" s="17" t="s">
        <v>122</v>
      </c>
      <c r="J2185" s="509">
        <v>16500000</v>
      </c>
    </row>
    <row r="2186" spans="1:10" ht="38.25">
      <c r="A2186" s="15" t="s">
        <v>150</v>
      </c>
      <c r="B2186" s="16" t="s">
        <v>154</v>
      </c>
      <c r="C2186" s="16">
        <v>506020</v>
      </c>
      <c r="D2186" s="18">
        <v>3.25</v>
      </c>
      <c r="E2186" s="18">
        <v>7</v>
      </c>
      <c r="F2186" s="16" t="s">
        <v>124</v>
      </c>
      <c r="G2186" s="604">
        <v>9100000</v>
      </c>
      <c r="H2186" s="16" t="s">
        <v>31</v>
      </c>
      <c r="I2186" s="17" t="s">
        <v>122</v>
      </c>
      <c r="J2186" s="509">
        <v>34100000</v>
      </c>
    </row>
    <row r="2187" spans="1:10" ht="38.25">
      <c r="A2187" s="15" t="s">
        <v>150</v>
      </c>
      <c r="B2187" s="606" t="s">
        <v>155</v>
      </c>
      <c r="C2187" s="16">
        <v>506024</v>
      </c>
      <c r="D2187" s="18">
        <v>5.65</v>
      </c>
      <c r="E2187" s="18">
        <v>5</v>
      </c>
      <c r="F2187" s="16" t="s">
        <v>124</v>
      </c>
      <c r="G2187" s="604">
        <v>11300000</v>
      </c>
      <c r="H2187" s="16" t="s">
        <v>125</v>
      </c>
      <c r="I2187" s="17" t="s">
        <v>122</v>
      </c>
      <c r="J2187" s="509">
        <v>42400000</v>
      </c>
    </row>
    <row r="2188" spans="1:10" ht="36">
      <c r="A2188" s="15" t="s">
        <v>150</v>
      </c>
      <c r="B2188" s="607" t="s">
        <v>156</v>
      </c>
      <c r="C2188" s="16">
        <v>506033</v>
      </c>
      <c r="D2188" s="18">
        <v>4.5</v>
      </c>
      <c r="E2188" s="18">
        <v>6</v>
      </c>
      <c r="F2188" s="17" t="s">
        <v>121</v>
      </c>
      <c r="G2188" s="604">
        <v>10800000</v>
      </c>
      <c r="H2188" s="16" t="s">
        <v>31</v>
      </c>
      <c r="I2188" s="17" t="s">
        <v>122</v>
      </c>
      <c r="J2188" s="509">
        <v>40500000</v>
      </c>
    </row>
    <row r="2189" spans="1:10" ht="36">
      <c r="A2189" s="15" t="s">
        <v>150</v>
      </c>
      <c r="B2189" s="607" t="s">
        <v>156</v>
      </c>
      <c r="C2189" s="16">
        <v>506034</v>
      </c>
      <c r="D2189" s="608">
        <v>2.1</v>
      </c>
      <c r="E2189" s="18">
        <v>6</v>
      </c>
      <c r="F2189" s="17" t="s">
        <v>121</v>
      </c>
      <c r="G2189" s="604">
        <v>5000000</v>
      </c>
      <c r="H2189" s="16" t="s">
        <v>31</v>
      </c>
      <c r="I2189" s="17" t="s">
        <v>122</v>
      </c>
      <c r="J2189" s="509">
        <v>18900000</v>
      </c>
    </row>
    <row r="2190" spans="1:10" ht="38.25">
      <c r="A2190" s="15" t="s">
        <v>150</v>
      </c>
      <c r="B2190" s="607" t="s">
        <v>157</v>
      </c>
      <c r="C2190" s="16">
        <v>506036</v>
      </c>
      <c r="D2190" s="608">
        <v>2.8</v>
      </c>
      <c r="E2190" s="18">
        <v>7</v>
      </c>
      <c r="F2190" s="16" t="s">
        <v>124</v>
      </c>
      <c r="G2190" s="604">
        <v>7800000</v>
      </c>
      <c r="H2190" s="16" t="s">
        <v>31</v>
      </c>
      <c r="I2190" s="17" t="s">
        <v>122</v>
      </c>
      <c r="J2190" s="509">
        <v>29400000</v>
      </c>
    </row>
    <row r="2191" spans="1:10" ht="38.25">
      <c r="A2191" s="15" t="s">
        <v>150</v>
      </c>
      <c r="B2191" s="607" t="s">
        <v>158</v>
      </c>
      <c r="C2191" s="16">
        <v>506037</v>
      </c>
      <c r="D2191" s="608">
        <v>2.7</v>
      </c>
      <c r="E2191" s="18">
        <v>6</v>
      </c>
      <c r="F2191" s="16" t="s">
        <v>124</v>
      </c>
      <c r="G2191" s="604">
        <v>6500000</v>
      </c>
      <c r="H2191" s="16" t="s">
        <v>31</v>
      </c>
      <c r="I2191" s="17" t="s">
        <v>122</v>
      </c>
      <c r="J2191" s="509">
        <v>24300000</v>
      </c>
    </row>
    <row r="2192" spans="1:10" ht="38.25">
      <c r="A2192" s="15" t="s">
        <v>150</v>
      </c>
      <c r="B2192" s="607" t="s">
        <v>159</v>
      </c>
      <c r="C2192" s="16">
        <v>506038</v>
      </c>
      <c r="D2192" s="608">
        <v>2.8</v>
      </c>
      <c r="E2192" s="18">
        <v>6</v>
      </c>
      <c r="F2192" s="16" t="s">
        <v>124</v>
      </c>
      <c r="G2192" s="604">
        <v>6700000</v>
      </c>
      <c r="H2192" s="16" t="s">
        <v>31</v>
      </c>
      <c r="I2192" s="17" t="s">
        <v>122</v>
      </c>
      <c r="J2192" s="509">
        <v>25200000</v>
      </c>
    </row>
    <row r="2193" spans="1:10" ht="38.25">
      <c r="A2193" s="15" t="s">
        <v>150</v>
      </c>
      <c r="B2193" s="607" t="s">
        <v>154</v>
      </c>
      <c r="C2193" s="16">
        <v>506060</v>
      </c>
      <c r="D2193" s="18">
        <v>6</v>
      </c>
      <c r="E2193" s="608">
        <v>2.7</v>
      </c>
      <c r="F2193" s="16" t="s">
        <v>124</v>
      </c>
      <c r="G2193" s="604">
        <v>6500000</v>
      </c>
      <c r="H2193" s="16" t="s">
        <v>125</v>
      </c>
      <c r="I2193" s="17" t="s">
        <v>122</v>
      </c>
      <c r="J2193" s="509">
        <v>24300000</v>
      </c>
    </row>
    <row r="2194" spans="1:10" ht="36">
      <c r="A2194" s="15" t="s">
        <v>150</v>
      </c>
      <c r="B2194" s="607" t="s">
        <v>160</v>
      </c>
      <c r="C2194" s="16">
        <v>506061</v>
      </c>
      <c r="D2194" s="18">
        <v>7</v>
      </c>
      <c r="E2194" s="608">
        <v>5.3</v>
      </c>
      <c r="F2194" s="17" t="s">
        <v>121</v>
      </c>
      <c r="G2194" s="604">
        <v>14800000</v>
      </c>
      <c r="H2194" s="16" t="s">
        <v>125</v>
      </c>
      <c r="I2194" s="17" t="s">
        <v>122</v>
      </c>
      <c r="J2194" s="509">
        <v>55700000</v>
      </c>
    </row>
    <row r="2195" spans="1:10" ht="36">
      <c r="A2195" s="15" t="s">
        <v>150</v>
      </c>
      <c r="B2195" s="607" t="s">
        <v>153</v>
      </c>
      <c r="C2195" s="16">
        <v>506062</v>
      </c>
      <c r="D2195" s="18">
        <v>8</v>
      </c>
      <c r="E2195" s="608">
        <v>2.758</v>
      </c>
      <c r="F2195" s="17" t="s">
        <v>121</v>
      </c>
      <c r="G2195" s="604">
        <v>8800000</v>
      </c>
      <c r="H2195" s="16" t="s">
        <v>31</v>
      </c>
      <c r="I2195" s="17" t="s">
        <v>122</v>
      </c>
      <c r="J2195" s="509">
        <v>33100000</v>
      </c>
    </row>
    <row r="2196" spans="1:10" ht="38.25">
      <c r="A2196" s="15" t="s">
        <v>150</v>
      </c>
      <c r="B2196" s="607" t="s">
        <v>161</v>
      </c>
      <c r="C2196" s="16">
        <v>506063</v>
      </c>
      <c r="D2196" s="18">
        <v>8</v>
      </c>
      <c r="E2196" s="608">
        <v>2.6</v>
      </c>
      <c r="F2196" s="16" t="s">
        <v>124</v>
      </c>
      <c r="G2196" s="604">
        <v>8300000</v>
      </c>
      <c r="H2196" s="16" t="s">
        <v>125</v>
      </c>
      <c r="I2196" s="17" t="s">
        <v>122</v>
      </c>
      <c r="J2196" s="509">
        <v>31200000</v>
      </c>
    </row>
    <row r="2197" spans="1:10" ht="38.25">
      <c r="A2197" s="15" t="s">
        <v>162</v>
      </c>
      <c r="B2197" s="16" t="s">
        <v>163</v>
      </c>
      <c r="C2197" s="16">
        <v>506007</v>
      </c>
      <c r="D2197" s="18">
        <v>6</v>
      </c>
      <c r="E2197" s="18">
        <v>5.5</v>
      </c>
      <c r="F2197" s="16" t="s">
        <v>124</v>
      </c>
      <c r="G2197" s="604">
        <v>13200000</v>
      </c>
      <c r="H2197" s="16" t="s">
        <v>31</v>
      </c>
      <c r="I2197" s="17" t="s">
        <v>122</v>
      </c>
      <c r="J2197" s="509">
        <v>49500000</v>
      </c>
    </row>
    <row r="2198" spans="1:10" ht="38.25">
      <c r="A2198" s="15" t="s">
        <v>162</v>
      </c>
      <c r="B2198" s="605" t="s">
        <v>164</v>
      </c>
      <c r="C2198" s="16">
        <v>506014</v>
      </c>
      <c r="D2198" s="19">
        <v>1.5</v>
      </c>
      <c r="E2198" s="18">
        <v>6</v>
      </c>
      <c r="F2198" s="16" t="s">
        <v>124</v>
      </c>
      <c r="G2198" s="604">
        <v>3600000</v>
      </c>
      <c r="H2198" s="16" t="s">
        <v>125</v>
      </c>
      <c r="I2198" s="17" t="s">
        <v>122</v>
      </c>
      <c r="J2198" s="509">
        <v>13500000</v>
      </c>
    </row>
    <row r="2199" spans="1:10" ht="38.25">
      <c r="A2199" s="15" t="s">
        <v>162</v>
      </c>
      <c r="B2199" s="16" t="s">
        <v>165</v>
      </c>
      <c r="C2199" s="16">
        <v>506016</v>
      </c>
      <c r="D2199" s="18">
        <v>8</v>
      </c>
      <c r="E2199" s="18">
        <v>6</v>
      </c>
      <c r="F2199" s="16" t="s">
        <v>124</v>
      </c>
      <c r="G2199" s="604">
        <v>19200000</v>
      </c>
      <c r="H2199" s="16" t="s">
        <v>125</v>
      </c>
      <c r="I2199" s="17" t="s">
        <v>122</v>
      </c>
      <c r="J2199" s="509">
        <v>72000000</v>
      </c>
    </row>
    <row r="2200" spans="1:10" ht="38.25">
      <c r="A2200" s="15" t="s">
        <v>162</v>
      </c>
      <c r="B2200" s="607" t="s">
        <v>166</v>
      </c>
      <c r="C2200" s="16">
        <v>506031</v>
      </c>
      <c r="D2200" s="19">
        <v>2.2000000000000002</v>
      </c>
      <c r="E2200" s="18">
        <v>5</v>
      </c>
      <c r="F2200" s="16" t="s">
        <v>124</v>
      </c>
      <c r="G2200" s="604">
        <v>4400000</v>
      </c>
      <c r="H2200" s="16" t="s">
        <v>125</v>
      </c>
      <c r="I2200" s="17" t="s">
        <v>122</v>
      </c>
      <c r="J2200" s="509">
        <v>16500000</v>
      </c>
    </row>
    <row r="2201" spans="1:10" ht="38.25">
      <c r="A2201" s="15" t="s">
        <v>162</v>
      </c>
      <c r="B2201" s="607" t="s">
        <v>167</v>
      </c>
      <c r="C2201" s="16">
        <v>506048</v>
      </c>
      <c r="D2201" s="19">
        <v>2.6</v>
      </c>
      <c r="E2201" s="18">
        <v>6</v>
      </c>
      <c r="F2201" s="16" t="s">
        <v>124</v>
      </c>
      <c r="G2201" s="604">
        <v>6200000</v>
      </c>
      <c r="H2201" s="16" t="s">
        <v>125</v>
      </c>
      <c r="I2201" s="17" t="s">
        <v>122</v>
      </c>
      <c r="J2201" s="509">
        <v>23400000</v>
      </c>
    </row>
    <row r="2202" spans="1:10" ht="38.25">
      <c r="A2202" s="15" t="s">
        <v>162</v>
      </c>
      <c r="B2202" s="606" t="s">
        <v>168</v>
      </c>
      <c r="C2202" s="16">
        <v>506049</v>
      </c>
      <c r="D2202" s="18">
        <v>6</v>
      </c>
      <c r="E2202" s="18">
        <v>5.5</v>
      </c>
      <c r="F2202" s="16" t="s">
        <v>124</v>
      </c>
      <c r="G2202" s="604">
        <v>13200000</v>
      </c>
      <c r="H2202" s="16" t="s">
        <v>31</v>
      </c>
      <c r="I2202" s="17" t="s">
        <v>122</v>
      </c>
      <c r="J2202" s="509">
        <v>49500000</v>
      </c>
    </row>
    <row r="2203" spans="1:10" ht="38.25">
      <c r="A2203" s="15" t="s">
        <v>162</v>
      </c>
      <c r="B2203" s="607" t="s">
        <v>169</v>
      </c>
      <c r="C2203" s="16">
        <v>506051</v>
      </c>
      <c r="D2203" s="19">
        <v>9.1999999999999993</v>
      </c>
      <c r="E2203" s="18">
        <v>6</v>
      </c>
      <c r="F2203" s="16" t="s">
        <v>124</v>
      </c>
      <c r="G2203" s="604">
        <v>22100000</v>
      </c>
      <c r="H2203" s="16" t="s">
        <v>31</v>
      </c>
      <c r="I2203" s="17" t="s">
        <v>122</v>
      </c>
      <c r="J2203" s="509">
        <v>82800000</v>
      </c>
    </row>
    <row r="2204" spans="1:10" ht="36">
      <c r="A2204" s="15" t="s">
        <v>162</v>
      </c>
      <c r="B2204" s="606" t="s">
        <v>170</v>
      </c>
      <c r="C2204" s="16">
        <v>506053</v>
      </c>
      <c r="D2204" s="18">
        <v>3</v>
      </c>
      <c r="E2204" s="18">
        <v>5</v>
      </c>
      <c r="F2204" s="17" t="s">
        <v>121</v>
      </c>
      <c r="G2204" s="604">
        <v>6000000</v>
      </c>
      <c r="H2204" s="16" t="s">
        <v>31</v>
      </c>
      <c r="I2204" s="17" t="s">
        <v>122</v>
      </c>
      <c r="J2204" s="509">
        <v>22500000</v>
      </c>
    </row>
    <row r="2205" spans="1:10" ht="38.25">
      <c r="A2205" s="15" t="s">
        <v>162</v>
      </c>
      <c r="B2205" s="607" t="s">
        <v>171</v>
      </c>
      <c r="C2205" s="16">
        <v>506054</v>
      </c>
      <c r="D2205" s="19">
        <v>7.4</v>
      </c>
      <c r="E2205" s="18">
        <v>6</v>
      </c>
      <c r="F2205" s="16" t="s">
        <v>124</v>
      </c>
      <c r="G2205" s="604">
        <v>17800000</v>
      </c>
      <c r="H2205" s="16" t="s">
        <v>125</v>
      </c>
      <c r="I2205" s="17" t="s">
        <v>122</v>
      </c>
      <c r="J2205" s="509">
        <v>66600000</v>
      </c>
    </row>
    <row r="2206" spans="1:10" ht="36">
      <c r="A2206" s="15" t="s">
        <v>162</v>
      </c>
      <c r="B2206" s="606" t="s">
        <v>170</v>
      </c>
      <c r="C2206" s="16">
        <v>506081</v>
      </c>
      <c r="D2206" s="18">
        <v>0.7</v>
      </c>
      <c r="E2206" s="18">
        <v>5</v>
      </c>
      <c r="F2206" s="17" t="s">
        <v>121</v>
      </c>
      <c r="G2206" s="604">
        <v>1400000</v>
      </c>
      <c r="H2206" s="16" t="s">
        <v>125</v>
      </c>
      <c r="I2206" s="17" t="s">
        <v>122</v>
      </c>
      <c r="J2206" s="509">
        <v>5300000</v>
      </c>
    </row>
    <row r="2207" spans="1:10" ht="38.25">
      <c r="A2207" s="15" t="s">
        <v>172</v>
      </c>
      <c r="B2207" s="16" t="s">
        <v>173</v>
      </c>
      <c r="C2207" s="16">
        <v>506015</v>
      </c>
      <c r="D2207" s="18">
        <v>7.75</v>
      </c>
      <c r="E2207" s="18">
        <v>6</v>
      </c>
      <c r="F2207" s="16" t="s">
        <v>124</v>
      </c>
      <c r="G2207" s="604">
        <v>18600000</v>
      </c>
      <c r="H2207" s="16" t="s">
        <v>125</v>
      </c>
      <c r="I2207" s="17" t="s">
        <v>122</v>
      </c>
      <c r="J2207" s="509">
        <v>69800000</v>
      </c>
    </row>
    <row r="2208" spans="1:10" ht="36">
      <c r="A2208" s="15" t="s">
        <v>172</v>
      </c>
      <c r="B2208" s="16" t="s">
        <v>174</v>
      </c>
      <c r="C2208" s="16">
        <v>506021</v>
      </c>
      <c r="D2208" s="18">
        <v>1.9</v>
      </c>
      <c r="E2208" s="18">
        <v>5</v>
      </c>
      <c r="F2208" s="17" t="s">
        <v>129</v>
      </c>
      <c r="G2208" s="604">
        <v>1200000</v>
      </c>
      <c r="H2208" s="16" t="s">
        <v>125</v>
      </c>
      <c r="I2208" s="17" t="s">
        <v>122</v>
      </c>
      <c r="J2208" s="509">
        <v>14300000</v>
      </c>
    </row>
    <row r="2209" spans="1:10" ht="38.25">
      <c r="A2209" s="15" t="s">
        <v>172</v>
      </c>
      <c r="B2209" s="607" t="s">
        <v>174</v>
      </c>
      <c r="C2209" s="16">
        <v>506065</v>
      </c>
      <c r="D2209" s="18">
        <v>8</v>
      </c>
      <c r="E2209" s="19">
        <v>7.5</v>
      </c>
      <c r="F2209" s="16" t="s">
        <v>124</v>
      </c>
      <c r="G2209" s="604">
        <v>24000000</v>
      </c>
      <c r="H2209" s="16" t="s">
        <v>31</v>
      </c>
      <c r="I2209" s="17" t="s">
        <v>122</v>
      </c>
      <c r="J2209" s="509">
        <v>90000000</v>
      </c>
    </row>
    <row r="2210" spans="1:10" ht="38.25">
      <c r="A2210" s="15" t="s">
        <v>172</v>
      </c>
      <c r="B2210" s="607" t="s">
        <v>175</v>
      </c>
      <c r="C2210" s="16">
        <v>506066</v>
      </c>
      <c r="D2210" s="18">
        <v>8</v>
      </c>
      <c r="E2210" s="19">
        <v>1.67</v>
      </c>
      <c r="F2210" s="16" t="s">
        <v>124</v>
      </c>
      <c r="G2210" s="604">
        <v>5300000</v>
      </c>
      <c r="H2210" s="16" t="s">
        <v>31</v>
      </c>
      <c r="I2210" s="17" t="s">
        <v>122</v>
      </c>
      <c r="J2210" s="509">
        <v>20000000</v>
      </c>
    </row>
    <row r="2211" spans="1:10" ht="48">
      <c r="A2211" s="15" t="s">
        <v>176</v>
      </c>
      <c r="B2211" s="16" t="s">
        <v>177</v>
      </c>
      <c r="C2211" s="16">
        <v>506012</v>
      </c>
      <c r="D2211" s="18">
        <v>6.5</v>
      </c>
      <c r="E2211" s="18">
        <v>6</v>
      </c>
      <c r="F2211" s="17" t="s">
        <v>178</v>
      </c>
      <c r="G2211" s="604">
        <v>15600000</v>
      </c>
      <c r="H2211" s="16" t="s">
        <v>31</v>
      </c>
      <c r="I2211" s="17" t="s">
        <v>122</v>
      </c>
      <c r="J2211" s="509">
        <v>58500000</v>
      </c>
    </row>
    <row r="2212" spans="1:10" ht="38.25">
      <c r="A2212" s="15" t="s">
        <v>176</v>
      </c>
      <c r="B2212" s="16" t="s">
        <v>179</v>
      </c>
      <c r="C2212" s="16">
        <v>506013</v>
      </c>
      <c r="D2212" s="18">
        <v>5.2</v>
      </c>
      <c r="E2212" s="18">
        <v>5.8</v>
      </c>
      <c r="F2212" s="16" t="s">
        <v>124</v>
      </c>
      <c r="G2212" s="604">
        <v>12100000</v>
      </c>
      <c r="H2212" s="16" t="s">
        <v>125</v>
      </c>
      <c r="I2212" s="17" t="s">
        <v>122</v>
      </c>
      <c r="J2212" s="509">
        <v>45200000</v>
      </c>
    </row>
    <row r="2213" spans="1:10" ht="38.25">
      <c r="A2213" s="15" t="s">
        <v>176</v>
      </c>
      <c r="B2213" s="16" t="s">
        <v>180</v>
      </c>
      <c r="C2213" s="16">
        <v>506018</v>
      </c>
      <c r="D2213" s="18">
        <v>2.5</v>
      </c>
      <c r="E2213" s="18">
        <v>6</v>
      </c>
      <c r="F2213" s="16" t="s">
        <v>124</v>
      </c>
      <c r="G2213" s="604">
        <v>6000000</v>
      </c>
      <c r="H2213" s="16" t="s">
        <v>125</v>
      </c>
      <c r="I2213" s="17" t="s">
        <v>122</v>
      </c>
      <c r="J2213" s="509">
        <v>22500000</v>
      </c>
    </row>
    <row r="2214" spans="1:10" ht="38.25">
      <c r="A2214" s="15" t="s">
        <v>176</v>
      </c>
      <c r="B2214" s="607" t="s">
        <v>181</v>
      </c>
      <c r="C2214" s="16">
        <v>506032</v>
      </c>
      <c r="D2214" s="19">
        <v>3.9</v>
      </c>
      <c r="E2214" s="18">
        <v>5</v>
      </c>
      <c r="F2214" s="16" t="s">
        <v>124</v>
      </c>
      <c r="G2214" s="604">
        <v>7800000</v>
      </c>
      <c r="H2214" s="16" t="s">
        <v>125</v>
      </c>
      <c r="I2214" s="17" t="s">
        <v>122</v>
      </c>
      <c r="J2214" s="509">
        <v>29300000</v>
      </c>
    </row>
    <row r="2215" spans="1:10" ht="38.25">
      <c r="A2215" s="15" t="s">
        <v>176</v>
      </c>
      <c r="B2215" s="606" t="s">
        <v>182</v>
      </c>
      <c r="C2215" s="16">
        <v>506055</v>
      </c>
      <c r="D2215" s="18">
        <v>6.5</v>
      </c>
      <c r="E2215" s="19">
        <v>3.7</v>
      </c>
      <c r="F2215" s="16" t="s">
        <v>124</v>
      </c>
      <c r="G2215" s="604">
        <v>9600000</v>
      </c>
      <c r="H2215" s="16" t="s">
        <v>31</v>
      </c>
      <c r="I2215" s="17" t="s">
        <v>122</v>
      </c>
      <c r="J2215" s="509">
        <v>36100000</v>
      </c>
    </row>
    <row r="2216" spans="1:10" ht="38.25">
      <c r="A2216" s="15" t="s">
        <v>176</v>
      </c>
      <c r="B2216" s="607" t="s">
        <v>183</v>
      </c>
      <c r="C2216" s="16">
        <v>506056</v>
      </c>
      <c r="D2216" s="18">
        <v>7</v>
      </c>
      <c r="E2216" s="19">
        <v>2.5</v>
      </c>
      <c r="F2216" s="16" t="s">
        <v>124</v>
      </c>
      <c r="G2216" s="604">
        <v>7000000</v>
      </c>
      <c r="H2216" s="16" t="s">
        <v>125</v>
      </c>
      <c r="I2216" s="17" t="s">
        <v>122</v>
      </c>
      <c r="J2216" s="509">
        <v>26300000</v>
      </c>
    </row>
    <row r="2217" spans="1:10" ht="33.75">
      <c r="A2217" s="15" t="s">
        <v>176</v>
      </c>
      <c r="B2217" s="607" t="s">
        <v>184</v>
      </c>
      <c r="C2217" s="16">
        <v>506057</v>
      </c>
      <c r="D2217" s="18">
        <v>6</v>
      </c>
      <c r="E2217" s="19">
        <v>1.5</v>
      </c>
      <c r="F2217" s="78" t="s">
        <v>185</v>
      </c>
      <c r="G2217" s="604">
        <v>3600000</v>
      </c>
      <c r="H2217" s="16" t="s">
        <v>125</v>
      </c>
      <c r="I2217" s="17" t="s">
        <v>122</v>
      </c>
      <c r="J2217" s="509">
        <v>13500000</v>
      </c>
    </row>
    <row r="2218" spans="1:10" ht="38.25">
      <c r="A2218" s="15" t="s">
        <v>176</v>
      </c>
      <c r="B2218" s="607" t="s">
        <v>186</v>
      </c>
      <c r="C2218" s="16">
        <v>506058</v>
      </c>
      <c r="D2218" s="18">
        <v>5</v>
      </c>
      <c r="E2218" s="19">
        <v>1.7</v>
      </c>
      <c r="F2218" s="16" t="s">
        <v>124</v>
      </c>
      <c r="G2218" s="604">
        <v>3400000</v>
      </c>
      <c r="H2218" s="16" t="s">
        <v>125</v>
      </c>
      <c r="I2218" s="17" t="s">
        <v>122</v>
      </c>
      <c r="J2218" s="509">
        <v>12800000</v>
      </c>
    </row>
    <row r="2219" spans="1:10" ht="38.25">
      <c r="A2219" s="15" t="s">
        <v>176</v>
      </c>
      <c r="B2219" s="607" t="s">
        <v>187</v>
      </c>
      <c r="C2219" s="16">
        <v>506059</v>
      </c>
      <c r="D2219" s="18">
        <v>6</v>
      </c>
      <c r="E2219" s="19">
        <v>0.9</v>
      </c>
      <c r="F2219" s="16" t="s">
        <v>124</v>
      </c>
      <c r="G2219" s="604">
        <v>2200000</v>
      </c>
      <c r="H2219" s="16" t="s">
        <v>125</v>
      </c>
      <c r="I2219" s="17" t="s">
        <v>122</v>
      </c>
      <c r="J2219" s="509">
        <v>8100000</v>
      </c>
    </row>
    <row r="2220" spans="1:10" ht="38.25">
      <c r="A2220" s="15" t="s">
        <v>176</v>
      </c>
      <c r="B2220" s="607" t="s">
        <v>188</v>
      </c>
      <c r="C2220" s="16">
        <v>506064</v>
      </c>
      <c r="D2220" s="18">
        <v>7</v>
      </c>
      <c r="E2220" s="19">
        <v>0.2</v>
      </c>
      <c r="F2220" s="16" t="s">
        <v>124</v>
      </c>
      <c r="G2220" s="604">
        <v>600000</v>
      </c>
      <c r="H2220" s="16" t="s">
        <v>125</v>
      </c>
      <c r="I2220" s="17" t="s">
        <v>122</v>
      </c>
      <c r="J2220" s="509">
        <v>2100000</v>
      </c>
    </row>
    <row r="2221" spans="1:10" ht="33.75">
      <c r="A2221" s="22" t="s">
        <v>130</v>
      </c>
      <c r="B2221" s="26">
        <v>0</v>
      </c>
      <c r="C2221" s="569" t="s">
        <v>23692</v>
      </c>
      <c r="D2221" s="569">
        <v>12.13</v>
      </c>
      <c r="E2221" s="569">
        <v>7</v>
      </c>
      <c r="F2221" s="569" t="s">
        <v>23483</v>
      </c>
      <c r="G2221" s="73" t="s">
        <v>3307</v>
      </c>
      <c r="H2221" s="569">
        <v>1</v>
      </c>
      <c r="I2221" s="569" t="s">
        <v>23481</v>
      </c>
      <c r="J2221" s="531">
        <v>700000</v>
      </c>
    </row>
    <row r="2222" spans="1:10" ht="45">
      <c r="A2222" s="22" t="s">
        <v>23693</v>
      </c>
      <c r="B2222" s="26" t="s">
        <v>23694</v>
      </c>
      <c r="C2222" s="569" t="s">
        <v>23695</v>
      </c>
      <c r="D2222" s="569">
        <v>23.734999999999999</v>
      </c>
      <c r="E2222" s="569" t="s">
        <v>3307</v>
      </c>
      <c r="F2222" s="569" t="s">
        <v>23696</v>
      </c>
      <c r="G2222" s="73">
        <v>0</v>
      </c>
      <c r="H2222" s="569">
        <v>1</v>
      </c>
      <c r="I2222" s="569" t="s">
        <v>23532</v>
      </c>
      <c r="J2222" s="531">
        <v>500000</v>
      </c>
    </row>
    <row r="2223" spans="1:10" ht="33.75">
      <c r="A2223" s="22" t="s">
        <v>10109</v>
      </c>
      <c r="B2223" s="26">
        <v>0</v>
      </c>
      <c r="C2223" s="569" t="s">
        <v>23697</v>
      </c>
      <c r="D2223" s="569">
        <v>8.1349999999999998</v>
      </c>
      <c r="E2223" s="569" t="s">
        <v>7839</v>
      </c>
      <c r="F2223" s="569" t="s">
        <v>23696</v>
      </c>
      <c r="G2223" s="73">
        <v>0</v>
      </c>
      <c r="H2223" s="569">
        <v>0</v>
      </c>
      <c r="I2223" s="569" t="s">
        <v>23532</v>
      </c>
      <c r="J2223" s="531">
        <v>700000</v>
      </c>
    </row>
    <row r="2224" spans="1:10" ht="33.75">
      <c r="A2224" s="22" t="s">
        <v>10110</v>
      </c>
      <c r="B2224" s="26" t="s">
        <v>23698</v>
      </c>
      <c r="C2224" s="569" t="s">
        <v>23699</v>
      </c>
      <c r="D2224" s="569">
        <v>8.1349999999999998</v>
      </c>
      <c r="E2224" s="569" t="s">
        <v>7839</v>
      </c>
      <c r="F2224" s="569" t="s">
        <v>23700</v>
      </c>
      <c r="G2224" s="73">
        <v>0</v>
      </c>
      <c r="H2224" s="569">
        <v>0</v>
      </c>
      <c r="I2224" s="569" t="s">
        <v>23532</v>
      </c>
      <c r="J2224" s="531">
        <v>600000</v>
      </c>
    </row>
    <row r="2225" spans="1:10" ht="45">
      <c r="A2225" s="22" t="s">
        <v>23701</v>
      </c>
      <c r="B2225" s="26" t="s">
        <v>153</v>
      </c>
      <c r="C2225" s="569" t="s">
        <v>23702</v>
      </c>
      <c r="D2225" s="569">
        <v>7.1349999999999998</v>
      </c>
      <c r="E2225" s="569" t="s">
        <v>23703</v>
      </c>
      <c r="F2225" s="569" t="s">
        <v>23704</v>
      </c>
      <c r="G2225" s="73">
        <v>0</v>
      </c>
      <c r="H2225" s="569">
        <v>0</v>
      </c>
      <c r="I2225" s="569" t="s">
        <v>23515</v>
      </c>
      <c r="J2225" s="531">
        <v>700000</v>
      </c>
    </row>
    <row r="2226" spans="1:10" ht="45">
      <c r="A2226" s="22" t="s">
        <v>153</v>
      </c>
      <c r="B2226" s="26" t="s">
        <v>153</v>
      </c>
      <c r="C2226" s="569" t="s">
        <v>23705</v>
      </c>
      <c r="D2226" s="569">
        <v>7.1349999999999998</v>
      </c>
      <c r="E2226" s="569" t="s">
        <v>23703</v>
      </c>
      <c r="F2226" s="569" t="s">
        <v>23706</v>
      </c>
      <c r="G2226" s="73">
        <v>0</v>
      </c>
      <c r="H2226" s="569">
        <v>0</v>
      </c>
      <c r="I2226" s="569" t="s">
        <v>23707</v>
      </c>
      <c r="J2226" s="531">
        <v>450000</v>
      </c>
    </row>
    <row r="2227" spans="1:10" ht="45">
      <c r="A2227" s="22" t="s">
        <v>153</v>
      </c>
      <c r="B2227" s="26" t="s">
        <v>153</v>
      </c>
      <c r="C2227" s="569" t="s">
        <v>23708</v>
      </c>
      <c r="D2227" s="569">
        <v>7.1349999999999998</v>
      </c>
      <c r="E2227" s="569">
        <v>10</v>
      </c>
      <c r="F2227" s="569" t="s">
        <v>23704</v>
      </c>
      <c r="G2227" s="73">
        <v>0</v>
      </c>
      <c r="H2227" s="569">
        <v>0</v>
      </c>
      <c r="I2227" s="569" t="s">
        <v>23542</v>
      </c>
      <c r="J2227" s="531">
        <v>600000</v>
      </c>
    </row>
    <row r="2228" spans="1:10" ht="45">
      <c r="A2228" s="22" t="s">
        <v>23709</v>
      </c>
      <c r="B2228" s="26" t="s">
        <v>23709</v>
      </c>
      <c r="C2228" s="569" t="s">
        <v>23710</v>
      </c>
      <c r="D2228" s="569">
        <v>9.16</v>
      </c>
      <c r="E2228" s="569" t="s">
        <v>3307</v>
      </c>
      <c r="F2228" s="569" t="s">
        <v>23711</v>
      </c>
      <c r="G2228" s="73">
        <v>0</v>
      </c>
      <c r="H2228" s="569">
        <v>0</v>
      </c>
      <c r="I2228" s="569" t="s">
        <v>23712</v>
      </c>
      <c r="J2228" s="531">
        <v>800000</v>
      </c>
    </row>
    <row r="2229" spans="1:10" ht="45">
      <c r="A2229" s="22" t="s">
        <v>23709</v>
      </c>
      <c r="B2229" s="26" t="s">
        <v>23713</v>
      </c>
      <c r="C2229" s="569" t="s">
        <v>23714</v>
      </c>
      <c r="D2229" s="569">
        <v>9.16</v>
      </c>
      <c r="E2229" s="569" t="s">
        <v>3307</v>
      </c>
      <c r="F2229" s="569" t="s">
        <v>23715</v>
      </c>
      <c r="G2229" s="73">
        <v>0</v>
      </c>
      <c r="H2229" s="569">
        <v>0</v>
      </c>
      <c r="I2229" s="569" t="s">
        <v>23716</v>
      </c>
      <c r="J2229" s="531">
        <v>800000</v>
      </c>
    </row>
    <row r="2230" spans="1:10" ht="45">
      <c r="A2230" s="22" t="s">
        <v>23693</v>
      </c>
      <c r="B2230" s="26" t="s">
        <v>23717</v>
      </c>
      <c r="C2230" s="569" t="s">
        <v>23718</v>
      </c>
      <c r="D2230" s="569">
        <v>9.16</v>
      </c>
      <c r="E2230" s="569">
        <v>6</v>
      </c>
      <c r="F2230" s="569">
        <v>0</v>
      </c>
      <c r="G2230" s="73">
        <v>0</v>
      </c>
      <c r="H2230" s="569">
        <v>0</v>
      </c>
      <c r="I2230" s="569">
        <v>0</v>
      </c>
      <c r="J2230" s="531">
        <v>0</v>
      </c>
    </row>
    <row r="2231" spans="1:10" ht="45">
      <c r="A2231" s="22" t="s">
        <v>23693</v>
      </c>
      <c r="B2231" s="26" t="s">
        <v>174</v>
      </c>
      <c r="C2231" s="569" t="s">
        <v>23719</v>
      </c>
      <c r="D2231" s="569">
        <v>14.7</v>
      </c>
      <c r="E2231" s="569">
        <v>7</v>
      </c>
      <c r="F2231" s="569" t="s">
        <v>23525</v>
      </c>
      <c r="G2231" s="73">
        <v>0</v>
      </c>
      <c r="H2231" s="569">
        <v>0</v>
      </c>
      <c r="I2231" s="569" t="s">
        <v>23720</v>
      </c>
      <c r="J2231" s="531">
        <v>0</v>
      </c>
    </row>
    <row r="2232" spans="1:10" ht="45">
      <c r="A2232" s="22" t="s">
        <v>23713</v>
      </c>
      <c r="B2232" s="26" t="s">
        <v>23713</v>
      </c>
      <c r="C2232" s="569" t="s">
        <v>23721</v>
      </c>
      <c r="D2232" s="569">
        <v>9.16</v>
      </c>
      <c r="E2232" s="569" t="s">
        <v>23722</v>
      </c>
      <c r="F2232" s="569" t="s">
        <v>23723</v>
      </c>
      <c r="G2232" s="73">
        <v>0</v>
      </c>
      <c r="H2232" s="569">
        <v>0</v>
      </c>
      <c r="I2232" s="569" t="s">
        <v>23724</v>
      </c>
      <c r="J2232" s="531">
        <v>10250000</v>
      </c>
    </row>
    <row r="2233" spans="1:10" ht="15.75">
      <c r="A2233" s="1013" t="s">
        <v>189</v>
      </c>
      <c r="B2233" s="1014"/>
      <c r="C2233" s="1014"/>
      <c r="D2233" s="1014"/>
      <c r="E2233" s="1014"/>
      <c r="F2233" s="1014"/>
      <c r="G2233" s="550">
        <f>SUM(G2155:G2232)</f>
        <v>599500000</v>
      </c>
      <c r="H2233" s="564"/>
      <c r="I2233" s="564"/>
      <c r="J2233" s="626">
        <f>SUM(J2155:J2232)</f>
        <v>2244600000</v>
      </c>
    </row>
    <row r="2234" spans="1:10" ht="15.75">
      <c r="A2234" s="1013" t="s">
        <v>1786</v>
      </c>
      <c r="B2234" s="1014"/>
      <c r="C2234" s="1014"/>
      <c r="D2234" s="1014"/>
      <c r="E2234" s="1014"/>
      <c r="F2234" s="1014"/>
      <c r="G2234" s="1014"/>
      <c r="H2234" s="1014"/>
      <c r="I2234" s="1014"/>
      <c r="J2234" s="1015"/>
    </row>
    <row r="2235" spans="1:10" ht="22.5">
      <c r="A2235" s="22">
        <v>0</v>
      </c>
      <c r="B2235" s="26" t="s">
        <v>23474</v>
      </c>
      <c r="C2235" s="569" t="s">
        <v>23475</v>
      </c>
      <c r="D2235" s="569">
        <v>5.5650000000000004</v>
      </c>
      <c r="E2235" s="569">
        <v>4</v>
      </c>
      <c r="F2235" s="569" t="s">
        <v>23476</v>
      </c>
      <c r="G2235" s="73" t="s">
        <v>3307</v>
      </c>
      <c r="H2235" s="569">
        <v>1</v>
      </c>
      <c r="I2235" s="569" t="s">
        <v>23477</v>
      </c>
      <c r="J2235" s="531">
        <v>47200000</v>
      </c>
    </row>
    <row r="2236" spans="1:10" ht="22.5">
      <c r="A2236" s="22">
        <v>0</v>
      </c>
      <c r="B2236" s="26" t="s">
        <v>23478</v>
      </c>
      <c r="C2236" s="569" t="s">
        <v>23479</v>
      </c>
      <c r="D2236" s="569">
        <v>9.58</v>
      </c>
      <c r="E2236" s="569">
        <v>5</v>
      </c>
      <c r="F2236" s="569" t="s">
        <v>23480</v>
      </c>
      <c r="G2236" s="73" t="s">
        <v>3307</v>
      </c>
      <c r="H2236" s="569">
        <v>1</v>
      </c>
      <c r="I2236" s="569" t="s">
        <v>23481</v>
      </c>
      <c r="J2236" s="531">
        <v>700000</v>
      </c>
    </row>
    <row r="2237" spans="1:10" ht="45">
      <c r="A2237" s="22" t="s">
        <v>9400</v>
      </c>
      <c r="B2237" s="26" t="s">
        <v>9400</v>
      </c>
      <c r="C2237" s="569" t="s">
        <v>23482</v>
      </c>
      <c r="D2237" s="569">
        <v>7.1550000000000002</v>
      </c>
      <c r="E2237" s="569">
        <v>3.4</v>
      </c>
      <c r="F2237" s="569" t="s">
        <v>23483</v>
      </c>
      <c r="G2237" s="73" t="s">
        <v>3307</v>
      </c>
      <c r="H2237" s="569">
        <v>1</v>
      </c>
      <c r="I2237" s="569" t="s">
        <v>23481</v>
      </c>
      <c r="J2237" s="531">
        <v>700000</v>
      </c>
    </row>
    <row r="2238" spans="1:10" ht="33.75">
      <c r="A2238" s="22" t="s">
        <v>2272</v>
      </c>
      <c r="B2238" s="26" t="s">
        <v>23484</v>
      </c>
      <c r="C2238" s="569" t="s">
        <v>23485</v>
      </c>
      <c r="D2238" s="569">
        <v>12.815</v>
      </c>
      <c r="E2238" s="569">
        <v>1.4</v>
      </c>
      <c r="F2238" s="569" t="s">
        <v>23486</v>
      </c>
      <c r="G2238" s="73" t="s">
        <v>3307</v>
      </c>
      <c r="H2238" s="569">
        <v>1</v>
      </c>
      <c r="I2238" s="569" t="s">
        <v>23487</v>
      </c>
      <c r="J2238" s="531">
        <v>1400000</v>
      </c>
    </row>
    <row r="2239" spans="1:10" ht="45">
      <c r="A2239" s="22" t="s">
        <v>1451</v>
      </c>
      <c r="B2239" s="26" t="s">
        <v>23488</v>
      </c>
      <c r="C2239" s="569" t="s">
        <v>23489</v>
      </c>
      <c r="D2239" s="569">
        <v>11.49</v>
      </c>
      <c r="E2239" s="569">
        <v>9</v>
      </c>
      <c r="F2239" s="569" t="s">
        <v>23490</v>
      </c>
      <c r="G2239" s="73">
        <v>0</v>
      </c>
      <c r="H2239" s="569">
        <v>1</v>
      </c>
      <c r="I2239" s="569" t="s">
        <v>23491</v>
      </c>
      <c r="J2239" s="531">
        <v>1200000</v>
      </c>
    </row>
    <row r="2240" spans="1:10" ht="45">
      <c r="A2240" s="22" t="s">
        <v>10110</v>
      </c>
      <c r="B2240" s="26" t="s">
        <v>23492</v>
      </c>
      <c r="C2240" s="569" t="s">
        <v>23493</v>
      </c>
      <c r="D2240" s="569">
        <v>12.815</v>
      </c>
      <c r="E2240" s="569">
        <v>0</v>
      </c>
      <c r="F2240" s="569" t="s">
        <v>23494</v>
      </c>
      <c r="G2240" s="73">
        <v>0</v>
      </c>
      <c r="H2240" s="569">
        <v>1</v>
      </c>
      <c r="I2240" s="569" t="s">
        <v>23495</v>
      </c>
      <c r="J2240" s="531">
        <v>750000</v>
      </c>
    </row>
    <row r="2241" spans="1:10" ht="45">
      <c r="A2241" s="22" t="s">
        <v>10110</v>
      </c>
      <c r="B2241" s="26" t="s">
        <v>23496</v>
      </c>
      <c r="C2241" s="569" t="s">
        <v>23497</v>
      </c>
      <c r="D2241" s="569">
        <v>5.5650000000000004</v>
      </c>
      <c r="E2241" s="569">
        <v>6</v>
      </c>
      <c r="F2241" s="569" t="s">
        <v>23498</v>
      </c>
      <c r="G2241" s="73">
        <v>0</v>
      </c>
      <c r="H2241" s="569">
        <v>1</v>
      </c>
      <c r="I2241" s="569" t="s">
        <v>23499</v>
      </c>
      <c r="J2241" s="531">
        <v>5500000</v>
      </c>
    </row>
    <row r="2242" spans="1:10" ht="45">
      <c r="A2242" s="22">
        <v>0</v>
      </c>
      <c r="B2242" s="26" t="s">
        <v>23496</v>
      </c>
      <c r="C2242" s="569" t="s">
        <v>23500</v>
      </c>
      <c r="D2242" s="569">
        <v>5.5650000000000004</v>
      </c>
      <c r="E2242" s="569">
        <v>4</v>
      </c>
      <c r="F2242" s="569" t="s">
        <v>23498</v>
      </c>
      <c r="G2242" s="73">
        <v>0</v>
      </c>
      <c r="H2242" s="569">
        <v>1</v>
      </c>
      <c r="I2242" s="569" t="s">
        <v>23499</v>
      </c>
      <c r="J2242" s="531">
        <v>4800000</v>
      </c>
    </row>
    <row r="2243" spans="1:10" ht="45">
      <c r="A2243" s="22" t="s">
        <v>6294</v>
      </c>
      <c r="B2243" s="26" t="s">
        <v>23496</v>
      </c>
      <c r="C2243" s="569" t="s">
        <v>23501</v>
      </c>
      <c r="D2243" s="569">
        <v>5.5650000000000004</v>
      </c>
      <c r="E2243" s="569" t="s">
        <v>7839</v>
      </c>
      <c r="F2243" s="569" t="s">
        <v>23502</v>
      </c>
      <c r="G2243" s="73">
        <v>0</v>
      </c>
      <c r="H2243" s="569">
        <v>1</v>
      </c>
      <c r="I2243" s="569" t="s">
        <v>23495</v>
      </c>
      <c r="J2243" s="531">
        <v>1400000</v>
      </c>
    </row>
    <row r="2244" spans="1:10" ht="45">
      <c r="A2244" s="22" t="s">
        <v>6294</v>
      </c>
      <c r="B2244" s="26" t="s">
        <v>23496</v>
      </c>
      <c r="C2244" s="569" t="s">
        <v>23503</v>
      </c>
      <c r="D2244" s="569">
        <v>5.5650000000000004</v>
      </c>
      <c r="E2244" s="569">
        <v>4</v>
      </c>
      <c r="F2244" s="569" t="s">
        <v>23504</v>
      </c>
      <c r="G2244" s="73">
        <v>0</v>
      </c>
      <c r="H2244" s="569">
        <v>1</v>
      </c>
      <c r="I2244" s="569" t="s">
        <v>23505</v>
      </c>
      <c r="J2244" s="531">
        <v>700000</v>
      </c>
    </row>
    <row r="2245" spans="1:10" ht="45">
      <c r="A2245" s="22" t="s">
        <v>6294</v>
      </c>
      <c r="B2245" s="26" t="s">
        <v>23506</v>
      </c>
      <c r="C2245" s="569" t="s">
        <v>23507</v>
      </c>
      <c r="D2245" s="569">
        <v>5.5650000000000004</v>
      </c>
      <c r="E2245" s="569" t="s">
        <v>7839</v>
      </c>
      <c r="F2245" s="569" t="s">
        <v>23508</v>
      </c>
      <c r="G2245" s="73">
        <v>0</v>
      </c>
      <c r="H2245" s="569">
        <v>1</v>
      </c>
      <c r="I2245" s="569" t="s">
        <v>23495</v>
      </c>
      <c r="J2245" s="531">
        <v>900000</v>
      </c>
    </row>
    <row r="2246" spans="1:10" ht="45">
      <c r="A2246" s="22" t="s">
        <v>6294</v>
      </c>
      <c r="B2246" s="26" t="s">
        <v>23509</v>
      </c>
      <c r="C2246" s="569" t="s">
        <v>23510</v>
      </c>
      <c r="D2246" s="569">
        <v>5.5650000000000004</v>
      </c>
      <c r="E2246" s="569">
        <v>2</v>
      </c>
      <c r="F2246" s="569" t="s">
        <v>23511</v>
      </c>
      <c r="G2246" s="73">
        <v>0</v>
      </c>
      <c r="H2246" s="569">
        <v>1</v>
      </c>
      <c r="I2246" s="569" t="s">
        <v>23512</v>
      </c>
      <c r="J2246" s="531">
        <v>2100000</v>
      </c>
    </row>
    <row r="2247" spans="1:10" ht="45">
      <c r="A2247" s="22" t="s">
        <v>6294</v>
      </c>
      <c r="B2247" s="26" t="s">
        <v>10113</v>
      </c>
      <c r="C2247" s="569" t="s">
        <v>23513</v>
      </c>
      <c r="D2247" s="569">
        <v>5.5650000000000004</v>
      </c>
      <c r="E2247" s="569" t="s">
        <v>7839</v>
      </c>
      <c r="F2247" s="569" t="s">
        <v>23514</v>
      </c>
      <c r="G2247" s="73">
        <v>0</v>
      </c>
      <c r="H2247" s="569">
        <v>1</v>
      </c>
      <c r="I2247" s="569" t="s">
        <v>23515</v>
      </c>
      <c r="J2247" s="531">
        <v>600000</v>
      </c>
    </row>
    <row r="2248" spans="1:10" ht="45">
      <c r="A2248" s="22" t="s">
        <v>10110</v>
      </c>
      <c r="B2248" s="26" t="s">
        <v>10109</v>
      </c>
      <c r="C2248" s="569" t="s">
        <v>23516</v>
      </c>
      <c r="D2248" s="569">
        <v>2.5449999999999999</v>
      </c>
      <c r="E2248" s="569">
        <v>3</v>
      </c>
      <c r="F2248" s="569" t="s">
        <v>23517</v>
      </c>
      <c r="G2248" s="73">
        <v>0</v>
      </c>
      <c r="H2248" s="569">
        <v>0</v>
      </c>
      <c r="I2248" s="569" t="s">
        <v>23518</v>
      </c>
      <c r="J2248" s="531">
        <v>500000</v>
      </c>
    </row>
    <row r="2249" spans="1:10" ht="45">
      <c r="A2249" s="22" t="s">
        <v>10109</v>
      </c>
      <c r="B2249" s="26" t="s">
        <v>23519</v>
      </c>
      <c r="C2249" s="569" t="s">
        <v>23520</v>
      </c>
      <c r="D2249" s="569">
        <v>9.1349999999999998</v>
      </c>
      <c r="E2249" s="569">
        <v>3</v>
      </c>
      <c r="F2249" s="569" t="s">
        <v>23521</v>
      </c>
      <c r="G2249" s="73">
        <v>0</v>
      </c>
      <c r="H2249" s="569">
        <v>0</v>
      </c>
      <c r="I2249" s="569" t="s">
        <v>23522</v>
      </c>
      <c r="J2249" s="531">
        <v>550000</v>
      </c>
    </row>
    <row r="2250" spans="1:10" ht="45">
      <c r="A2250" s="22" t="s">
        <v>10109</v>
      </c>
      <c r="B2250" s="26" t="s">
        <v>23519</v>
      </c>
      <c r="C2250" s="569" t="s">
        <v>23523</v>
      </c>
      <c r="D2250" s="569">
        <v>9.1349999999999998</v>
      </c>
      <c r="E2250" s="569" t="s">
        <v>23524</v>
      </c>
      <c r="F2250" s="569" t="s">
        <v>23525</v>
      </c>
      <c r="G2250" s="73">
        <v>0</v>
      </c>
      <c r="H2250" s="569">
        <v>0</v>
      </c>
      <c r="I2250" s="569" t="s">
        <v>23526</v>
      </c>
      <c r="J2250" s="531">
        <v>0</v>
      </c>
    </row>
    <row r="2251" spans="1:10" ht="45">
      <c r="A2251" s="22" t="s">
        <v>6294</v>
      </c>
      <c r="B2251" s="26" t="s">
        <v>10113</v>
      </c>
      <c r="C2251" s="569" t="s">
        <v>23527</v>
      </c>
      <c r="D2251" s="569">
        <v>5.5650000000000004</v>
      </c>
      <c r="E2251" s="569" t="s">
        <v>7781</v>
      </c>
      <c r="F2251" s="569" t="s">
        <v>23528</v>
      </c>
      <c r="G2251" s="73">
        <v>0</v>
      </c>
      <c r="H2251" s="569">
        <v>0</v>
      </c>
      <c r="I2251" s="569" t="s">
        <v>23529</v>
      </c>
      <c r="J2251" s="531">
        <v>1300000</v>
      </c>
    </row>
    <row r="2252" spans="1:10" ht="33.75">
      <c r="A2252" s="22" t="s">
        <v>10109</v>
      </c>
      <c r="B2252" s="26" t="s">
        <v>1451</v>
      </c>
      <c r="C2252" s="569" t="s">
        <v>23530</v>
      </c>
      <c r="D2252" s="569">
        <v>11.49</v>
      </c>
      <c r="E2252" s="569">
        <v>5</v>
      </c>
      <c r="F2252" s="569" t="s">
        <v>23531</v>
      </c>
      <c r="G2252" s="73">
        <v>0</v>
      </c>
      <c r="H2252" s="569">
        <v>0</v>
      </c>
      <c r="I2252" s="569" t="s">
        <v>23532</v>
      </c>
      <c r="J2252" s="531">
        <v>700000</v>
      </c>
    </row>
    <row r="2253" spans="1:10" ht="45">
      <c r="A2253" s="22" t="s">
        <v>10110</v>
      </c>
      <c r="B2253" s="26" t="s">
        <v>1451</v>
      </c>
      <c r="C2253" s="569" t="s">
        <v>23533</v>
      </c>
      <c r="D2253" s="569">
        <v>11.49</v>
      </c>
      <c r="E2253" s="569">
        <v>8</v>
      </c>
      <c r="F2253" s="569" t="s">
        <v>23534</v>
      </c>
      <c r="G2253" s="73">
        <v>0</v>
      </c>
      <c r="H2253" s="569">
        <v>0</v>
      </c>
      <c r="I2253" s="569" t="s">
        <v>23532</v>
      </c>
      <c r="J2253" s="531">
        <v>600000</v>
      </c>
    </row>
    <row r="2254" spans="1:10" ht="45">
      <c r="A2254" s="22" t="s">
        <v>10110</v>
      </c>
      <c r="B2254" s="26" t="s">
        <v>1451</v>
      </c>
      <c r="C2254" s="569" t="s">
        <v>23535</v>
      </c>
      <c r="D2254" s="569">
        <v>11.49</v>
      </c>
      <c r="E2254" s="569">
        <v>4</v>
      </c>
      <c r="F2254" s="569" t="s">
        <v>23536</v>
      </c>
      <c r="G2254" s="73">
        <v>0</v>
      </c>
      <c r="H2254" s="569">
        <v>0</v>
      </c>
      <c r="I2254" s="569" t="s">
        <v>23532</v>
      </c>
      <c r="J2254" s="531">
        <v>700000</v>
      </c>
    </row>
    <row r="2255" spans="1:10" ht="45">
      <c r="A2255" s="22" t="s">
        <v>23537</v>
      </c>
      <c r="B2255" s="26" t="s">
        <v>9400</v>
      </c>
      <c r="C2255" s="569" t="s">
        <v>23538</v>
      </c>
      <c r="D2255" s="569">
        <v>9.58</v>
      </c>
      <c r="E2255" s="569">
        <v>12</v>
      </c>
      <c r="F2255" s="569" t="s">
        <v>23539</v>
      </c>
      <c r="G2255" s="73">
        <v>0</v>
      </c>
      <c r="H2255" s="569">
        <v>0</v>
      </c>
      <c r="I2255" s="569" t="s">
        <v>23540</v>
      </c>
      <c r="J2255" s="531">
        <v>700000</v>
      </c>
    </row>
    <row r="2256" spans="1:10" ht="45">
      <c r="A2256" s="22" t="s">
        <v>23537</v>
      </c>
      <c r="B2256" s="26" t="s">
        <v>9400</v>
      </c>
      <c r="C2256" s="569" t="s">
        <v>23541</v>
      </c>
      <c r="D2256" s="569">
        <v>9.58</v>
      </c>
      <c r="E2256" s="569">
        <v>3</v>
      </c>
      <c r="F2256" s="569" t="s">
        <v>5259</v>
      </c>
      <c r="G2256" s="73">
        <v>0</v>
      </c>
      <c r="H2256" s="569">
        <v>0</v>
      </c>
      <c r="I2256" s="569" t="s">
        <v>23542</v>
      </c>
      <c r="J2256" s="531">
        <v>650000</v>
      </c>
    </row>
    <row r="2257" spans="1:10" ht="45">
      <c r="A2257" s="22" t="s">
        <v>23537</v>
      </c>
      <c r="B2257" s="26" t="s">
        <v>9400</v>
      </c>
      <c r="C2257" s="569" t="s">
        <v>23543</v>
      </c>
      <c r="D2257" s="569">
        <v>9.58</v>
      </c>
      <c r="E2257" s="569">
        <v>9</v>
      </c>
      <c r="F2257" s="569" t="s">
        <v>23544</v>
      </c>
      <c r="G2257" s="73">
        <v>0</v>
      </c>
      <c r="H2257" s="569">
        <v>0</v>
      </c>
      <c r="I2257" s="569" t="s">
        <v>23542</v>
      </c>
      <c r="J2257" s="531">
        <v>400000</v>
      </c>
    </row>
    <row r="2258" spans="1:10" ht="33.75">
      <c r="A2258" s="22" t="s">
        <v>6294</v>
      </c>
      <c r="B2258" s="26" t="s">
        <v>23496</v>
      </c>
      <c r="C2258" s="569" t="s">
        <v>23545</v>
      </c>
      <c r="D2258" s="569">
        <v>5.5650000000000004</v>
      </c>
      <c r="E2258" s="569">
        <v>5</v>
      </c>
      <c r="F2258" s="569" t="s">
        <v>23546</v>
      </c>
      <c r="G2258" s="73">
        <v>0</v>
      </c>
      <c r="H2258" s="569">
        <v>0</v>
      </c>
      <c r="I2258" s="569" t="s">
        <v>23542</v>
      </c>
      <c r="J2258" s="531">
        <v>700000</v>
      </c>
    </row>
    <row r="2259" spans="1:10" ht="33.75">
      <c r="A2259" s="22" t="s">
        <v>6294</v>
      </c>
      <c r="B2259" s="26" t="s">
        <v>23496</v>
      </c>
      <c r="C2259" s="569" t="s">
        <v>23547</v>
      </c>
      <c r="D2259" s="569">
        <v>5.5650000000000004</v>
      </c>
      <c r="E2259" s="569">
        <v>7</v>
      </c>
      <c r="F2259" s="569" t="s">
        <v>23546</v>
      </c>
      <c r="G2259" s="73">
        <v>0</v>
      </c>
      <c r="H2259" s="569">
        <v>0</v>
      </c>
      <c r="I2259" s="569" t="s">
        <v>23542</v>
      </c>
      <c r="J2259" s="531">
        <v>1700000</v>
      </c>
    </row>
    <row r="2260" spans="1:10" ht="33.75">
      <c r="A2260" s="22" t="s">
        <v>6294</v>
      </c>
      <c r="B2260" s="26" t="s">
        <v>23496</v>
      </c>
      <c r="C2260" s="569" t="s">
        <v>23548</v>
      </c>
      <c r="D2260" s="569">
        <v>5.5650000000000004</v>
      </c>
      <c r="E2260" s="569">
        <v>4</v>
      </c>
      <c r="F2260" s="569" t="s">
        <v>23549</v>
      </c>
      <c r="G2260" s="73">
        <v>0</v>
      </c>
      <c r="H2260" s="569">
        <v>0</v>
      </c>
      <c r="I2260" s="569" t="s">
        <v>23542</v>
      </c>
      <c r="J2260" s="531">
        <v>700000</v>
      </c>
    </row>
    <row r="2261" spans="1:10" ht="22.5">
      <c r="A2261" s="22" t="s">
        <v>23550</v>
      </c>
      <c r="B2261" s="26" t="s">
        <v>23550</v>
      </c>
      <c r="C2261" s="569" t="s">
        <v>23551</v>
      </c>
      <c r="D2261" s="569">
        <v>12.815</v>
      </c>
      <c r="E2261" s="569" t="s">
        <v>23552</v>
      </c>
      <c r="F2261" s="569" t="s">
        <v>23553</v>
      </c>
      <c r="G2261" s="73">
        <v>0</v>
      </c>
      <c r="H2261" s="569" t="s">
        <v>23554</v>
      </c>
      <c r="I2261" s="569" t="s">
        <v>23555</v>
      </c>
      <c r="J2261" s="531">
        <v>3500000</v>
      </c>
    </row>
    <row r="2262" spans="1:10" ht="45">
      <c r="A2262" s="22" t="s">
        <v>23556</v>
      </c>
      <c r="B2262" s="26" t="s">
        <v>23557</v>
      </c>
      <c r="C2262" s="569" t="s">
        <v>23558</v>
      </c>
      <c r="D2262" s="569">
        <v>12.815</v>
      </c>
      <c r="E2262" s="569">
        <v>6</v>
      </c>
      <c r="F2262" s="569" t="s">
        <v>23559</v>
      </c>
      <c r="G2262" s="73">
        <v>0</v>
      </c>
      <c r="H2262" s="569">
        <v>0</v>
      </c>
      <c r="I2262" s="569" t="s">
        <v>23532</v>
      </c>
      <c r="J2262" s="531">
        <v>155000</v>
      </c>
    </row>
    <row r="2263" spans="1:10" ht="15.75">
      <c r="A2263" s="1013" t="s">
        <v>189</v>
      </c>
      <c r="B2263" s="1014"/>
      <c r="C2263" s="1014"/>
      <c r="D2263" s="1014"/>
      <c r="E2263" s="1014"/>
      <c r="F2263" s="1014"/>
      <c r="G2263" s="550">
        <f>SUM(G2235:G2262)</f>
        <v>0</v>
      </c>
      <c r="H2263" s="564"/>
      <c r="I2263" s="564"/>
      <c r="J2263" s="626">
        <f>SUM(J2235:J2262)</f>
        <v>80805000</v>
      </c>
    </row>
    <row r="2264" spans="1:10" ht="15.75">
      <c r="A2264" s="1013" t="s">
        <v>610</v>
      </c>
      <c r="B2264" s="1014"/>
      <c r="C2264" s="1014"/>
      <c r="D2264" s="1014"/>
      <c r="E2264" s="1014"/>
      <c r="F2264" s="1014"/>
      <c r="G2264" s="1014"/>
      <c r="H2264" s="1014"/>
      <c r="I2264" s="1014"/>
      <c r="J2264" s="1015"/>
    </row>
    <row r="2265" spans="1:10" ht="112.5">
      <c r="A2265" s="27" t="s">
        <v>589</v>
      </c>
      <c r="B2265" s="300" t="s">
        <v>590</v>
      </c>
      <c r="C2265" s="569" t="s">
        <v>591</v>
      </c>
      <c r="D2265" s="609">
        <v>5.77</v>
      </c>
      <c r="E2265" s="569">
        <v>10</v>
      </c>
      <c r="F2265" s="569" t="s">
        <v>592</v>
      </c>
      <c r="G2265" s="73">
        <v>57700000</v>
      </c>
      <c r="H2265" s="569">
        <v>1</v>
      </c>
      <c r="I2265" s="569" t="s">
        <v>593</v>
      </c>
      <c r="J2265" s="531">
        <v>161560000</v>
      </c>
    </row>
    <row r="2266" spans="1:10" ht="123.75">
      <c r="A2266" s="27" t="s">
        <v>594</v>
      </c>
      <c r="B2266" s="300" t="s">
        <v>595</v>
      </c>
      <c r="C2266" s="569" t="s">
        <v>596</v>
      </c>
      <c r="D2266" s="609">
        <v>19.100000000000001</v>
      </c>
      <c r="E2266" s="609">
        <v>10</v>
      </c>
      <c r="F2266" s="569" t="s">
        <v>597</v>
      </c>
      <c r="G2266" s="73">
        <v>18000000</v>
      </c>
      <c r="H2266" s="569">
        <v>2</v>
      </c>
      <c r="I2266" s="569" t="s">
        <v>598</v>
      </c>
      <c r="J2266" s="531">
        <v>27834688</v>
      </c>
    </row>
    <row r="2267" spans="1:10" ht="112.5">
      <c r="A2267" s="27" t="s">
        <v>594</v>
      </c>
      <c r="B2267" s="300" t="s">
        <v>599</v>
      </c>
      <c r="C2267" s="569" t="s">
        <v>600</v>
      </c>
      <c r="D2267" s="609">
        <v>4</v>
      </c>
      <c r="E2267" s="569">
        <v>6</v>
      </c>
      <c r="F2267" s="569" t="s">
        <v>597</v>
      </c>
      <c r="G2267" s="73">
        <v>40000000</v>
      </c>
      <c r="H2267" s="569">
        <v>3</v>
      </c>
      <c r="I2267" s="569" t="s">
        <v>601</v>
      </c>
      <c r="J2267" s="531">
        <v>112000000</v>
      </c>
    </row>
    <row r="2268" spans="1:10" ht="112.5">
      <c r="A2268" s="27" t="s">
        <v>602</v>
      </c>
      <c r="B2268" s="300" t="s">
        <v>603</v>
      </c>
      <c r="C2268" s="569" t="s">
        <v>604</v>
      </c>
      <c r="D2268" s="609">
        <v>5</v>
      </c>
      <c r="E2268" s="609">
        <v>12</v>
      </c>
      <c r="F2268" s="569" t="s">
        <v>597</v>
      </c>
      <c r="G2268" s="73">
        <v>50000000</v>
      </c>
      <c r="H2268" s="569">
        <v>4</v>
      </c>
      <c r="I2268" s="569" t="s">
        <v>605</v>
      </c>
      <c r="J2268" s="531">
        <v>140000000</v>
      </c>
    </row>
    <row r="2269" spans="1:10" ht="191.25">
      <c r="A2269" s="27" t="s">
        <v>594</v>
      </c>
      <c r="B2269" s="300" t="s">
        <v>606</v>
      </c>
      <c r="C2269" s="569" t="s">
        <v>607</v>
      </c>
      <c r="D2269" s="609">
        <v>6.05</v>
      </c>
      <c r="E2269" s="609">
        <v>4</v>
      </c>
      <c r="F2269" s="569" t="s">
        <v>608</v>
      </c>
      <c r="G2269" s="73">
        <v>14000000</v>
      </c>
      <c r="H2269" s="569">
        <v>5</v>
      </c>
      <c r="I2269" s="569" t="s">
        <v>609</v>
      </c>
      <c r="J2269" s="531">
        <v>27574901.600000001</v>
      </c>
    </row>
    <row r="2270" spans="1:10" ht="33.75">
      <c r="A2270" s="22" t="s">
        <v>594</v>
      </c>
      <c r="B2270" s="26" t="s">
        <v>1137</v>
      </c>
      <c r="C2270" s="569" t="s">
        <v>24530</v>
      </c>
      <c r="D2270" s="569">
        <v>16.555</v>
      </c>
      <c r="E2270" s="569">
        <v>7</v>
      </c>
      <c r="F2270" s="569" t="s">
        <v>23494</v>
      </c>
      <c r="G2270" s="73" t="s">
        <v>3307</v>
      </c>
      <c r="H2270" s="569">
        <v>1</v>
      </c>
      <c r="I2270" s="569" t="s">
        <v>23481</v>
      </c>
      <c r="J2270" s="531">
        <v>1400000</v>
      </c>
    </row>
    <row r="2271" spans="1:10" ht="33.75">
      <c r="A2271" s="22" t="s">
        <v>594</v>
      </c>
      <c r="B2271" s="26" t="s">
        <v>137</v>
      </c>
      <c r="C2271" s="569" t="s">
        <v>24531</v>
      </c>
      <c r="D2271" s="569">
        <v>16.555</v>
      </c>
      <c r="E2271" s="569">
        <v>6</v>
      </c>
      <c r="F2271" s="569" t="s">
        <v>23494</v>
      </c>
      <c r="G2271" s="73" t="s">
        <v>3307</v>
      </c>
      <c r="H2271" s="569">
        <v>1</v>
      </c>
      <c r="I2271" s="569" t="s">
        <v>24532</v>
      </c>
      <c r="J2271" s="531">
        <v>2000000</v>
      </c>
    </row>
    <row r="2272" spans="1:10" ht="33.75">
      <c r="A2272" s="22" t="s">
        <v>594</v>
      </c>
      <c r="B2272" s="26" t="s">
        <v>1137</v>
      </c>
      <c r="C2272" s="569" t="s">
        <v>24533</v>
      </c>
      <c r="D2272" s="569">
        <v>16.555</v>
      </c>
      <c r="E2272" s="569">
        <v>6</v>
      </c>
      <c r="F2272" s="569" t="s">
        <v>23494</v>
      </c>
      <c r="G2272" s="73" t="s">
        <v>3307</v>
      </c>
      <c r="H2272" s="569">
        <v>1</v>
      </c>
      <c r="I2272" s="569" t="s">
        <v>23481</v>
      </c>
      <c r="J2272" s="531">
        <v>1400000</v>
      </c>
    </row>
    <row r="2273" spans="1:10" ht="45">
      <c r="A2273" s="22" t="s">
        <v>5822</v>
      </c>
      <c r="B2273" s="26" t="s">
        <v>24534</v>
      </c>
      <c r="C2273" s="569" t="s">
        <v>24535</v>
      </c>
      <c r="D2273" s="569">
        <v>9.7650000000000006</v>
      </c>
      <c r="E2273" s="569">
        <v>4</v>
      </c>
      <c r="F2273" s="569" t="s">
        <v>24536</v>
      </c>
      <c r="G2273" s="73">
        <v>0</v>
      </c>
      <c r="H2273" s="569">
        <v>1</v>
      </c>
      <c r="I2273" s="569" t="s">
        <v>24537</v>
      </c>
      <c r="J2273" s="531">
        <v>600000</v>
      </c>
    </row>
    <row r="2274" spans="1:10" ht="45">
      <c r="A2274" s="22" t="s">
        <v>24538</v>
      </c>
      <c r="B2274" s="26" t="s">
        <v>24534</v>
      </c>
      <c r="C2274" s="569" t="s">
        <v>24539</v>
      </c>
      <c r="D2274" s="569">
        <v>9.7650000000000006</v>
      </c>
      <c r="E2274" s="569" t="s">
        <v>7070</v>
      </c>
      <c r="F2274" s="569" t="s">
        <v>24540</v>
      </c>
      <c r="G2274" s="73">
        <v>0</v>
      </c>
      <c r="H2274" s="569">
        <v>1</v>
      </c>
      <c r="I2274" s="569" t="s">
        <v>24541</v>
      </c>
      <c r="J2274" s="531">
        <v>600000</v>
      </c>
    </row>
    <row r="2275" spans="1:10">
      <c r="A2275" s="22" t="s">
        <v>4490</v>
      </c>
      <c r="B2275" s="26" t="s">
        <v>24542</v>
      </c>
      <c r="C2275" s="569" t="s">
        <v>24543</v>
      </c>
      <c r="D2275" s="569">
        <v>8.75</v>
      </c>
      <c r="E2275" s="569" t="s">
        <v>24544</v>
      </c>
      <c r="F2275" s="569" t="s">
        <v>24545</v>
      </c>
      <c r="G2275" s="73">
        <v>0</v>
      </c>
      <c r="H2275" s="569">
        <v>1</v>
      </c>
      <c r="I2275" s="569" t="s">
        <v>23495</v>
      </c>
      <c r="J2275" s="531">
        <v>400000</v>
      </c>
    </row>
    <row r="2276" spans="1:10" ht="45">
      <c r="A2276" s="22" t="s">
        <v>24546</v>
      </c>
      <c r="B2276" s="26" t="s">
        <v>24547</v>
      </c>
      <c r="C2276" s="569" t="s">
        <v>24548</v>
      </c>
      <c r="D2276" s="569">
        <v>9.06</v>
      </c>
      <c r="E2276" s="569" t="s">
        <v>24549</v>
      </c>
      <c r="F2276" s="569" t="s">
        <v>24550</v>
      </c>
      <c r="G2276" s="73">
        <v>0</v>
      </c>
      <c r="H2276" s="569">
        <v>1</v>
      </c>
      <c r="I2276" s="569" t="s">
        <v>23495</v>
      </c>
      <c r="J2276" s="531">
        <v>800000</v>
      </c>
    </row>
    <row r="2277" spans="1:10" ht="45">
      <c r="A2277" s="22" t="s">
        <v>594</v>
      </c>
      <c r="B2277" s="26" t="s">
        <v>23506</v>
      </c>
      <c r="C2277" s="569" t="s">
        <v>24551</v>
      </c>
      <c r="D2277" s="569">
        <v>16.555</v>
      </c>
      <c r="E2277" s="569" t="s">
        <v>7839</v>
      </c>
      <c r="F2277" s="569" t="s">
        <v>24536</v>
      </c>
      <c r="G2277" s="73">
        <v>0</v>
      </c>
      <c r="H2277" s="569">
        <v>1</v>
      </c>
      <c r="I2277" s="569" t="s">
        <v>23495</v>
      </c>
      <c r="J2277" s="531">
        <v>750000</v>
      </c>
    </row>
    <row r="2278" spans="1:10" ht="45">
      <c r="A2278" s="22" t="s">
        <v>23506</v>
      </c>
      <c r="B2278" s="26" t="s">
        <v>23506</v>
      </c>
      <c r="C2278" s="569" t="s">
        <v>24552</v>
      </c>
      <c r="D2278" s="569">
        <v>7.75</v>
      </c>
      <c r="E2278" s="569">
        <v>6</v>
      </c>
      <c r="F2278" s="569" t="s">
        <v>24553</v>
      </c>
      <c r="G2278" s="73">
        <v>0</v>
      </c>
      <c r="H2278" s="569">
        <v>1</v>
      </c>
      <c r="I2278" s="569" t="s">
        <v>24554</v>
      </c>
      <c r="J2278" s="531">
        <v>550000</v>
      </c>
    </row>
    <row r="2279" spans="1:10" ht="45">
      <c r="A2279" s="22" t="s">
        <v>23506</v>
      </c>
      <c r="B2279" s="26" t="s">
        <v>23506</v>
      </c>
      <c r="C2279" s="569" t="s">
        <v>24555</v>
      </c>
      <c r="D2279" s="569">
        <v>7.75</v>
      </c>
      <c r="E2279" s="569" t="s">
        <v>24556</v>
      </c>
      <c r="F2279" s="569" t="s">
        <v>23504</v>
      </c>
      <c r="G2279" s="73">
        <v>0</v>
      </c>
      <c r="H2279" s="569">
        <v>1</v>
      </c>
      <c r="I2279" s="569" t="s">
        <v>23495</v>
      </c>
      <c r="J2279" s="531">
        <v>700000</v>
      </c>
    </row>
    <row r="2280" spans="1:10" ht="45">
      <c r="A2280" s="22" t="s">
        <v>23506</v>
      </c>
      <c r="B2280" s="26" t="s">
        <v>24557</v>
      </c>
      <c r="C2280" s="569" t="s">
        <v>24558</v>
      </c>
      <c r="D2280" s="569">
        <v>7.75</v>
      </c>
      <c r="E2280" s="569">
        <v>3</v>
      </c>
      <c r="F2280" s="569" t="s">
        <v>24559</v>
      </c>
      <c r="G2280" s="73">
        <v>0</v>
      </c>
      <c r="H2280" s="569">
        <v>1</v>
      </c>
      <c r="I2280" s="569" t="s">
        <v>23495</v>
      </c>
      <c r="J2280" s="531">
        <v>150000</v>
      </c>
    </row>
    <row r="2281" spans="1:10" ht="45">
      <c r="A2281" s="22" t="s">
        <v>24557</v>
      </c>
      <c r="B2281" s="26" t="s">
        <v>24557</v>
      </c>
      <c r="C2281" s="569" t="s">
        <v>24560</v>
      </c>
      <c r="D2281" s="569">
        <v>7.75</v>
      </c>
      <c r="E2281" s="569" t="s">
        <v>7839</v>
      </c>
      <c r="F2281" s="569" t="s">
        <v>23504</v>
      </c>
      <c r="G2281" s="73">
        <v>0</v>
      </c>
      <c r="H2281" s="569">
        <v>1</v>
      </c>
      <c r="I2281" s="569" t="s">
        <v>24561</v>
      </c>
      <c r="J2281" s="531">
        <v>1300000</v>
      </c>
    </row>
    <row r="2282" spans="1:10" ht="45">
      <c r="A2282" s="22" t="s">
        <v>24562</v>
      </c>
      <c r="B2282" s="26" t="s">
        <v>24562</v>
      </c>
      <c r="C2282" s="569" t="s">
        <v>24563</v>
      </c>
      <c r="D2282" s="569">
        <v>18.579999999999998</v>
      </c>
      <c r="E2282" s="569" t="s">
        <v>24564</v>
      </c>
      <c r="F2282" s="569" t="s">
        <v>24565</v>
      </c>
      <c r="G2282" s="73">
        <v>0</v>
      </c>
      <c r="H2282" s="569">
        <v>0</v>
      </c>
      <c r="I2282" s="569" t="s">
        <v>23505</v>
      </c>
      <c r="J2282" s="531">
        <v>700000</v>
      </c>
    </row>
    <row r="2283" spans="1:10" ht="45">
      <c r="A2283" s="22" t="s">
        <v>24562</v>
      </c>
      <c r="B2283" s="26" t="s">
        <v>24562</v>
      </c>
      <c r="C2283" s="569" t="s">
        <v>24566</v>
      </c>
      <c r="D2283" s="569">
        <v>18.579999999999998</v>
      </c>
      <c r="E2283" s="569" t="s">
        <v>24564</v>
      </c>
      <c r="F2283" s="569" t="s">
        <v>24565</v>
      </c>
      <c r="G2283" s="73">
        <v>0</v>
      </c>
      <c r="H2283" s="569">
        <v>0</v>
      </c>
      <c r="I2283" s="569" t="s">
        <v>24567</v>
      </c>
      <c r="J2283" s="531">
        <v>700000</v>
      </c>
    </row>
    <row r="2284" spans="1:10" ht="45">
      <c r="A2284" s="22" t="s">
        <v>24562</v>
      </c>
      <c r="B2284" s="26" t="s">
        <v>24562</v>
      </c>
      <c r="C2284" s="569" t="s">
        <v>24568</v>
      </c>
      <c r="D2284" s="569">
        <v>18.579999999999998</v>
      </c>
      <c r="E2284" s="569" t="s">
        <v>7839</v>
      </c>
      <c r="F2284" s="569" t="s">
        <v>24569</v>
      </c>
      <c r="G2284" s="73">
        <v>0</v>
      </c>
      <c r="H2284" s="569">
        <v>0</v>
      </c>
      <c r="I2284" s="569" t="s">
        <v>23495</v>
      </c>
      <c r="J2284" s="531">
        <v>1200000</v>
      </c>
    </row>
    <row r="2285" spans="1:10" ht="45">
      <c r="A2285" s="22" t="s">
        <v>594</v>
      </c>
      <c r="B2285" s="26" t="s">
        <v>137</v>
      </c>
      <c r="C2285" s="569" t="s">
        <v>24570</v>
      </c>
      <c r="D2285" s="569">
        <v>16.555</v>
      </c>
      <c r="E2285" s="569" t="s">
        <v>7839</v>
      </c>
      <c r="F2285" s="569" t="s">
        <v>24571</v>
      </c>
      <c r="G2285" s="73">
        <v>0</v>
      </c>
      <c r="H2285" s="569">
        <v>0</v>
      </c>
      <c r="I2285" s="569" t="s">
        <v>24572</v>
      </c>
      <c r="J2285" s="531">
        <v>5800000</v>
      </c>
    </row>
    <row r="2286" spans="1:10" ht="45">
      <c r="A2286" s="22" t="s">
        <v>24562</v>
      </c>
      <c r="B2286" s="26" t="s">
        <v>24562</v>
      </c>
      <c r="C2286" s="569" t="s">
        <v>24573</v>
      </c>
      <c r="D2286" s="569">
        <v>18.579999999999998</v>
      </c>
      <c r="E2286" s="569">
        <v>3</v>
      </c>
      <c r="F2286" s="569" t="s">
        <v>24574</v>
      </c>
      <c r="G2286" s="73">
        <v>0</v>
      </c>
      <c r="H2286" s="569">
        <v>0</v>
      </c>
      <c r="I2286" s="569" t="s">
        <v>24575</v>
      </c>
      <c r="J2286" s="531">
        <v>700000</v>
      </c>
    </row>
    <row r="2287" spans="1:10" ht="45">
      <c r="A2287" s="22" t="s">
        <v>24562</v>
      </c>
      <c r="B2287" s="26" t="s">
        <v>24562</v>
      </c>
      <c r="C2287" s="569" t="s">
        <v>24576</v>
      </c>
      <c r="D2287" s="569">
        <v>18.579999999999998</v>
      </c>
      <c r="E2287" s="569">
        <v>2</v>
      </c>
      <c r="F2287" s="569" t="s">
        <v>24577</v>
      </c>
      <c r="G2287" s="73">
        <v>0</v>
      </c>
      <c r="H2287" s="569">
        <v>0</v>
      </c>
      <c r="I2287" s="569" t="s">
        <v>23542</v>
      </c>
      <c r="J2287" s="531">
        <v>600000</v>
      </c>
    </row>
    <row r="2288" spans="1:10" ht="45">
      <c r="A2288" s="22" t="s">
        <v>24562</v>
      </c>
      <c r="B2288" s="26" t="s">
        <v>24562</v>
      </c>
      <c r="C2288" s="569" t="s">
        <v>24578</v>
      </c>
      <c r="D2288" s="569">
        <v>18.579999999999998</v>
      </c>
      <c r="E2288" s="569">
        <v>12</v>
      </c>
      <c r="F2288" s="569" t="s">
        <v>24579</v>
      </c>
      <c r="G2288" s="73">
        <v>0</v>
      </c>
      <c r="H2288" s="569">
        <v>0</v>
      </c>
      <c r="I2288" s="569" t="s">
        <v>24580</v>
      </c>
      <c r="J2288" s="531">
        <v>2500000</v>
      </c>
    </row>
    <row r="2289" spans="1:10" ht="45">
      <c r="A2289" s="22" t="s">
        <v>24562</v>
      </c>
      <c r="B2289" s="26" t="s">
        <v>24562</v>
      </c>
      <c r="C2289" s="569" t="s">
        <v>24581</v>
      </c>
      <c r="D2289" s="569">
        <v>18.579999999999998</v>
      </c>
      <c r="E2289" s="569">
        <v>12</v>
      </c>
      <c r="F2289" s="569" t="s">
        <v>24579</v>
      </c>
      <c r="G2289" s="73">
        <v>0</v>
      </c>
      <c r="H2289" s="569">
        <v>0</v>
      </c>
      <c r="I2289" s="569" t="s">
        <v>24580</v>
      </c>
      <c r="J2289" s="531">
        <v>2300000</v>
      </c>
    </row>
    <row r="2290" spans="1:10" ht="45">
      <c r="A2290" s="22" t="s">
        <v>24582</v>
      </c>
      <c r="B2290" s="26" t="s">
        <v>24582</v>
      </c>
      <c r="C2290" s="569" t="s">
        <v>24583</v>
      </c>
      <c r="D2290" s="569">
        <v>9.5250000000000004</v>
      </c>
      <c r="E2290" s="569">
        <v>4</v>
      </c>
      <c r="F2290" s="569" t="s">
        <v>24574</v>
      </c>
      <c r="G2290" s="73">
        <v>0</v>
      </c>
      <c r="H2290" s="569">
        <v>0</v>
      </c>
      <c r="I2290" s="569" t="s">
        <v>23542</v>
      </c>
      <c r="J2290" s="531">
        <v>900000</v>
      </c>
    </row>
    <row r="2291" spans="1:10" ht="33.75">
      <c r="A2291" s="22" t="s">
        <v>24582</v>
      </c>
      <c r="B2291" s="26" t="s">
        <v>24582</v>
      </c>
      <c r="C2291" s="569" t="s">
        <v>24584</v>
      </c>
      <c r="D2291" s="569">
        <v>9.5250000000000004</v>
      </c>
      <c r="E2291" s="569">
        <v>5</v>
      </c>
      <c r="F2291" s="569" t="s">
        <v>24585</v>
      </c>
      <c r="G2291" s="73">
        <v>0</v>
      </c>
      <c r="H2291" s="569">
        <v>0</v>
      </c>
      <c r="I2291" s="569" t="s">
        <v>24561</v>
      </c>
      <c r="J2291" s="531">
        <v>250000</v>
      </c>
    </row>
    <row r="2292" spans="1:10" ht="33.75">
      <c r="A2292" s="22" t="s">
        <v>24562</v>
      </c>
      <c r="B2292" s="26" t="s">
        <v>24562</v>
      </c>
      <c r="C2292" s="569" t="s">
        <v>24586</v>
      </c>
      <c r="D2292" s="569">
        <v>18.579999999999998</v>
      </c>
      <c r="E2292" s="569">
        <v>14</v>
      </c>
      <c r="F2292" s="569" t="s">
        <v>24579</v>
      </c>
      <c r="G2292" s="73">
        <v>0</v>
      </c>
      <c r="H2292" s="569">
        <v>0</v>
      </c>
      <c r="I2292" s="569" t="s">
        <v>24580</v>
      </c>
      <c r="J2292" s="531">
        <v>1100000</v>
      </c>
    </row>
    <row r="2293" spans="1:10" ht="45">
      <c r="A2293" s="22" t="s">
        <v>23506</v>
      </c>
      <c r="B2293" s="26" t="s">
        <v>24587</v>
      </c>
      <c r="C2293" s="569" t="s">
        <v>24588</v>
      </c>
      <c r="D2293" s="569">
        <v>7.75</v>
      </c>
      <c r="E2293" s="569" t="s">
        <v>7839</v>
      </c>
      <c r="F2293" s="569" t="s">
        <v>24589</v>
      </c>
      <c r="G2293" s="73">
        <v>0</v>
      </c>
      <c r="H2293" s="569">
        <v>0</v>
      </c>
      <c r="I2293" s="569" t="s">
        <v>24590</v>
      </c>
      <c r="J2293" s="531">
        <v>6000000</v>
      </c>
    </row>
    <row r="2294" spans="1:10" ht="45">
      <c r="A2294" s="22" t="s">
        <v>1462</v>
      </c>
      <c r="B2294" s="26" t="s">
        <v>3342</v>
      </c>
      <c r="C2294" s="569" t="s">
        <v>24591</v>
      </c>
      <c r="D2294" s="569">
        <v>6.2850000000000001</v>
      </c>
      <c r="E2294" s="569">
        <v>5</v>
      </c>
      <c r="F2294" s="569" t="s">
        <v>24386</v>
      </c>
      <c r="G2294" s="73">
        <v>0</v>
      </c>
      <c r="H2294" s="569">
        <v>0</v>
      </c>
      <c r="I2294" s="569" t="s">
        <v>23542</v>
      </c>
      <c r="J2294" s="531">
        <v>800000</v>
      </c>
    </row>
    <row r="2295" spans="1:10" ht="45">
      <c r="A2295" s="22" t="s">
        <v>3342</v>
      </c>
      <c r="B2295" s="26" t="s">
        <v>3342</v>
      </c>
      <c r="C2295" s="569" t="s">
        <v>24592</v>
      </c>
      <c r="D2295" s="569">
        <v>6.2850000000000001</v>
      </c>
      <c r="E2295" s="569" t="s">
        <v>7839</v>
      </c>
      <c r="F2295" s="569" t="s">
        <v>23504</v>
      </c>
      <c r="G2295" s="73">
        <v>0</v>
      </c>
      <c r="H2295" s="569">
        <v>0</v>
      </c>
      <c r="I2295" s="569" t="s">
        <v>24593</v>
      </c>
      <c r="J2295" s="531">
        <v>900000</v>
      </c>
    </row>
    <row r="2296" spans="1:10" ht="45">
      <c r="A2296" s="22" t="s">
        <v>3342</v>
      </c>
      <c r="B2296" s="26" t="s">
        <v>3342</v>
      </c>
      <c r="C2296" s="569" t="s">
        <v>24594</v>
      </c>
      <c r="D2296" s="569">
        <v>6.2850000000000001</v>
      </c>
      <c r="E2296" s="569">
        <v>7</v>
      </c>
      <c r="F2296" s="569" t="s">
        <v>24595</v>
      </c>
      <c r="G2296" s="73">
        <v>0</v>
      </c>
      <c r="H2296" s="569">
        <v>0</v>
      </c>
      <c r="I2296" s="569" t="s">
        <v>23542</v>
      </c>
      <c r="J2296" s="531">
        <v>1200000</v>
      </c>
    </row>
    <row r="2297" spans="1:10" ht="45">
      <c r="A2297" s="22" t="s">
        <v>4490</v>
      </c>
      <c r="B2297" s="26" t="s">
        <v>24542</v>
      </c>
      <c r="C2297" s="569" t="s">
        <v>24596</v>
      </c>
      <c r="D2297" s="569">
        <v>8.75</v>
      </c>
      <c r="E2297" s="569">
        <v>7</v>
      </c>
      <c r="F2297" s="569" t="s">
        <v>24597</v>
      </c>
      <c r="G2297" s="73">
        <v>0</v>
      </c>
      <c r="H2297" s="569">
        <v>0</v>
      </c>
      <c r="I2297" s="569" t="s">
        <v>23542</v>
      </c>
      <c r="J2297" s="531">
        <v>900000</v>
      </c>
    </row>
    <row r="2298" spans="1:10" ht="45">
      <c r="A2298" s="22" t="s">
        <v>4490</v>
      </c>
      <c r="B2298" s="26" t="s">
        <v>24542</v>
      </c>
      <c r="C2298" s="569" t="s">
        <v>24598</v>
      </c>
      <c r="D2298" s="569">
        <v>8.75</v>
      </c>
      <c r="E2298" s="569" t="s">
        <v>24599</v>
      </c>
      <c r="F2298" s="569" t="s">
        <v>24600</v>
      </c>
      <c r="G2298" s="73">
        <v>0</v>
      </c>
      <c r="H2298" s="569">
        <v>0</v>
      </c>
      <c r="I2298" s="569" t="s">
        <v>23542</v>
      </c>
      <c r="J2298" s="531">
        <v>700000</v>
      </c>
    </row>
    <row r="2299" spans="1:10" ht="45">
      <c r="A2299" s="22" t="s">
        <v>24601</v>
      </c>
      <c r="B2299" s="26" t="s">
        <v>24602</v>
      </c>
      <c r="C2299" s="569" t="s">
        <v>24603</v>
      </c>
      <c r="D2299" s="569">
        <v>9.6950000000000003</v>
      </c>
      <c r="E2299" s="569">
        <v>10</v>
      </c>
      <c r="F2299" s="569" t="s">
        <v>24604</v>
      </c>
      <c r="G2299" s="73">
        <v>0</v>
      </c>
      <c r="H2299" s="569">
        <v>0</v>
      </c>
      <c r="I2299" s="569" t="s">
        <v>24605</v>
      </c>
      <c r="J2299" s="531">
        <v>204000000</v>
      </c>
    </row>
    <row r="2300" spans="1:10" ht="45">
      <c r="A2300" s="22" t="s">
        <v>24601</v>
      </c>
      <c r="B2300" s="26" t="s">
        <v>24601</v>
      </c>
      <c r="C2300" s="569" t="s">
        <v>24606</v>
      </c>
      <c r="D2300" s="569">
        <v>9.6950000000000003</v>
      </c>
      <c r="E2300" s="569">
        <v>3</v>
      </c>
      <c r="F2300" s="569" t="s">
        <v>24607</v>
      </c>
      <c r="G2300" s="73">
        <v>0</v>
      </c>
      <c r="H2300" s="569">
        <v>0</v>
      </c>
      <c r="I2300" s="569" t="s">
        <v>23515</v>
      </c>
      <c r="J2300" s="531">
        <v>700000</v>
      </c>
    </row>
    <row r="2301" spans="1:10" ht="45">
      <c r="A2301" s="22" t="s">
        <v>594</v>
      </c>
      <c r="B2301" s="26" t="s">
        <v>24608</v>
      </c>
      <c r="C2301" s="569" t="s">
        <v>24609</v>
      </c>
      <c r="D2301" s="569">
        <v>16.555</v>
      </c>
      <c r="E2301" s="569">
        <v>15</v>
      </c>
      <c r="F2301" s="569" t="s">
        <v>24610</v>
      </c>
      <c r="G2301" s="73">
        <v>0</v>
      </c>
      <c r="H2301" s="569">
        <v>0</v>
      </c>
      <c r="I2301" s="569" t="s">
        <v>24611</v>
      </c>
      <c r="J2301" s="531">
        <v>2200000</v>
      </c>
    </row>
    <row r="2302" spans="1:10" ht="45">
      <c r="A2302" s="22" t="s">
        <v>594</v>
      </c>
      <c r="B2302" s="26" t="s">
        <v>137</v>
      </c>
      <c r="C2302" s="569" t="s">
        <v>24612</v>
      </c>
      <c r="D2302" s="569">
        <v>16.555</v>
      </c>
      <c r="E2302" s="569">
        <v>7</v>
      </c>
      <c r="F2302" s="569" t="s">
        <v>24613</v>
      </c>
      <c r="G2302" s="73">
        <v>0</v>
      </c>
      <c r="H2302" s="569">
        <v>0</v>
      </c>
      <c r="I2302" s="569" t="s">
        <v>24614</v>
      </c>
      <c r="J2302" s="531">
        <v>1600000</v>
      </c>
    </row>
    <row r="2303" spans="1:10" ht="45">
      <c r="A2303" s="22" t="s">
        <v>23693</v>
      </c>
      <c r="B2303" s="26" t="s">
        <v>23713</v>
      </c>
      <c r="C2303" s="569" t="s">
        <v>24615</v>
      </c>
      <c r="D2303" s="569">
        <v>4.7750000000000004</v>
      </c>
      <c r="E2303" s="569">
        <v>5</v>
      </c>
      <c r="F2303" s="569" t="s">
        <v>24616</v>
      </c>
      <c r="G2303" s="73">
        <v>0</v>
      </c>
      <c r="H2303" s="569">
        <v>0</v>
      </c>
      <c r="I2303" s="569" t="s">
        <v>23540</v>
      </c>
      <c r="J2303" s="531">
        <v>800000</v>
      </c>
    </row>
    <row r="2304" spans="1:10" ht="45">
      <c r="A2304" s="22" t="s">
        <v>24617</v>
      </c>
      <c r="B2304" s="26" t="s">
        <v>24582</v>
      </c>
      <c r="C2304" s="569" t="s">
        <v>24618</v>
      </c>
      <c r="D2304" s="569">
        <v>18.579999999999998</v>
      </c>
      <c r="E2304" s="569">
        <v>6</v>
      </c>
      <c r="F2304" s="569" t="s">
        <v>24619</v>
      </c>
      <c r="G2304" s="73">
        <v>0</v>
      </c>
      <c r="H2304" s="569">
        <v>0</v>
      </c>
      <c r="I2304" s="569" t="s">
        <v>23540</v>
      </c>
      <c r="J2304" s="531">
        <v>700000</v>
      </c>
    </row>
    <row r="2305" spans="1:10" ht="45">
      <c r="A2305" s="22" t="s">
        <v>1462</v>
      </c>
      <c r="B2305" s="26" t="s">
        <v>1462</v>
      </c>
      <c r="C2305" s="569" t="s">
        <v>24620</v>
      </c>
      <c r="D2305" s="569">
        <v>9.5250000000000004</v>
      </c>
      <c r="E2305" s="569">
        <v>6</v>
      </c>
      <c r="F2305" s="569" t="s">
        <v>24619</v>
      </c>
      <c r="G2305" s="73">
        <v>0</v>
      </c>
      <c r="H2305" s="569">
        <v>0</v>
      </c>
      <c r="I2305" s="569" t="s">
        <v>24621</v>
      </c>
      <c r="J2305" s="531">
        <v>600000</v>
      </c>
    </row>
    <row r="2306" spans="1:10" ht="45">
      <c r="A2306" s="22" t="s">
        <v>1462</v>
      </c>
      <c r="B2306" s="26" t="s">
        <v>1462</v>
      </c>
      <c r="C2306" s="569" t="s">
        <v>24622</v>
      </c>
      <c r="D2306" s="569">
        <v>9.5250000000000004</v>
      </c>
      <c r="E2306" s="569">
        <v>2</v>
      </c>
      <c r="F2306" s="569" t="s">
        <v>24623</v>
      </c>
      <c r="G2306" s="73">
        <v>0</v>
      </c>
      <c r="H2306" s="569">
        <v>0</v>
      </c>
      <c r="I2306" s="569" t="s">
        <v>24624</v>
      </c>
      <c r="J2306" s="531">
        <v>1400000</v>
      </c>
    </row>
    <row r="2307" spans="1:10" ht="45">
      <c r="A2307" s="22" t="s">
        <v>594</v>
      </c>
      <c r="B2307" s="26" t="s">
        <v>137</v>
      </c>
      <c r="C2307" s="569" t="s">
        <v>24625</v>
      </c>
      <c r="D2307" s="569">
        <v>16.555</v>
      </c>
      <c r="E2307" s="569">
        <v>7</v>
      </c>
      <c r="F2307" s="569" t="s">
        <v>24626</v>
      </c>
      <c r="G2307" s="73">
        <v>0</v>
      </c>
      <c r="H2307" s="569">
        <v>0</v>
      </c>
      <c r="I2307" s="569" t="s">
        <v>24627</v>
      </c>
      <c r="J2307" s="531">
        <v>155000000</v>
      </c>
    </row>
    <row r="2308" spans="1:10" ht="45">
      <c r="A2308" s="22" t="s">
        <v>1462</v>
      </c>
      <c r="B2308" s="26" t="s">
        <v>1462</v>
      </c>
      <c r="C2308" s="569" t="s">
        <v>24628</v>
      </c>
      <c r="D2308" s="569">
        <v>9.5250000000000004</v>
      </c>
      <c r="E2308" s="569">
        <v>7</v>
      </c>
      <c r="F2308" s="569" t="s">
        <v>24619</v>
      </c>
      <c r="G2308" s="73">
        <v>0</v>
      </c>
      <c r="H2308" s="569">
        <v>0</v>
      </c>
      <c r="I2308" s="569" t="s">
        <v>23542</v>
      </c>
      <c r="J2308" s="531">
        <v>300000</v>
      </c>
    </row>
    <row r="2309" spans="1:10" ht="33.75">
      <c r="A2309" s="22" t="s">
        <v>24629</v>
      </c>
      <c r="B2309" s="26" t="s">
        <v>24538</v>
      </c>
      <c r="C2309" s="569" t="s">
        <v>24630</v>
      </c>
      <c r="D2309" s="569">
        <v>4.7750000000000004</v>
      </c>
      <c r="E2309" s="569">
        <v>6</v>
      </c>
      <c r="F2309" s="569" t="s">
        <v>24631</v>
      </c>
      <c r="G2309" s="73">
        <v>0</v>
      </c>
      <c r="H2309" s="569">
        <v>0</v>
      </c>
      <c r="I2309" s="569" t="s">
        <v>24632</v>
      </c>
      <c r="J2309" s="531">
        <v>700000</v>
      </c>
    </row>
    <row r="2310" spans="1:10" ht="45">
      <c r="A2310" s="22" t="s">
        <v>24633</v>
      </c>
      <c r="B2310" s="26" t="s">
        <v>24633</v>
      </c>
      <c r="C2310" s="569" t="s">
        <v>24634</v>
      </c>
      <c r="D2310" s="569">
        <v>9.5250000000000004</v>
      </c>
      <c r="E2310" s="569">
        <v>3</v>
      </c>
      <c r="F2310" s="569" t="s">
        <v>23559</v>
      </c>
      <c r="G2310" s="73">
        <v>0</v>
      </c>
      <c r="H2310" s="569">
        <v>0</v>
      </c>
      <c r="I2310" s="569" t="s">
        <v>23532</v>
      </c>
      <c r="J2310" s="531">
        <v>400000</v>
      </c>
    </row>
    <row r="2311" spans="1:10" ht="45">
      <c r="A2311" s="22" t="s">
        <v>24562</v>
      </c>
      <c r="B2311" s="26" t="s">
        <v>24562</v>
      </c>
      <c r="C2311" s="569" t="s">
        <v>24635</v>
      </c>
      <c r="D2311" s="569">
        <v>18.579999999999998</v>
      </c>
      <c r="E2311" s="569">
        <v>10</v>
      </c>
      <c r="F2311" s="569" t="s">
        <v>24623</v>
      </c>
      <c r="G2311" s="73">
        <v>0</v>
      </c>
      <c r="H2311" s="569">
        <v>0</v>
      </c>
      <c r="I2311" s="569" t="s">
        <v>24580</v>
      </c>
      <c r="J2311" s="531">
        <v>750000</v>
      </c>
    </row>
    <row r="2312" spans="1:10" ht="45">
      <c r="A2312" s="22" t="s">
        <v>23709</v>
      </c>
      <c r="B2312" s="26" t="s">
        <v>24636</v>
      </c>
      <c r="C2312" s="569" t="s">
        <v>24637</v>
      </c>
      <c r="D2312" s="569">
        <v>4.7750000000000004</v>
      </c>
      <c r="E2312" s="569">
        <v>3</v>
      </c>
      <c r="F2312" s="569" t="s">
        <v>24638</v>
      </c>
      <c r="G2312" s="73">
        <v>0</v>
      </c>
      <c r="H2312" s="569">
        <v>0</v>
      </c>
      <c r="I2312" s="569" t="s">
        <v>24639</v>
      </c>
      <c r="J2312" s="531">
        <v>9500000</v>
      </c>
    </row>
    <row r="2313" spans="1:10" ht="45">
      <c r="A2313" s="22" t="s">
        <v>594</v>
      </c>
      <c r="B2313" s="26" t="s">
        <v>1137</v>
      </c>
      <c r="C2313" s="569" t="s">
        <v>24640</v>
      </c>
      <c r="D2313" s="569">
        <v>16.555</v>
      </c>
      <c r="E2313" s="569">
        <v>6</v>
      </c>
      <c r="F2313" s="569" t="s">
        <v>24641</v>
      </c>
      <c r="G2313" s="73">
        <v>0</v>
      </c>
      <c r="H2313" s="569">
        <v>0</v>
      </c>
      <c r="I2313" s="569" t="s">
        <v>23542</v>
      </c>
      <c r="J2313" s="531">
        <v>1200000</v>
      </c>
    </row>
    <row r="2314" spans="1:10" ht="33.75">
      <c r="A2314" s="22" t="s">
        <v>24601</v>
      </c>
      <c r="B2314" s="26" t="s">
        <v>24642</v>
      </c>
      <c r="C2314" s="569" t="s">
        <v>24643</v>
      </c>
      <c r="D2314" s="569">
        <v>7.75</v>
      </c>
      <c r="E2314" s="569">
        <v>6</v>
      </c>
      <c r="F2314" s="569" t="s">
        <v>23536</v>
      </c>
      <c r="G2314" s="73">
        <v>0</v>
      </c>
      <c r="H2314" s="569">
        <v>0</v>
      </c>
      <c r="I2314" s="569" t="s">
        <v>24644</v>
      </c>
      <c r="J2314" s="531">
        <v>400000</v>
      </c>
    </row>
    <row r="2315" spans="1:10" ht="33.75">
      <c r="A2315" s="22" t="s">
        <v>24601</v>
      </c>
      <c r="B2315" s="26" t="s">
        <v>23506</v>
      </c>
      <c r="C2315" s="569" t="s">
        <v>24645</v>
      </c>
      <c r="D2315" s="569">
        <v>7.75</v>
      </c>
      <c r="E2315" s="569">
        <v>5</v>
      </c>
      <c r="F2315" s="569" t="s">
        <v>24646</v>
      </c>
      <c r="G2315" s="73">
        <v>0</v>
      </c>
      <c r="H2315" s="569">
        <v>0</v>
      </c>
      <c r="I2315" s="569" t="s">
        <v>24647</v>
      </c>
      <c r="J2315" s="531">
        <v>600000</v>
      </c>
    </row>
    <row r="2316" spans="1:10" ht="33.75">
      <c r="A2316" s="22" t="s">
        <v>24601</v>
      </c>
      <c r="B2316" s="26" t="s">
        <v>24648</v>
      </c>
      <c r="C2316" s="569" t="s">
        <v>24649</v>
      </c>
      <c r="D2316" s="569">
        <v>7.75</v>
      </c>
      <c r="E2316" s="569" t="s">
        <v>24650</v>
      </c>
      <c r="F2316" s="569" t="s">
        <v>24651</v>
      </c>
      <c r="G2316" s="73">
        <v>0</v>
      </c>
      <c r="H2316" s="569">
        <v>0</v>
      </c>
      <c r="I2316" s="569" t="s">
        <v>24652</v>
      </c>
      <c r="J2316" s="531">
        <v>359271000</v>
      </c>
    </row>
    <row r="2317" spans="1:10" ht="33.75">
      <c r="A2317" s="22" t="s">
        <v>24601</v>
      </c>
      <c r="B2317" s="26" t="s">
        <v>24648</v>
      </c>
      <c r="C2317" s="569" t="s">
        <v>24653</v>
      </c>
      <c r="D2317" s="569">
        <v>7.75</v>
      </c>
      <c r="E2317" s="569">
        <v>6</v>
      </c>
      <c r="F2317" s="569" t="s">
        <v>23546</v>
      </c>
      <c r="G2317" s="73">
        <v>0</v>
      </c>
      <c r="H2317" s="569">
        <v>0</v>
      </c>
      <c r="I2317" s="569" t="s">
        <v>23542</v>
      </c>
      <c r="J2317" s="531">
        <v>500000</v>
      </c>
    </row>
    <row r="2318" spans="1:10" ht="33.75">
      <c r="A2318" s="22" t="s">
        <v>24601</v>
      </c>
      <c r="B2318" s="26" t="s">
        <v>24648</v>
      </c>
      <c r="C2318" s="569" t="s">
        <v>24654</v>
      </c>
      <c r="D2318" s="569">
        <v>7.75</v>
      </c>
      <c r="E2318" s="569">
        <v>4</v>
      </c>
      <c r="F2318" s="569" t="s">
        <v>24641</v>
      </c>
      <c r="G2318" s="73">
        <v>0</v>
      </c>
      <c r="H2318" s="569">
        <v>0</v>
      </c>
      <c r="I2318" s="569" t="s">
        <v>23542</v>
      </c>
      <c r="J2318" s="531">
        <v>400000</v>
      </c>
    </row>
    <row r="2319" spans="1:10" ht="33.75">
      <c r="A2319" s="22" t="s">
        <v>24601</v>
      </c>
      <c r="B2319" s="26" t="s">
        <v>24648</v>
      </c>
      <c r="C2319" s="569" t="s">
        <v>24655</v>
      </c>
      <c r="D2319" s="569">
        <v>7.75</v>
      </c>
      <c r="E2319" s="569">
        <v>7</v>
      </c>
      <c r="F2319" s="569" t="s">
        <v>23546</v>
      </c>
      <c r="G2319" s="73">
        <v>0</v>
      </c>
      <c r="H2319" s="569">
        <v>0</v>
      </c>
      <c r="I2319" s="569" t="s">
        <v>23542</v>
      </c>
      <c r="J2319" s="531">
        <v>3100000</v>
      </c>
    </row>
    <row r="2320" spans="1:10" ht="33.75">
      <c r="A2320" s="22" t="s">
        <v>24617</v>
      </c>
      <c r="B2320" s="26" t="s">
        <v>24617</v>
      </c>
      <c r="C2320" s="569" t="s">
        <v>24656</v>
      </c>
      <c r="D2320" s="569">
        <v>9.5250000000000004</v>
      </c>
      <c r="E2320" s="569">
        <v>2</v>
      </c>
      <c r="F2320" s="569" t="s">
        <v>24623</v>
      </c>
      <c r="G2320" s="73">
        <v>0</v>
      </c>
      <c r="H2320" s="569">
        <v>0</v>
      </c>
      <c r="I2320" s="569" t="s">
        <v>24624</v>
      </c>
      <c r="J2320" s="531">
        <v>1700000</v>
      </c>
    </row>
    <row r="2321" spans="1:10" ht="45">
      <c r="A2321" s="22" t="s">
        <v>24629</v>
      </c>
      <c r="B2321" s="26" t="s">
        <v>3342</v>
      </c>
      <c r="C2321" s="569" t="s">
        <v>24657</v>
      </c>
      <c r="D2321" s="569">
        <v>6.2850000000000001</v>
      </c>
      <c r="E2321" s="569">
        <v>7</v>
      </c>
      <c r="F2321" s="569" t="s">
        <v>24595</v>
      </c>
      <c r="G2321" s="73">
        <v>0</v>
      </c>
      <c r="H2321" s="569">
        <v>0</v>
      </c>
      <c r="I2321" s="569" t="s">
        <v>23542</v>
      </c>
      <c r="J2321" s="531">
        <v>2500000</v>
      </c>
    </row>
    <row r="2322" spans="1:10" ht="45">
      <c r="A2322" s="22" t="s">
        <v>24601</v>
      </c>
      <c r="B2322" s="26" t="s">
        <v>3342</v>
      </c>
      <c r="C2322" s="569" t="s">
        <v>24658</v>
      </c>
      <c r="D2322" s="569">
        <v>6.2850000000000001</v>
      </c>
      <c r="E2322" s="569">
        <v>0</v>
      </c>
      <c r="F2322" s="569" t="s">
        <v>24659</v>
      </c>
      <c r="G2322" s="73">
        <v>0</v>
      </c>
      <c r="H2322" s="569">
        <v>0</v>
      </c>
      <c r="I2322" s="569" t="s">
        <v>24660</v>
      </c>
      <c r="J2322" s="531">
        <v>0</v>
      </c>
    </row>
    <row r="2323" spans="1:10" ht="33.75">
      <c r="A2323" s="22" t="s">
        <v>23506</v>
      </c>
      <c r="B2323" s="26" t="s">
        <v>24557</v>
      </c>
      <c r="C2323" s="569" t="s">
        <v>24661</v>
      </c>
      <c r="D2323" s="569">
        <v>7.75</v>
      </c>
      <c r="E2323" s="569">
        <v>6</v>
      </c>
      <c r="F2323" s="569" t="s">
        <v>24662</v>
      </c>
      <c r="G2323" s="73">
        <v>0</v>
      </c>
      <c r="H2323" s="569">
        <v>0</v>
      </c>
      <c r="I2323" s="569" t="s">
        <v>24663</v>
      </c>
      <c r="J2323" s="531">
        <v>300000</v>
      </c>
    </row>
    <row r="2324" spans="1:10" ht="33.75">
      <c r="A2324" s="22" t="s">
        <v>24617</v>
      </c>
      <c r="B2324" s="26" t="s">
        <v>24617</v>
      </c>
      <c r="C2324" s="569" t="s">
        <v>24656</v>
      </c>
      <c r="D2324" s="569">
        <v>9.5250000000000004</v>
      </c>
      <c r="E2324" s="569">
        <v>2</v>
      </c>
      <c r="F2324" s="569" t="s">
        <v>24664</v>
      </c>
      <c r="G2324" s="73">
        <v>0</v>
      </c>
      <c r="H2324" s="569">
        <v>0</v>
      </c>
      <c r="I2324" s="569" t="s">
        <v>24624</v>
      </c>
      <c r="J2324" s="531">
        <v>2000000</v>
      </c>
    </row>
    <row r="2325" spans="1:10" ht="45">
      <c r="A2325" s="22" t="s">
        <v>24617</v>
      </c>
      <c r="B2325" s="26" t="s">
        <v>24582</v>
      </c>
      <c r="C2325" s="569" t="s">
        <v>24665</v>
      </c>
      <c r="D2325" s="569">
        <v>18.434999999999999</v>
      </c>
      <c r="E2325" s="569">
        <v>0</v>
      </c>
      <c r="F2325" s="569" t="s">
        <v>24666</v>
      </c>
      <c r="G2325" s="73">
        <v>0</v>
      </c>
      <c r="H2325" s="569">
        <v>0</v>
      </c>
      <c r="I2325" s="569" t="s">
        <v>24667</v>
      </c>
      <c r="J2325" s="531">
        <v>2450000</v>
      </c>
    </row>
    <row r="2326" spans="1:10" ht="45">
      <c r="A2326" s="22" t="s">
        <v>23506</v>
      </c>
      <c r="B2326" s="26" t="s">
        <v>24648</v>
      </c>
      <c r="C2326" s="569" t="s">
        <v>24668</v>
      </c>
      <c r="D2326" s="569">
        <v>7.75</v>
      </c>
      <c r="E2326" s="569">
        <v>3.5</v>
      </c>
      <c r="F2326" s="569" t="s">
        <v>5259</v>
      </c>
      <c r="G2326" s="73">
        <v>0</v>
      </c>
      <c r="H2326" s="569">
        <v>0</v>
      </c>
      <c r="I2326" s="569" t="s">
        <v>23542</v>
      </c>
      <c r="J2326" s="531">
        <v>150000</v>
      </c>
    </row>
    <row r="2327" spans="1:10" ht="15.75">
      <c r="A2327" s="1013" t="s">
        <v>189</v>
      </c>
      <c r="B2327" s="1014"/>
      <c r="C2327" s="1014"/>
      <c r="D2327" s="1014"/>
      <c r="E2327" s="1014"/>
      <c r="F2327" s="1014"/>
      <c r="G2327" s="550">
        <f>SUM(G2265:G2326)</f>
        <v>179700000</v>
      </c>
      <c r="H2327" s="564"/>
      <c r="I2327" s="564"/>
      <c r="J2327" s="626">
        <f>SUM(J2265:J2326)</f>
        <v>1260090589.5999999</v>
      </c>
    </row>
    <row r="2328" spans="1:10" ht="15.75">
      <c r="A2328" s="1013" t="s">
        <v>561</v>
      </c>
      <c r="B2328" s="1014"/>
      <c r="C2328" s="1014"/>
      <c r="D2328" s="1014"/>
      <c r="E2328" s="1014"/>
      <c r="F2328" s="1014"/>
      <c r="G2328" s="1014"/>
      <c r="H2328" s="1014"/>
      <c r="I2328" s="1014"/>
      <c r="J2328" s="1015"/>
    </row>
    <row r="2329" spans="1:10" ht="51">
      <c r="A2329" s="22" t="s">
        <v>371</v>
      </c>
      <c r="B2329" s="26" t="s">
        <v>1653</v>
      </c>
      <c r="C2329" s="26" t="s">
        <v>373</v>
      </c>
      <c r="D2329" s="26">
        <v>3</v>
      </c>
      <c r="E2329" s="26">
        <v>6</v>
      </c>
      <c r="F2329" s="569" t="s">
        <v>374</v>
      </c>
      <c r="G2329" s="381">
        <v>50000000</v>
      </c>
      <c r="H2329" s="26">
        <v>1</v>
      </c>
      <c r="I2329" s="26" t="s">
        <v>375</v>
      </c>
      <c r="J2329" s="530">
        <v>60000000</v>
      </c>
    </row>
    <row r="2330" spans="1:10" ht="51">
      <c r="A2330" s="22" t="s">
        <v>376</v>
      </c>
      <c r="B2330" s="26" t="s">
        <v>376</v>
      </c>
      <c r="C2330" s="26" t="s">
        <v>377</v>
      </c>
      <c r="D2330" s="569">
        <v>12</v>
      </c>
      <c r="E2330" s="569">
        <v>6</v>
      </c>
      <c r="F2330" s="569" t="s">
        <v>378</v>
      </c>
      <c r="G2330" s="381">
        <v>5000000</v>
      </c>
      <c r="H2330" s="569">
        <v>3</v>
      </c>
      <c r="I2330" s="26" t="s">
        <v>375</v>
      </c>
      <c r="J2330" s="530">
        <v>5000000</v>
      </c>
    </row>
    <row r="2331" spans="1:10" ht="51">
      <c r="A2331" s="22" t="s">
        <v>376</v>
      </c>
      <c r="B2331" s="26" t="s">
        <v>1654</v>
      </c>
      <c r="C2331" s="26" t="s">
        <v>379</v>
      </c>
      <c r="D2331" s="569">
        <v>11</v>
      </c>
      <c r="E2331" s="569">
        <v>6</v>
      </c>
      <c r="F2331" s="569" t="s">
        <v>378</v>
      </c>
      <c r="G2331" s="381">
        <v>5000000</v>
      </c>
      <c r="H2331" s="569">
        <v>3</v>
      </c>
      <c r="I2331" s="26" t="s">
        <v>375</v>
      </c>
      <c r="J2331" s="530">
        <v>5000000</v>
      </c>
    </row>
    <row r="2332" spans="1:10" ht="51">
      <c r="A2332" s="22" t="s">
        <v>380</v>
      </c>
      <c r="B2332" s="26" t="s">
        <v>380</v>
      </c>
      <c r="C2332" s="26" t="s">
        <v>381</v>
      </c>
      <c r="D2332" s="569">
        <v>1.8</v>
      </c>
      <c r="E2332" s="569">
        <v>6</v>
      </c>
      <c r="F2332" s="569" t="s">
        <v>382</v>
      </c>
      <c r="G2332" s="381">
        <v>5000000</v>
      </c>
      <c r="H2332" s="569">
        <v>2</v>
      </c>
      <c r="I2332" s="26" t="s">
        <v>375</v>
      </c>
      <c r="J2332" s="530">
        <v>25000000</v>
      </c>
    </row>
    <row r="2333" spans="1:10" ht="51">
      <c r="A2333" s="22" t="s">
        <v>376</v>
      </c>
      <c r="B2333" s="26" t="s">
        <v>1655</v>
      </c>
      <c r="C2333" s="26" t="s">
        <v>383</v>
      </c>
      <c r="D2333" s="569">
        <v>1.2</v>
      </c>
      <c r="E2333" s="569">
        <v>6</v>
      </c>
      <c r="F2333" s="569" t="s">
        <v>384</v>
      </c>
      <c r="G2333" s="381">
        <v>10000000</v>
      </c>
      <c r="H2333" s="569">
        <v>3</v>
      </c>
      <c r="I2333" s="26" t="s">
        <v>375</v>
      </c>
      <c r="J2333" s="530">
        <v>20000000</v>
      </c>
    </row>
    <row r="2334" spans="1:10" ht="51">
      <c r="A2334" s="22" t="s">
        <v>376</v>
      </c>
      <c r="B2334" s="26" t="s">
        <v>1656</v>
      </c>
      <c r="C2334" s="26" t="s">
        <v>385</v>
      </c>
      <c r="D2334" s="569">
        <v>4.5999999999999996</v>
      </c>
      <c r="E2334" s="569">
        <v>6</v>
      </c>
      <c r="F2334" s="569" t="s">
        <v>378</v>
      </c>
      <c r="G2334" s="381">
        <v>10000000</v>
      </c>
      <c r="H2334" s="569">
        <v>3</v>
      </c>
      <c r="I2334" s="26" t="s">
        <v>375</v>
      </c>
      <c r="J2334" s="530">
        <v>40000000</v>
      </c>
    </row>
    <row r="2335" spans="1:10" ht="51">
      <c r="A2335" s="22" t="s">
        <v>376</v>
      </c>
      <c r="B2335" s="26" t="s">
        <v>1657</v>
      </c>
      <c r="C2335" s="26" t="s">
        <v>386</v>
      </c>
      <c r="D2335" s="569">
        <v>6.1</v>
      </c>
      <c r="E2335" s="569">
        <v>6</v>
      </c>
      <c r="F2335" s="569" t="s">
        <v>387</v>
      </c>
      <c r="G2335" s="381">
        <v>20000000</v>
      </c>
      <c r="H2335" s="569">
        <v>1</v>
      </c>
      <c r="I2335" s="26" t="s">
        <v>375</v>
      </c>
      <c r="J2335" s="530">
        <v>100000000</v>
      </c>
    </row>
    <row r="2336" spans="1:10" ht="51">
      <c r="A2336" s="22" t="s">
        <v>388</v>
      </c>
      <c r="B2336" s="26" t="s">
        <v>1658</v>
      </c>
      <c r="C2336" s="26" t="s">
        <v>389</v>
      </c>
      <c r="D2336" s="569">
        <v>6.1</v>
      </c>
      <c r="E2336" s="569">
        <v>6</v>
      </c>
      <c r="F2336" s="569" t="s">
        <v>387</v>
      </c>
      <c r="G2336" s="381">
        <v>15000000</v>
      </c>
      <c r="H2336" s="569">
        <v>1</v>
      </c>
      <c r="I2336" s="26" t="s">
        <v>375</v>
      </c>
      <c r="J2336" s="530">
        <v>80000000</v>
      </c>
    </row>
    <row r="2337" spans="1:10" ht="51">
      <c r="A2337" s="22" t="s">
        <v>388</v>
      </c>
      <c r="B2337" s="26" t="s">
        <v>1658</v>
      </c>
      <c r="C2337" s="26" t="s">
        <v>390</v>
      </c>
      <c r="D2337" s="569">
        <v>8.5</v>
      </c>
      <c r="E2337" s="569">
        <v>14</v>
      </c>
      <c r="F2337" s="569" t="s">
        <v>391</v>
      </c>
      <c r="G2337" s="381">
        <v>10000</v>
      </c>
      <c r="H2337" s="569">
        <v>4</v>
      </c>
      <c r="I2337" s="26" t="s">
        <v>375</v>
      </c>
      <c r="J2337" s="530">
        <v>50000</v>
      </c>
    </row>
    <row r="2338" spans="1:10" ht="51">
      <c r="A2338" s="22" t="s">
        <v>388</v>
      </c>
      <c r="B2338" s="26" t="s">
        <v>1658</v>
      </c>
      <c r="C2338" s="26" t="s">
        <v>392</v>
      </c>
      <c r="D2338" s="569">
        <v>4.5999999999999996</v>
      </c>
      <c r="E2338" s="569">
        <v>6</v>
      </c>
      <c r="F2338" s="569" t="s">
        <v>393</v>
      </c>
      <c r="G2338" s="381">
        <v>10000000</v>
      </c>
      <c r="H2338" s="569">
        <v>1</v>
      </c>
      <c r="I2338" s="26" t="s">
        <v>375</v>
      </c>
      <c r="J2338" s="530">
        <v>750000</v>
      </c>
    </row>
    <row r="2339" spans="1:10" ht="38.25">
      <c r="A2339" s="22" t="s">
        <v>388</v>
      </c>
      <c r="B2339" s="26" t="s">
        <v>388</v>
      </c>
      <c r="C2339" s="26" t="s">
        <v>394</v>
      </c>
      <c r="D2339" s="26">
        <v>12</v>
      </c>
      <c r="E2339" s="26">
        <v>6</v>
      </c>
      <c r="F2339" s="26" t="s">
        <v>395</v>
      </c>
      <c r="G2339" s="381">
        <v>25000000</v>
      </c>
      <c r="H2339" s="26">
        <v>3</v>
      </c>
      <c r="I2339" s="49" t="s">
        <v>396</v>
      </c>
      <c r="J2339" s="530">
        <v>75000000</v>
      </c>
    </row>
    <row r="2340" spans="1:10" ht="38.25">
      <c r="A2340" s="22" t="s">
        <v>380</v>
      </c>
      <c r="B2340" s="26" t="s">
        <v>380</v>
      </c>
      <c r="C2340" s="26" t="s">
        <v>397</v>
      </c>
      <c r="D2340" s="26">
        <v>44</v>
      </c>
      <c r="E2340" s="26">
        <v>6</v>
      </c>
      <c r="F2340" s="26" t="s">
        <v>398</v>
      </c>
      <c r="G2340" s="381">
        <v>45000000</v>
      </c>
      <c r="H2340" s="26">
        <v>1</v>
      </c>
      <c r="I2340" s="49" t="s">
        <v>399</v>
      </c>
      <c r="J2340" s="530">
        <v>120000000</v>
      </c>
    </row>
    <row r="2341" spans="1:10" ht="38.25">
      <c r="A2341" s="22" t="s">
        <v>380</v>
      </c>
      <c r="B2341" s="26" t="s">
        <v>380</v>
      </c>
      <c r="C2341" s="26" t="s">
        <v>400</v>
      </c>
      <c r="D2341" s="26">
        <v>21</v>
      </c>
      <c r="E2341" s="26">
        <v>6</v>
      </c>
      <c r="F2341" s="26" t="s">
        <v>398</v>
      </c>
      <c r="G2341" s="381">
        <v>40000000</v>
      </c>
      <c r="H2341" s="26">
        <v>1</v>
      </c>
      <c r="I2341" s="49" t="s">
        <v>399</v>
      </c>
      <c r="J2341" s="530">
        <v>80000000</v>
      </c>
    </row>
    <row r="2342" spans="1:10" ht="38.25">
      <c r="A2342" s="22" t="s">
        <v>401</v>
      </c>
      <c r="B2342" s="26" t="s">
        <v>1659</v>
      </c>
      <c r="C2342" s="26" t="s">
        <v>402</v>
      </c>
      <c r="D2342" s="26">
        <v>15</v>
      </c>
      <c r="E2342" s="26">
        <v>6</v>
      </c>
      <c r="F2342" s="26" t="s">
        <v>398</v>
      </c>
      <c r="G2342" s="381">
        <v>35000000</v>
      </c>
      <c r="H2342" s="26">
        <v>1</v>
      </c>
      <c r="I2342" s="26" t="s">
        <v>399</v>
      </c>
      <c r="J2342" s="530">
        <v>70000000</v>
      </c>
    </row>
    <row r="2343" spans="1:10" ht="38.25">
      <c r="A2343" s="22" t="s">
        <v>371</v>
      </c>
      <c r="B2343" s="26" t="s">
        <v>1660</v>
      </c>
      <c r="C2343" s="26" t="s">
        <v>403</v>
      </c>
      <c r="D2343" s="26">
        <v>29</v>
      </c>
      <c r="E2343" s="26">
        <v>6</v>
      </c>
      <c r="F2343" s="26" t="s">
        <v>398</v>
      </c>
      <c r="G2343" s="381">
        <v>50000000</v>
      </c>
      <c r="H2343" s="26">
        <v>1</v>
      </c>
      <c r="I2343" s="26" t="s">
        <v>399</v>
      </c>
      <c r="J2343" s="530">
        <v>120000000</v>
      </c>
    </row>
    <row r="2344" spans="1:10" ht="38.25">
      <c r="A2344" s="22" t="s">
        <v>371</v>
      </c>
      <c r="B2344" s="26" t="s">
        <v>372</v>
      </c>
      <c r="C2344" s="26" t="s">
        <v>404</v>
      </c>
      <c r="D2344" s="26">
        <v>16</v>
      </c>
      <c r="E2344" s="26">
        <v>6</v>
      </c>
      <c r="F2344" s="26" t="s">
        <v>398</v>
      </c>
      <c r="G2344" s="381">
        <v>100000000</v>
      </c>
      <c r="H2344" s="26">
        <v>1</v>
      </c>
      <c r="I2344" s="26" t="s">
        <v>399</v>
      </c>
      <c r="J2344" s="530">
        <v>200000000</v>
      </c>
    </row>
    <row r="2345" spans="1:10" ht="38.25">
      <c r="A2345" s="22" t="s">
        <v>388</v>
      </c>
      <c r="B2345" s="26" t="s">
        <v>388</v>
      </c>
      <c r="C2345" s="26" t="s">
        <v>405</v>
      </c>
      <c r="D2345" s="26">
        <v>2.5</v>
      </c>
      <c r="E2345" s="26">
        <v>6</v>
      </c>
      <c r="F2345" s="26" t="s">
        <v>406</v>
      </c>
      <c r="G2345" s="381">
        <v>2500000</v>
      </c>
      <c r="H2345" s="26">
        <v>5</v>
      </c>
      <c r="I2345" s="26" t="s">
        <v>407</v>
      </c>
      <c r="J2345" s="530">
        <v>6250000</v>
      </c>
    </row>
    <row r="2346" spans="1:10" ht="38.25">
      <c r="A2346" s="22" t="s">
        <v>388</v>
      </c>
      <c r="B2346" s="26" t="s">
        <v>388</v>
      </c>
      <c r="C2346" s="26" t="s">
        <v>408</v>
      </c>
      <c r="D2346" s="26">
        <v>3.5</v>
      </c>
      <c r="E2346" s="26">
        <v>6</v>
      </c>
      <c r="F2346" s="26" t="s">
        <v>409</v>
      </c>
      <c r="G2346" s="381">
        <v>3500000</v>
      </c>
      <c r="H2346" s="26">
        <v>4</v>
      </c>
      <c r="I2346" s="26" t="s">
        <v>410</v>
      </c>
      <c r="J2346" s="530">
        <v>8750000</v>
      </c>
    </row>
    <row r="2347" spans="1:10" ht="25.5">
      <c r="A2347" s="22" t="s">
        <v>380</v>
      </c>
      <c r="B2347" s="26" t="s">
        <v>1661</v>
      </c>
      <c r="C2347" s="26" t="s">
        <v>411</v>
      </c>
      <c r="D2347" s="26">
        <v>2.5</v>
      </c>
      <c r="E2347" s="26">
        <v>6</v>
      </c>
      <c r="F2347" s="26" t="s">
        <v>395</v>
      </c>
      <c r="G2347" s="381">
        <v>2500000</v>
      </c>
      <c r="H2347" s="26">
        <v>5</v>
      </c>
      <c r="I2347" s="26" t="s">
        <v>412</v>
      </c>
      <c r="J2347" s="530">
        <v>6250000</v>
      </c>
    </row>
    <row r="2348" spans="1:10" ht="38.25">
      <c r="A2348" s="22" t="s">
        <v>380</v>
      </c>
      <c r="B2348" s="26" t="s">
        <v>380</v>
      </c>
      <c r="C2348" s="26" t="s">
        <v>413</v>
      </c>
      <c r="D2348" s="26">
        <v>3.5</v>
      </c>
      <c r="E2348" s="26">
        <v>6</v>
      </c>
      <c r="F2348" s="26" t="s">
        <v>414</v>
      </c>
      <c r="G2348" s="381">
        <v>3500000</v>
      </c>
      <c r="H2348" s="26">
        <v>5</v>
      </c>
      <c r="I2348" s="26" t="s">
        <v>399</v>
      </c>
      <c r="J2348" s="530">
        <v>8750000</v>
      </c>
    </row>
    <row r="2349" spans="1:10" ht="25.5">
      <c r="A2349" s="22" t="s">
        <v>380</v>
      </c>
      <c r="B2349" s="26" t="s">
        <v>1662</v>
      </c>
      <c r="C2349" s="26" t="s">
        <v>415</v>
      </c>
      <c r="D2349" s="26">
        <v>5</v>
      </c>
      <c r="E2349" s="26">
        <v>6</v>
      </c>
      <c r="F2349" s="26" t="s">
        <v>395</v>
      </c>
      <c r="G2349" s="381">
        <v>5000000</v>
      </c>
      <c r="H2349" s="26">
        <v>5</v>
      </c>
      <c r="I2349" s="26" t="s">
        <v>412</v>
      </c>
      <c r="J2349" s="530">
        <v>12500000</v>
      </c>
    </row>
    <row r="2350" spans="1:10" ht="25.5">
      <c r="A2350" s="22" t="s">
        <v>380</v>
      </c>
      <c r="B2350" s="26" t="s">
        <v>1663</v>
      </c>
      <c r="C2350" s="26" t="s">
        <v>416</v>
      </c>
      <c r="D2350" s="26">
        <v>13.1</v>
      </c>
      <c r="E2350" s="26">
        <v>6</v>
      </c>
      <c r="F2350" s="26" t="s">
        <v>395</v>
      </c>
      <c r="G2350" s="381">
        <v>13100000</v>
      </c>
      <c r="H2350" s="26">
        <v>5</v>
      </c>
      <c r="I2350" s="26" t="s">
        <v>412</v>
      </c>
      <c r="J2350" s="530">
        <v>32750000</v>
      </c>
    </row>
    <row r="2351" spans="1:10" ht="38.25">
      <c r="A2351" s="22" t="s">
        <v>380</v>
      </c>
      <c r="B2351" s="26" t="s">
        <v>1659</v>
      </c>
      <c r="C2351" s="26" t="s">
        <v>417</v>
      </c>
      <c r="D2351" s="26">
        <v>3.9</v>
      </c>
      <c r="E2351" s="26">
        <v>6</v>
      </c>
      <c r="F2351" s="26" t="s">
        <v>414</v>
      </c>
      <c r="G2351" s="381">
        <v>3900000</v>
      </c>
      <c r="H2351" s="26">
        <v>5</v>
      </c>
      <c r="I2351" s="26" t="s">
        <v>399</v>
      </c>
      <c r="J2351" s="530">
        <v>9750000</v>
      </c>
    </row>
    <row r="2352" spans="1:10" ht="38.25">
      <c r="A2352" s="22" t="s">
        <v>380</v>
      </c>
      <c r="B2352" s="26" t="s">
        <v>380</v>
      </c>
      <c r="C2352" s="26" t="s">
        <v>418</v>
      </c>
      <c r="D2352" s="26">
        <v>1.5</v>
      </c>
      <c r="E2352" s="26">
        <v>6</v>
      </c>
      <c r="F2352" s="26" t="s">
        <v>414</v>
      </c>
      <c r="G2352" s="381">
        <v>1500000</v>
      </c>
      <c r="H2352" s="26">
        <v>5</v>
      </c>
      <c r="I2352" s="26" t="s">
        <v>399</v>
      </c>
      <c r="J2352" s="530">
        <v>3750000</v>
      </c>
    </row>
    <row r="2353" spans="1:10" ht="38.25">
      <c r="A2353" s="22" t="s">
        <v>371</v>
      </c>
      <c r="B2353" s="26" t="s">
        <v>371</v>
      </c>
      <c r="C2353" s="26" t="s">
        <v>419</v>
      </c>
      <c r="D2353" s="26">
        <v>2</v>
      </c>
      <c r="E2353" s="26">
        <v>6</v>
      </c>
      <c r="F2353" s="26" t="s">
        <v>414</v>
      </c>
      <c r="G2353" s="381">
        <v>2000000</v>
      </c>
      <c r="H2353" s="26">
        <v>5</v>
      </c>
      <c r="I2353" s="26" t="s">
        <v>399</v>
      </c>
      <c r="J2353" s="530">
        <v>5000000</v>
      </c>
    </row>
    <row r="2354" spans="1:10" ht="38.25">
      <c r="A2354" s="22" t="s">
        <v>380</v>
      </c>
      <c r="B2354" s="26" t="s">
        <v>380</v>
      </c>
      <c r="C2354" s="26" t="s">
        <v>420</v>
      </c>
      <c r="D2354" s="26">
        <v>3.8</v>
      </c>
      <c r="E2354" s="26">
        <v>6</v>
      </c>
      <c r="F2354" s="26" t="s">
        <v>414</v>
      </c>
      <c r="G2354" s="381">
        <v>3800000</v>
      </c>
      <c r="H2354" s="26">
        <v>5</v>
      </c>
      <c r="I2354" s="26" t="s">
        <v>399</v>
      </c>
      <c r="J2354" s="530">
        <v>9500000</v>
      </c>
    </row>
    <row r="2355" spans="1:10" ht="38.25">
      <c r="A2355" s="22" t="s">
        <v>421</v>
      </c>
      <c r="B2355" s="26" t="s">
        <v>421</v>
      </c>
      <c r="C2355" s="26" t="s">
        <v>422</v>
      </c>
      <c r="D2355" s="26">
        <v>3.5</v>
      </c>
      <c r="E2355" s="26">
        <v>6</v>
      </c>
      <c r="F2355" s="26" t="s">
        <v>414</v>
      </c>
      <c r="G2355" s="381">
        <v>3500000</v>
      </c>
      <c r="H2355" s="26">
        <v>5</v>
      </c>
      <c r="I2355" s="26" t="s">
        <v>399</v>
      </c>
      <c r="J2355" s="530">
        <v>8750000</v>
      </c>
    </row>
    <row r="2356" spans="1:10" ht="38.25">
      <c r="A2356" s="22" t="s">
        <v>380</v>
      </c>
      <c r="B2356" s="26" t="s">
        <v>1662</v>
      </c>
      <c r="C2356" s="26" t="s">
        <v>423</v>
      </c>
      <c r="D2356" s="26">
        <v>0.8</v>
      </c>
      <c r="E2356" s="26">
        <v>6</v>
      </c>
      <c r="F2356" s="26" t="s">
        <v>414</v>
      </c>
      <c r="G2356" s="381">
        <v>800000</v>
      </c>
      <c r="H2356" s="26">
        <v>5</v>
      </c>
      <c r="I2356" s="26" t="s">
        <v>399</v>
      </c>
      <c r="J2356" s="530">
        <v>2000000</v>
      </c>
    </row>
    <row r="2357" spans="1:10" ht="38.25">
      <c r="A2357" s="22" t="s">
        <v>388</v>
      </c>
      <c r="B2357" s="26" t="s">
        <v>1658</v>
      </c>
      <c r="C2357" s="26" t="s">
        <v>424</v>
      </c>
      <c r="D2357" s="26">
        <v>2.5</v>
      </c>
      <c r="E2357" s="26">
        <v>6</v>
      </c>
      <c r="F2357" s="26" t="s">
        <v>414</v>
      </c>
      <c r="G2357" s="381">
        <v>2500000</v>
      </c>
      <c r="H2357" s="26">
        <v>5</v>
      </c>
      <c r="I2357" s="26" t="s">
        <v>399</v>
      </c>
      <c r="J2357" s="530">
        <v>6250000</v>
      </c>
    </row>
    <row r="2358" spans="1:10" ht="38.25">
      <c r="A2358" s="22" t="s">
        <v>421</v>
      </c>
      <c r="B2358" s="26" t="s">
        <v>1664</v>
      </c>
      <c r="C2358" s="26" t="s">
        <v>425</v>
      </c>
      <c r="D2358" s="26">
        <v>5.3</v>
      </c>
      <c r="E2358" s="26">
        <v>6</v>
      </c>
      <c r="F2358" s="26" t="s">
        <v>414</v>
      </c>
      <c r="G2358" s="381">
        <v>5300000</v>
      </c>
      <c r="H2358" s="26">
        <v>5</v>
      </c>
      <c r="I2358" s="26" t="s">
        <v>399</v>
      </c>
      <c r="J2358" s="530">
        <v>13250000</v>
      </c>
    </row>
    <row r="2359" spans="1:10" ht="38.25">
      <c r="A2359" s="22" t="s">
        <v>421</v>
      </c>
      <c r="B2359" s="26" t="s">
        <v>1665</v>
      </c>
      <c r="C2359" s="26" t="s">
        <v>426</v>
      </c>
      <c r="D2359" s="26">
        <v>2.2000000000000002</v>
      </c>
      <c r="E2359" s="26">
        <v>6</v>
      </c>
      <c r="F2359" s="26" t="s">
        <v>414</v>
      </c>
      <c r="G2359" s="381">
        <v>2200000</v>
      </c>
      <c r="H2359" s="26">
        <v>5</v>
      </c>
      <c r="I2359" s="26" t="s">
        <v>399</v>
      </c>
      <c r="J2359" s="530">
        <v>5500000</v>
      </c>
    </row>
    <row r="2360" spans="1:10" ht="38.25">
      <c r="A2360" s="22" t="s">
        <v>421</v>
      </c>
      <c r="B2360" s="26" t="s">
        <v>421</v>
      </c>
      <c r="C2360" s="26" t="s">
        <v>427</v>
      </c>
      <c r="D2360" s="26">
        <v>1.5</v>
      </c>
      <c r="E2360" s="26">
        <v>6</v>
      </c>
      <c r="F2360" s="26" t="s">
        <v>414</v>
      </c>
      <c r="G2360" s="381">
        <v>1500000</v>
      </c>
      <c r="H2360" s="26">
        <v>5</v>
      </c>
      <c r="I2360" s="26" t="s">
        <v>399</v>
      </c>
      <c r="J2360" s="530">
        <v>3750000</v>
      </c>
    </row>
    <row r="2361" spans="1:10" ht="38.25">
      <c r="A2361" s="22" t="s">
        <v>421</v>
      </c>
      <c r="B2361" s="26" t="s">
        <v>421</v>
      </c>
      <c r="C2361" s="26" t="s">
        <v>428</v>
      </c>
      <c r="D2361" s="26">
        <v>1</v>
      </c>
      <c r="E2361" s="26">
        <v>6</v>
      </c>
      <c r="F2361" s="26" t="s">
        <v>414</v>
      </c>
      <c r="G2361" s="381">
        <v>1000000</v>
      </c>
      <c r="H2361" s="26">
        <v>5</v>
      </c>
      <c r="I2361" s="26" t="s">
        <v>399</v>
      </c>
      <c r="J2361" s="530">
        <v>2500000</v>
      </c>
    </row>
    <row r="2362" spans="1:10" ht="38.25">
      <c r="A2362" s="22" t="s">
        <v>421</v>
      </c>
      <c r="B2362" s="26" t="s">
        <v>421</v>
      </c>
      <c r="C2362" s="26" t="s">
        <v>429</v>
      </c>
      <c r="D2362" s="26">
        <v>1</v>
      </c>
      <c r="E2362" s="26">
        <v>6</v>
      </c>
      <c r="F2362" s="26" t="s">
        <v>414</v>
      </c>
      <c r="G2362" s="381">
        <v>1000000</v>
      </c>
      <c r="H2362" s="26">
        <v>5</v>
      </c>
      <c r="I2362" s="26" t="s">
        <v>399</v>
      </c>
      <c r="J2362" s="530">
        <v>2500000</v>
      </c>
    </row>
    <row r="2363" spans="1:10" ht="38.25">
      <c r="A2363" s="22" t="s">
        <v>421</v>
      </c>
      <c r="B2363" s="26" t="s">
        <v>421</v>
      </c>
      <c r="C2363" s="26" t="s">
        <v>430</v>
      </c>
      <c r="D2363" s="26">
        <v>1</v>
      </c>
      <c r="E2363" s="26">
        <v>6</v>
      </c>
      <c r="F2363" s="26" t="s">
        <v>414</v>
      </c>
      <c r="G2363" s="381">
        <v>1000000</v>
      </c>
      <c r="H2363" s="26">
        <v>5</v>
      </c>
      <c r="I2363" s="26" t="s">
        <v>399</v>
      </c>
      <c r="J2363" s="530">
        <v>2500000</v>
      </c>
    </row>
    <row r="2364" spans="1:10" ht="38.25">
      <c r="A2364" s="22" t="s">
        <v>388</v>
      </c>
      <c r="B2364" s="26" t="s">
        <v>388</v>
      </c>
      <c r="C2364" s="26" t="s">
        <v>431</v>
      </c>
      <c r="D2364" s="26">
        <v>6</v>
      </c>
      <c r="E2364" s="26">
        <v>6</v>
      </c>
      <c r="F2364" s="26" t="s">
        <v>414</v>
      </c>
      <c r="G2364" s="381">
        <v>6000000</v>
      </c>
      <c r="H2364" s="26">
        <v>5</v>
      </c>
      <c r="I2364" s="26" t="s">
        <v>399</v>
      </c>
      <c r="J2364" s="530">
        <v>15000000</v>
      </c>
    </row>
    <row r="2365" spans="1:10" ht="38.25">
      <c r="A2365" s="22" t="s">
        <v>421</v>
      </c>
      <c r="B2365" s="26" t="s">
        <v>388</v>
      </c>
      <c r="C2365" s="26" t="s">
        <v>432</v>
      </c>
      <c r="D2365" s="26">
        <v>1.5</v>
      </c>
      <c r="E2365" s="26">
        <v>6</v>
      </c>
      <c r="F2365" s="26" t="s">
        <v>414</v>
      </c>
      <c r="G2365" s="381">
        <v>1500000</v>
      </c>
      <c r="H2365" s="26">
        <v>5</v>
      </c>
      <c r="I2365" s="26" t="s">
        <v>399</v>
      </c>
      <c r="J2365" s="530">
        <v>3750000</v>
      </c>
    </row>
    <row r="2366" spans="1:10" ht="38.25">
      <c r="A2366" s="22" t="s">
        <v>421</v>
      </c>
      <c r="B2366" s="26" t="s">
        <v>421</v>
      </c>
      <c r="C2366" s="26" t="s">
        <v>433</v>
      </c>
      <c r="D2366" s="26">
        <v>4</v>
      </c>
      <c r="E2366" s="26">
        <v>6</v>
      </c>
      <c r="F2366" s="26" t="s">
        <v>414</v>
      </c>
      <c r="G2366" s="381">
        <v>4000000</v>
      </c>
      <c r="H2366" s="26">
        <v>5</v>
      </c>
      <c r="I2366" s="26" t="s">
        <v>399</v>
      </c>
      <c r="J2366" s="530">
        <v>10000000</v>
      </c>
    </row>
    <row r="2367" spans="1:10" ht="38.25">
      <c r="A2367" s="22" t="s">
        <v>388</v>
      </c>
      <c r="B2367" s="26" t="s">
        <v>388</v>
      </c>
      <c r="C2367" s="26" t="s">
        <v>434</v>
      </c>
      <c r="D2367" s="26">
        <v>8</v>
      </c>
      <c r="E2367" s="26">
        <v>6</v>
      </c>
      <c r="F2367" s="26" t="s">
        <v>414</v>
      </c>
      <c r="G2367" s="381">
        <v>8000000</v>
      </c>
      <c r="H2367" s="26">
        <v>5</v>
      </c>
      <c r="I2367" s="26" t="s">
        <v>399</v>
      </c>
      <c r="J2367" s="530">
        <v>20000000</v>
      </c>
    </row>
    <row r="2368" spans="1:10" ht="38.25">
      <c r="A2368" s="22" t="s">
        <v>435</v>
      </c>
      <c r="B2368" s="26" t="s">
        <v>891</v>
      </c>
      <c r="C2368" s="26" t="s">
        <v>436</v>
      </c>
      <c r="D2368" s="26">
        <v>7</v>
      </c>
      <c r="E2368" s="26">
        <v>6</v>
      </c>
      <c r="F2368" s="26" t="s">
        <v>414</v>
      </c>
      <c r="G2368" s="381">
        <v>7000000</v>
      </c>
      <c r="H2368" s="26">
        <v>5</v>
      </c>
      <c r="I2368" s="26" t="s">
        <v>399</v>
      </c>
      <c r="J2368" s="530">
        <v>17500000</v>
      </c>
    </row>
    <row r="2369" spans="1:10" ht="38.25">
      <c r="A2369" s="22" t="s">
        <v>435</v>
      </c>
      <c r="B2369" s="26" t="s">
        <v>1666</v>
      </c>
      <c r="C2369" s="26" t="s">
        <v>437</v>
      </c>
      <c r="D2369" s="26">
        <v>3</v>
      </c>
      <c r="E2369" s="26">
        <v>6</v>
      </c>
      <c r="F2369" s="26" t="s">
        <v>414</v>
      </c>
      <c r="G2369" s="381">
        <v>3000000</v>
      </c>
      <c r="H2369" s="26">
        <v>5</v>
      </c>
      <c r="I2369" s="26" t="s">
        <v>399</v>
      </c>
      <c r="J2369" s="530">
        <v>7500000</v>
      </c>
    </row>
    <row r="2370" spans="1:10" ht="25.5">
      <c r="A2370" s="22" t="s">
        <v>376</v>
      </c>
      <c r="B2370" s="26" t="s">
        <v>1654</v>
      </c>
      <c r="C2370" s="26" t="s">
        <v>438</v>
      </c>
      <c r="D2370" s="26">
        <v>11</v>
      </c>
      <c r="E2370" s="26">
        <v>6</v>
      </c>
      <c r="F2370" s="26" t="s">
        <v>395</v>
      </c>
      <c r="G2370" s="381">
        <v>11000000</v>
      </c>
      <c r="H2370" s="26">
        <v>5</v>
      </c>
      <c r="I2370" s="26" t="s">
        <v>412</v>
      </c>
      <c r="J2370" s="530">
        <v>27500000</v>
      </c>
    </row>
    <row r="2371" spans="1:10" ht="38.25">
      <c r="A2371" s="22" t="s">
        <v>376</v>
      </c>
      <c r="B2371" s="26" t="s">
        <v>376</v>
      </c>
      <c r="C2371" s="26" t="s">
        <v>439</v>
      </c>
      <c r="D2371" s="26">
        <v>12.1</v>
      </c>
      <c r="E2371" s="26">
        <v>6</v>
      </c>
      <c r="F2371" s="26" t="s">
        <v>414</v>
      </c>
      <c r="G2371" s="381">
        <v>12100000</v>
      </c>
      <c r="H2371" s="26">
        <v>5</v>
      </c>
      <c r="I2371" s="26" t="s">
        <v>399</v>
      </c>
      <c r="J2371" s="530">
        <v>30250000</v>
      </c>
    </row>
    <row r="2372" spans="1:10" ht="38.25">
      <c r="A2372" s="22" t="s">
        <v>371</v>
      </c>
      <c r="B2372" s="26" t="s">
        <v>1667</v>
      </c>
      <c r="C2372" s="26" t="s">
        <v>440</v>
      </c>
      <c r="D2372" s="26">
        <v>4</v>
      </c>
      <c r="E2372" s="26">
        <v>6</v>
      </c>
      <c r="F2372" s="26" t="s">
        <v>414</v>
      </c>
      <c r="G2372" s="381">
        <v>4000000</v>
      </c>
      <c r="H2372" s="26">
        <v>5</v>
      </c>
      <c r="I2372" s="26" t="s">
        <v>399</v>
      </c>
      <c r="J2372" s="530">
        <v>10000000</v>
      </c>
    </row>
    <row r="2373" spans="1:10" ht="38.25">
      <c r="A2373" s="22" t="s">
        <v>380</v>
      </c>
      <c r="B2373" s="26" t="s">
        <v>380</v>
      </c>
      <c r="C2373" s="26" t="s">
        <v>441</v>
      </c>
      <c r="D2373" s="26">
        <v>5</v>
      </c>
      <c r="E2373" s="26">
        <v>6</v>
      </c>
      <c r="F2373" s="26" t="s">
        <v>414</v>
      </c>
      <c r="G2373" s="381">
        <v>5000000</v>
      </c>
      <c r="H2373" s="26">
        <v>5</v>
      </c>
      <c r="I2373" s="26" t="s">
        <v>399</v>
      </c>
      <c r="J2373" s="530">
        <v>12500000</v>
      </c>
    </row>
    <row r="2374" spans="1:10" ht="38.25">
      <c r="A2374" s="22" t="s">
        <v>421</v>
      </c>
      <c r="B2374" s="26" t="s">
        <v>421</v>
      </c>
      <c r="C2374" s="26" t="s">
        <v>442</v>
      </c>
      <c r="D2374" s="26">
        <v>5</v>
      </c>
      <c r="E2374" s="26">
        <v>6</v>
      </c>
      <c r="F2374" s="26" t="s">
        <v>414</v>
      </c>
      <c r="G2374" s="381">
        <v>5000000</v>
      </c>
      <c r="H2374" s="26">
        <v>5</v>
      </c>
      <c r="I2374" s="26" t="s">
        <v>399</v>
      </c>
      <c r="J2374" s="530">
        <v>12500000</v>
      </c>
    </row>
    <row r="2375" spans="1:10" ht="38.25">
      <c r="A2375" s="22" t="s">
        <v>421</v>
      </c>
      <c r="B2375" s="26" t="s">
        <v>1668</v>
      </c>
      <c r="C2375" s="26" t="s">
        <v>443</v>
      </c>
      <c r="D2375" s="26">
        <v>5</v>
      </c>
      <c r="E2375" s="26">
        <v>6</v>
      </c>
      <c r="F2375" s="26" t="s">
        <v>414</v>
      </c>
      <c r="G2375" s="381">
        <v>5000000</v>
      </c>
      <c r="H2375" s="26">
        <v>5</v>
      </c>
      <c r="I2375" s="26" t="s">
        <v>399</v>
      </c>
      <c r="J2375" s="530">
        <v>12500000</v>
      </c>
    </row>
    <row r="2376" spans="1:10" ht="38.25">
      <c r="A2376" s="22" t="s">
        <v>421</v>
      </c>
      <c r="B2376" s="26" t="s">
        <v>421</v>
      </c>
      <c r="C2376" s="26" t="s">
        <v>444</v>
      </c>
      <c r="D2376" s="26">
        <v>0.5</v>
      </c>
      <c r="E2376" s="26">
        <v>6</v>
      </c>
      <c r="F2376" s="26" t="s">
        <v>414</v>
      </c>
      <c r="G2376" s="381">
        <v>500000</v>
      </c>
      <c r="H2376" s="26">
        <v>5</v>
      </c>
      <c r="I2376" s="26" t="s">
        <v>399</v>
      </c>
      <c r="J2376" s="530">
        <v>1250000</v>
      </c>
    </row>
    <row r="2377" spans="1:10" ht="38.25">
      <c r="A2377" s="22" t="s">
        <v>421</v>
      </c>
      <c r="B2377" s="26" t="s">
        <v>1669</v>
      </c>
      <c r="C2377" s="26" t="s">
        <v>445</v>
      </c>
      <c r="D2377" s="26">
        <v>3.5</v>
      </c>
      <c r="E2377" s="26">
        <v>6</v>
      </c>
      <c r="F2377" s="26" t="s">
        <v>414</v>
      </c>
      <c r="G2377" s="381">
        <v>3500000</v>
      </c>
      <c r="H2377" s="26">
        <v>5</v>
      </c>
      <c r="I2377" s="26" t="s">
        <v>399</v>
      </c>
      <c r="J2377" s="530">
        <v>8750000</v>
      </c>
    </row>
    <row r="2378" spans="1:10" ht="38.25">
      <c r="A2378" s="22" t="s">
        <v>421</v>
      </c>
      <c r="B2378" s="26" t="s">
        <v>1669</v>
      </c>
      <c r="C2378" s="26" t="s">
        <v>446</v>
      </c>
      <c r="D2378" s="26">
        <v>5</v>
      </c>
      <c r="E2378" s="26">
        <v>6</v>
      </c>
      <c r="F2378" s="26" t="s">
        <v>414</v>
      </c>
      <c r="G2378" s="381">
        <v>5000000</v>
      </c>
      <c r="H2378" s="26">
        <v>5</v>
      </c>
      <c r="I2378" s="26" t="s">
        <v>399</v>
      </c>
      <c r="J2378" s="530">
        <v>12500000</v>
      </c>
    </row>
    <row r="2379" spans="1:10" ht="38.25">
      <c r="A2379" s="22" t="s">
        <v>421</v>
      </c>
      <c r="B2379" s="26" t="s">
        <v>1670</v>
      </c>
      <c r="C2379" s="26" t="s">
        <v>447</v>
      </c>
      <c r="D2379" s="26">
        <v>2.2999999999999998</v>
      </c>
      <c r="E2379" s="26">
        <v>6</v>
      </c>
      <c r="F2379" s="26" t="s">
        <v>414</v>
      </c>
      <c r="G2379" s="381">
        <v>2300000</v>
      </c>
      <c r="H2379" s="26">
        <v>5</v>
      </c>
      <c r="I2379" s="26" t="s">
        <v>399</v>
      </c>
      <c r="J2379" s="530">
        <v>5750000</v>
      </c>
    </row>
    <row r="2380" spans="1:10" ht="38.25">
      <c r="A2380" s="22" t="s">
        <v>421</v>
      </c>
      <c r="B2380" s="26" t="s">
        <v>1669</v>
      </c>
      <c r="C2380" s="26" t="s">
        <v>448</v>
      </c>
      <c r="D2380" s="26">
        <v>2</v>
      </c>
      <c r="E2380" s="26">
        <v>6</v>
      </c>
      <c r="F2380" s="26" t="s">
        <v>414</v>
      </c>
      <c r="G2380" s="381">
        <v>2000000</v>
      </c>
      <c r="H2380" s="26">
        <v>5</v>
      </c>
      <c r="I2380" s="26" t="s">
        <v>399</v>
      </c>
      <c r="J2380" s="530">
        <v>5000000</v>
      </c>
    </row>
    <row r="2381" spans="1:10" ht="38.25">
      <c r="A2381" s="22" t="s">
        <v>421</v>
      </c>
      <c r="B2381" s="26" t="s">
        <v>421</v>
      </c>
      <c r="C2381" s="26" t="s">
        <v>449</v>
      </c>
      <c r="D2381" s="26">
        <v>0.5</v>
      </c>
      <c r="E2381" s="26">
        <v>6</v>
      </c>
      <c r="F2381" s="26" t="s">
        <v>414</v>
      </c>
      <c r="G2381" s="381">
        <v>500000</v>
      </c>
      <c r="H2381" s="26">
        <v>5</v>
      </c>
      <c r="I2381" s="26" t="s">
        <v>399</v>
      </c>
      <c r="J2381" s="530">
        <v>1250000</v>
      </c>
    </row>
    <row r="2382" spans="1:10" ht="38.25">
      <c r="A2382" s="22" t="s">
        <v>388</v>
      </c>
      <c r="B2382" s="26" t="s">
        <v>388</v>
      </c>
      <c r="C2382" s="26" t="s">
        <v>450</v>
      </c>
      <c r="D2382" s="26">
        <v>2</v>
      </c>
      <c r="E2382" s="26">
        <v>6</v>
      </c>
      <c r="F2382" s="26" t="s">
        <v>414</v>
      </c>
      <c r="G2382" s="381">
        <v>2000000</v>
      </c>
      <c r="H2382" s="26">
        <v>5</v>
      </c>
      <c r="I2382" s="26" t="s">
        <v>399</v>
      </c>
      <c r="J2382" s="530">
        <v>5000000</v>
      </c>
    </row>
    <row r="2383" spans="1:10" ht="38.25">
      <c r="A2383" s="22" t="s">
        <v>371</v>
      </c>
      <c r="B2383" s="26" t="s">
        <v>1671</v>
      </c>
      <c r="C2383" s="26" t="s">
        <v>451</v>
      </c>
      <c r="D2383" s="26">
        <v>7.5</v>
      </c>
      <c r="E2383" s="26">
        <v>6</v>
      </c>
      <c r="F2383" s="26" t="s">
        <v>414</v>
      </c>
      <c r="G2383" s="381">
        <v>7500000</v>
      </c>
      <c r="H2383" s="26">
        <v>5</v>
      </c>
      <c r="I2383" s="26" t="s">
        <v>399</v>
      </c>
      <c r="J2383" s="530">
        <v>18750000</v>
      </c>
    </row>
    <row r="2384" spans="1:10" ht="38.25">
      <c r="A2384" s="22" t="s">
        <v>376</v>
      </c>
      <c r="B2384" s="26" t="s">
        <v>137</v>
      </c>
      <c r="C2384" s="26" t="s">
        <v>452</v>
      </c>
      <c r="D2384" s="26">
        <v>1.1000000000000001</v>
      </c>
      <c r="E2384" s="26">
        <v>6</v>
      </c>
      <c r="F2384" s="26" t="s">
        <v>414</v>
      </c>
      <c r="G2384" s="381">
        <v>1100000</v>
      </c>
      <c r="H2384" s="26">
        <v>5</v>
      </c>
      <c r="I2384" s="26" t="s">
        <v>399</v>
      </c>
      <c r="J2384" s="530">
        <v>2750000</v>
      </c>
    </row>
    <row r="2385" spans="1:10" ht="38.25">
      <c r="A2385" s="22" t="s">
        <v>388</v>
      </c>
      <c r="B2385" s="26" t="s">
        <v>388</v>
      </c>
      <c r="C2385" s="26" t="s">
        <v>453</v>
      </c>
      <c r="D2385" s="26">
        <v>0.5</v>
      </c>
      <c r="E2385" s="26">
        <v>6</v>
      </c>
      <c r="F2385" s="26" t="s">
        <v>414</v>
      </c>
      <c r="G2385" s="381">
        <v>500000</v>
      </c>
      <c r="H2385" s="26">
        <v>5</v>
      </c>
      <c r="I2385" s="26" t="s">
        <v>399</v>
      </c>
      <c r="J2385" s="530">
        <v>1250000</v>
      </c>
    </row>
    <row r="2386" spans="1:10" ht="38.25">
      <c r="A2386" s="22" t="s">
        <v>421</v>
      </c>
      <c r="B2386" s="26" t="s">
        <v>421</v>
      </c>
      <c r="C2386" s="26" t="s">
        <v>454</v>
      </c>
      <c r="D2386" s="26">
        <v>2</v>
      </c>
      <c r="E2386" s="26">
        <v>6</v>
      </c>
      <c r="F2386" s="26" t="s">
        <v>414</v>
      </c>
      <c r="G2386" s="381">
        <v>2000000</v>
      </c>
      <c r="H2386" s="26">
        <v>5</v>
      </c>
      <c r="I2386" s="26" t="s">
        <v>399</v>
      </c>
      <c r="J2386" s="530">
        <v>5000000</v>
      </c>
    </row>
    <row r="2387" spans="1:10" ht="38.25">
      <c r="A2387" s="22" t="s">
        <v>435</v>
      </c>
      <c r="B2387" s="26" t="s">
        <v>1672</v>
      </c>
      <c r="C2387" s="26" t="s">
        <v>455</v>
      </c>
      <c r="D2387" s="26">
        <v>4</v>
      </c>
      <c r="E2387" s="26">
        <v>6</v>
      </c>
      <c r="F2387" s="26" t="s">
        <v>414</v>
      </c>
      <c r="G2387" s="381">
        <v>4000000</v>
      </c>
      <c r="H2387" s="26">
        <v>5</v>
      </c>
      <c r="I2387" s="26" t="s">
        <v>399</v>
      </c>
      <c r="J2387" s="530">
        <v>10000000</v>
      </c>
    </row>
    <row r="2388" spans="1:10" ht="38.25">
      <c r="A2388" s="22" t="s">
        <v>376</v>
      </c>
      <c r="B2388" s="26" t="s">
        <v>1673</v>
      </c>
      <c r="C2388" s="26" t="s">
        <v>456</v>
      </c>
      <c r="D2388" s="26">
        <v>2.5</v>
      </c>
      <c r="E2388" s="26">
        <v>6</v>
      </c>
      <c r="F2388" s="26" t="s">
        <v>414</v>
      </c>
      <c r="G2388" s="381">
        <v>2500000</v>
      </c>
      <c r="H2388" s="26">
        <v>5</v>
      </c>
      <c r="I2388" s="26" t="s">
        <v>399</v>
      </c>
      <c r="J2388" s="530">
        <v>6250000</v>
      </c>
    </row>
    <row r="2389" spans="1:10" ht="38.25">
      <c r="A2389" s="22" t="s">
        <v>371</v>
      </c>
      <c r="B2389" s="26" t="s">
        <v>1674</v>
      </c>
      <c r="C2389" s="26" t="s">
        <v>457</v>
      </c>
      <c r="D2389" s="26">
        <v>3</v>
      </c>
      <c r="E2389" s="26">
        <v>6</v>
      </c>
      <c r="F2389" s="26" t="s">
        <v>414</v>
      </c>
      <c r="G2389" s="381">
        <v>3000000</v>
      </c>
      <c r="H2389" s="26">
        <v>5</v>
      </c>
      <c r="I2389" s="26" t="s">
        <v>399</v>
      </c>
      <c r="J2389" s="530">
        <v>7500000</v>
      </c>
    </row>
    <row r="2390" spans="1:10" ht="25.5">
      <c r="A2390" s="22" t="s">
        <v>388</v>
      </c>
      <c r="B2390" s="26" t="s">
        <v>1658</v>
      </c>
      <c r="C2390" s="26" t="s">
        <v>458</v>
      </c>
      <c r="D2390" s="26">
        <v>6.1</v>
      </c>
      <c r="E2390" s="26">
        <v>6</v>
      </c>
      <c r="F2390" s="26" t="s">
        <v>387</v>
      </c>
      <c r="G2390" s="381">
        <v>6100000</v>
      </c>
      <c r="H2390" s="26">
        <v>5</v>
      </c>
      <c r="I2390" s="26" t="s">
        <v>459</v>
      </c>
      <c r="J2390" s="530">
        <v>15250000</v>
      </c>
    </row>
    <row r="2391" spans="1:10" ht="25.5">
      <c r="A2391" s="22" t="s">
        <v>421</v>
      </c>
      <c r="B2391" s="26" t="s">
        <v>1670</v>
      </c>
      <c r="C2391" s="26" t="s">
        <v>460</v>
      </c>
      <c r="D2391" s="26">
        <v>11</v>
      </c>
      <c r="E2391" s="26">
        <v>6</v>
      </c>
      <c r="F2391" s="26" t="s">
        <v>395</v>
      </c>
      <c r="G2391" s="381">
        <v>11000000</v>
      </c>
      <c r="H2391" s="26">
        <v>5</v>
      </c>
      <c r="I2391" s="26" t="s">
        <v>412</v>
      </c>
      <c r="J2391" s="530">
        <v>27500000</v>
      </c>
    </row>
    <row r="2392" spans="1:10" ht="25.5">
      <c r="A2392" s="22" t="s">
        <v>435</v>
      </c>
      <c r="B2392" s="26" t="s">
        <v>1675</v>
      </c>
      <c r="C2392" s="26" t="s">
        <v>461</v>
      </c>
      <c r="D2392" s="26">
        <v>2.5</v>
      </c>
      <c r="E2392" s="26">
        <v>6</v>
      </c>
      <c r="F2392" s="26" t="s">
        <v>395</v>
      </c>
      <c r="G2392" s="381">
        <v>2500000</v>
      </c>
      <c r="H2392" s="26">
        <v>5</v>
      </c>
      <c r="I2392" s="26" t="s">
        <v>412</v>
      </c>
      <c r="J2392" s="530">
        <v>6250000</v>
      </c>
    </row>
    <row r="2393" spans="1:10" ht="25.5">
      <c r="A2393" s="22" t="s">
        <v>371</v>
      </c>
      <c r="B2393" s="26" t="s">
        <v>1676</v>
      </c>
      <c r="C2393" s="26" t="s">
        <v>462</v>
      </c>
      <c r="D2393" s="26">
        <v>4.5999999999999996</v>
      </c>
      <c r="E2393" s="26">
        <v>6</v>
      </c>
      <c r="F2393" s="26" t="s">
        <v>395</v>
      </c>
      <c r="G2393" s="381">
        <v>4600000</v>
      </c>
      <c r="H2393" s="26">
        <v>5</v>
      </c>
      <c r="I2393" s="26" t="s">
        <v>412</v>
      </c>
      <c r="J2393" s="530">
        <v>11500000</v>
      </c>
    </row>
    <row r="2394" spans="1:10" ht="25.5">
      <c r="A2394" s="22" t="s">
        <v>435</v>
      </c>
      <c r="B2394" s="26" t="s">
        <v>594</v>
      </c>
      <c r="C2394" s="26" t="s">
        <v>463</v>
      </c>
      <c r="D2394" s="26">
        <v>1.5</v>
      </c>
      <c r="E2394" s="26">
        <v>6</v>
      </c>
      <c r="F2394" s="26" t="s">
        <v>395</v>
      </c>
      <c r="G2394" s="381">
        <v>1500000</v>
      </c>
      <c r="H2394" s="26">
        <v>5</v>
      </c>
      <c r="I2394" s="26" t="s">
        <v>412</v>
      </c>
      <c r="J2394" s="530">
        <v>3750000</v>
      </c>
    </row>
    <row r="2395" spans="1:10" ht="38.25">
      <c r="A2395" s="22" t="s">
        <v>388</v>
      </c>
      <c r="B2395" s="26" t="s">
        <v>388</v>
      </c>
      <c r="C2395" s="26" t="s">
        <v>464</v>
      </c>
      <c r="D2395" s="26">
        <v>8.5</v>
      </c>
      <c r="E2395" s="26">
        <v>14</v>
      </c>
      <c r="F2395" s="26" t="s">
        <v>414</v>
      </c>
      <c r="G2395" s="381">
        <v>8500000</v>
      </c>
      <c r="H2395" s="26">
        <v>5</v>
      </c>
      <c r="I2395" s="26" t="s">
        <v>399</v>
      </c>
      <c r="J2395" s="530">
        <v>21250000</v>
      </c>
    </row>
    <row r="2396" spans="1:10" ht="38.25">
      <c r="A2396" s="22" t="s">
        <v>380</v>
      </c>
      <c r="B2396" s="26" t="s">
        <v>380</v>
      </c>
      <c r="C2396" s="26" t="s">
        <v>465</v>
      </c>
      <c r="D2396" s="26">
        <v>1.2</v>
      </c>
      <c r="E2396" s="26">
        <v>6</v>
      </c>
      <c r="F2396" s="26" t="s">
        <v>414</v>
      </c>
      <c r="G2396" s="381">
        <v>1200000</v>
      </c>
      <c r="H2396" s="26">
        <v>5</v>
      </c>
      <c r="I2396" s="26" t="s">
        <v>399</v>
      </c>
      <c r="J2396" s="530">
        <v>3000000</v>
      </c>
    </row>
    <row r="2397" spans="1:10" ht="25.5">
      <c r="A2397" s="22" t="s">
        <v>421</v>
      </c>
      <c r="B2397" s="26" t="s">
        <v>421</v>
      </c>
      <c r="C2397" s="26" t="s">
        <v>466</v>
      </c>
      <c r="D2397" s="26">
        <v>3.5259999999999998</v>
      </c>
      <c r="E2397" s="26">
        <v>6</v>
      </c>
      <c r="F2397" s="26" t="s">
        <v>395</v>
      </c>
      <c r="G2397" s="381">
        <v>3526000</v>
      </c>
      <c r="H2397" s="26">
        <v>5</v>
      </c>
      <c r="I2397" s="26" t="s">
        <v>412</v>
      </c>
      <c r="J2397" s="530">
        <v>8815000</v>
      </c>
    </row>
    <row r="2398" spans="1:10" ht="38.25">
      <c r="A2398" s="22" t="s">
        <v>421</v>
      </c>
      <c r="B2398" s="26" t="s">
        <v>1670</v>
      </c>
      <c r="C2398" s="26" t="s">
        <v>467</v>
      </c>
      <c r="D2398" s="26">
        <v>2</v>
      </c>
      <c r="E2398" s="26">
        <v>6</v>
      </c>
      <c r="F2398" s="26" t="s">
        <v>414</v>
      </c>
      <c r="G2398" s="381">
        <v>2000000</v>
      </c>
      <c r="H2398" s="26">
        <v>5</v>
      </c>
      <c r="I2398" s="26" t="s">
        <v>399</v>
      </c>
      <c r="J2398" s="530">
        <v>5000000</v>
      </c>
    </row>
    <row r="2399" spans="1:10" ht="38.25">
      <c r="A2399" s="22" t="s">
        <v>435</v>
      </c>
      <c r="B2399" s="26" t="s">
        <v>891</v>
      </c>
      <c r="C2399" s="26" t="s">
        <v>468</v>
      </c>
      <c r="D2399" s="26">
        <v>2</v>
      </c>
      <c r="E2399" s="26">
        <v>6</v>
      </c>
      <c r="F2399" s="26" t="s">
        <v>414</v>
      </c>
      <c r="G2399" s="381">
        <v>2000000</v>
      </c>
      <c r="H2399" s="26">
        <v>5</v>
      </c>
      <c r="I2399" s="26" t="s">
        <v>399</v>
      </c>
      <c r="J2399" s="530">
        <v>5000000</v>
      </c>
    </row>
    <row r="2400" spans="1:10" ht="38.25">
      <c r="A2400" s="22" t="s">
        <v>371</v>
      </c>
      <c r="B2400" s="26" t="s">
        <v>371</v>
      </c>
      <c r="C2400" s="26" t="s">
        <v>469</v>
      </c>
      <c r="D2400" s="26">
        <v>2</v>
      </c>
      <c r="E2400" s="26">
        <v>6</v>
      </c>
      <c r="F2400" s="26" t="s">
        <v>414</v>
      </c>
      <c r="G2400" s="381">
        <v>2000000</v>
      </c>
      <c r="H2400" s="26">
        <v>5</v>
      </c>
      <c r="I2400" s="26" t="s">
        <v>399</v>
      </c>
      <c r="J2400" s="530">
        <v>5000000</v>
      </c>
    </row>
    <row r="2401" spans="1:10" ht="38.25">
      <c r="A2401" s="22" t="s">
        <v>371</v>
      </c>
      <c r="B2401" s="26" t="s">
        <v>371</v>
      </c>
      <c r="C2401" s="26" t="s">
        <v>470</v>
      </c>
      <c r="D2401" s="26">
        <v>6</v>
      </c>
      <c r="E2401" s="26">
        <v>6</v>
      </c>
      <c r="F2401" s="26" t="s">
        <v>414</v>
      </c>
      <c r="G2401" s="381">
        <v>6000000</v>
      </c>
      <c r="H2401" s="26">
        <v>5</v>
      </c>
      <c r="I2401" s="26" t="s">
        <v>399</v>
      </c>
      <c r="J2401" s="530">
        <v>15000000</v>
      </c>
    </row>
    <row r="2402" spans="1:10" ht="38.25">
      <c r="A2402" s="22" t="s">
        <v>435</v>
      </c>
      <c r="B2402" s="26" t="s">
        <v>1677</v>
      </c>
      <c r="C2402" s="26" t="s">
        <v>471</v>
      </c>
      <c r="D2402" s="26">
        <v>6</v>
      </c>
      <c r="E2402" s="26">
        <v>6</v>
      </c>
      <c r="F2402" s="26" t="s">
        <v>414</v>
      </c>
      <c r="G2402" s="381">
        <v>6000000</v>
      </c>
      <c r="H2402" s="26">
        <v>5</v>
      </c>
      <c r="I2402" s="26" t="s">
        <v>399</v>
      </c>
      <c r="J2402" s="530">
        <v>15000000</v>
      </c>
    </row>
    <row r="2403" spans="1:10" ht="25.5">
      <c r="A2403" s="22" t="s">
        <v>435</v>
      </c>
      <c r="B2403" s="26" t="s">
        <v>435</v>
      </c>
      <c r="C2403" s="26" t="s">
        <v>472</v>
      </c>
      <c r="D2403" s="26">
        <v>0.5</v>
      </c>
      <c r="E2403" s="26">
        <v>6</v>
      </c>
      <c r="F2403" s="26" t="s">
        <v>395</v>
      </c>
      <c r="G2403" s="381">
        <v>500000</v>
      </c>
      <c r="H2403" s="26">
        <v>5</v>
      </c>
      <c r="I2403" s="26" t="s">
        <v>412</v>
      </c>
      <c r="J2403" s="530">
        <v>1250000</v>
      </c>
    </row>
    <row r="2404" spans="1:10" ht="25.5">
      <c r="A2404" s="22" t="s">
        <v>371</v>
      </c>
      <c r="B2404" s="26" t="s">
        <v>1678</v>
      </c>
      <c r="C2404" s="26" t="s">
        <v>473</v>
      </c>
      <c r="D2404" s="26">
        <v>0.5</v>
      </c>
      <c r="E2404" s="26">
        <v>6</v>
      </c>
      <c r="F2404" s="26" t="s">
        <v>395</v>
      </c>
      <c r="G2404" s="381">
        <v>500000</v>
      </c>
      <c r="H2404" s="26">
        <v>5</v>
      </c>
      <c r="I2404" s="26" t="s">
        <v>412</v>
      </c>
      <c r="J2404" s="530">
        <v>1250000</v>
      </c>
    </row>
    <row r="2405" spans="1:10" ht="25.5">
      <c r="A2405" s="22" t="s">
        <v>371</v>
      </c>
      <c r="B2405" s="26" t="s">
        <v>1127</v>
      </c>
      <c r="C2405" s="26" t="s">
        <v>474</v>
      </c>
      <c r="D2405" s="26">
        <v>7.3</v>
      </c>
      <c r="E2405" s="26">
        <v>6</v>
      </c>
      <c r="F2405" s="26" t="s">
        <v>395</v>
      </c>
      <c r="G2405" s="381">
        <v>7300000</v>
      </c>
      <c r="H2405" s="26">
        <v>5</v>
      </c>
      <c r="I2405" s="26" t="s">
        <v>412</v>
      </c>
      <c r="J2405" s="530">
        <v>18250000</v>
      </c>
    </row>
    <row r="2406" spans="1:10" ht="25.5">
      <c r="A2406" s="22" t="s">
        <v>376</v>
      </c>
      <c r="B2406" s="26" t="s">
        <v>1673</v>
      </c>
      <c r="C2406" s="26" t="s">
        <v>475</v>
      </c>
      <c r="D2406" s="26">
        <v>2.5</v>
      </c>
      <c r="E2406" s="26">
        <v>6</v>
      </c>
      <c r="F2406" s="26" t="s">
        <v>395</v>
      </c>
      <c r="G2406" s="381">
        <v>2500000</v>
      </c>
      <c r="H2406" s="26">
        <v>5</v>
      </c>
      <c r="I2406" s="26" t="s">
        <v>412</v>
      </c>
      <c r="J2406" s="530">
        <v>6250000</v>
      </c>
    </row>
    <row r="2407" spans="1:10" ht="25.5">
      <c r="A2407" s="22" t="s">
        <v>376</v>
      </c>
      <c r="B2407" s="26" t="s">
        <v>1137</v>
      </c>
      <c r="C2407" s="26" t="s">
        <v>476</v>
      </c>
      <c r="D2407" s="26">
        <v>0.5</v>
      </c>
      <c r="E2407" s="26">
        <v>6</v>
      </c>
      <c r="F2407" s="26" t="s">
        <v>395</v>
      </c>
      <c r="G2407" s="381">
        <v>500000</v>
      </c>
      <c r="H2407" s="26">
        <v>5</v>
      </c>
      <c r="I2407" s="26" t="s">
        <v>412</v>
      </c>
      <c r="J2407" s="530">
        <v>1250000</v>
      </c>
    </row>
    <row r="2408" spans="1:10" ht="25.5">
      <c r="A2408" s="22" t="s">
        <v>376</v>
      </c>
      <c r="B2408" s="56" t="s">
        <v>1679</v>
      </c>
      <c r="C2408" s="26" t="s">
        <v>477</v>
      </c>
      <c r="D2408" s="26">
        <v>3.4784000000000002</v>
      </c>
      <c r="E2408" s="26">
        <v>6</v>
      </c>
      <c r="F2408" s="26" t="s">
        <v>395</v>
      </c>
      <c r="G2408" s="381">
        <v>3478400</v>
      </c>
      <c r="H2408" s="26">
        <v>5</v>
      </c>
      <c r="I2408" s="26" t="s">
        <v>412</v>
      </c>
      <c r="J2408" s="530">
        <v>8696000</v>
      </c>
    </row>
    <row r="2409" spans="1:10" ht="25.5">
      <c r="A2409" s="22" t="s">
        <v>376</v>
      </c>
      <c r="B2409" s="56" t="s">
        <v>1680</v>
      </c>
      <c r="C2409" s="26" t="s">
        <v>478</v>
      </c>
      <c r="D2409" s="26">
        <v>6.2</v>
      </c>
      <c r="E2409" s="26">
        <v>6</v>
      </c>
      <c r="F2409" s="26" t="s">
        <v>395</v>
      </c>
      <c r="G2409" s="381">
        <v>6200000</v>
      </c>
      <c r="H2409" s="26">
        <v>5</v>
      </c>
      <c r="I2409" s="26" t="s">
        <v>412</v>
      </c>
      <c r="J2409" s="530">
        <v>15500000</v>
      </c>
    </row>
    <row r="2410" spans="1:10" ht="38.25">
      <c r="A2410" s="22" t="s">
        <v>421</v>
      </c>
      <c r="B2410" s="56" t="s">
        <v>1681</v>
      </c>
      <c r="C2410" s="26" t="s">
        <v>479</v>
      </c>
      <c r="D2410" s="26">
        <v>1.5</v>
      </c>
      <c r="E2410" s="26">
        <v>6</v>
      </c>
      <c r="F2410" s="26" t="s">
        <v>414</v>
      </c>
      <c r="G2410" s="381">
        <v>1500000</v>
      </c>
      <c r="H2410" s="26">
        <v>5</v>
      </c>
      <c r="I2410" s="26" t="s">
        <v>399</v>
      </c>
      <c r="J2410" s="530">
        <v>3750000</v>
      </c>
    </row>
    <row r="2411" spans="1:10" ht="38.25">
      <c r="A2411" s="22" t="s">
        <v>421</v>
      </c>
      <c r="B2411" s="26" t="s">
        <v>421</v>
      </c>
      <c r="C2411" s="26" t="s">
        <v>480</v>
      </c>
      <c r="D2411" s="26">
        <v>1.7</v>
      </c>
      <c r="E2411" s="26">
        <v>6</v>
      </c>
      <c r="F2411" s="26" t="s">
        <v>414</v>
      </c>
      <c r="G2411" s="381">
        <v>1700000</v>
      </c>
      <c r="H2411" s="26">
        <v>5</v>
      </c>
      <c r="I2411" s="26" t="s">
        <v>399</v>
      </c>
      <c r="J2411" s="530">
        <v>4250000</v>
      </c>
    </row>
    <row r="2412" spans="1:10" ht="38.25">
      <c r="A2412" s="22" t="s">
        <v>421</v>
      </c>
      <c r="B2412" s="56" t="s">
        <v>1665</v>
      </c>
      <c r="C2412" s="26" t="s">
        <v>481</v>
      </c>
      <c r="D2412" s="26">
        <v>0.876</v>
      </c>
      <c r="E2412" s="26">
        <v>6</v>
      </c>
      <c r="F2412" s="26" t="s">
        <v>414</v>
      </c>
      <c r="G2412" s="381">
        <v>876000</v>
      </c>
      <c r="H2412" s="26">
        <v>5</v>
      </c>
      <c r="I2412" s="26" t="s">
        <v>399</v>
      </c>
      <c r="J2412" s="530">
        <v>2190000</v>
      </c>
    </row>
    <row r="2413" spans="1:10" ht="38.25">
      <c r="A2413" s="22" t="s">
        <v>421</v>
      </c>
      <c r="B2413" s="26" t="s">
        <v>421</v>
      </c>
      <c r="C2413" s="26" t="s">
        <v>482</v>
      </c>
      <c r="D2413" s="26">
        <v>3.1</v>
      </c>
      <c r="E2413" s="26">
        <v>6</v>
      </c>
      <c r="F2413" s="26" t="s">
        <v>414</v>
      </c>
      <c r="G2413" s="381">
        <v>3100000</v>
      </c>
      <c r="H2413" s="26">
        <v>5</v>
      </c>
      <c r="I2413" s="26" t="s">
        <v>399</v>
      </c>
      <c r="J2413" s="530">
        <v>7750000</v>
      </c>
    </row>
    <row r="2414" spans="1:10" ht="38.25">
      <c r="A2414" s="22" t="s">
        <v>421</v>
      </c>
      <c r="B2414" s="26" t="s">
        <v>421</v>
      </c>
      <c r="C2414" s="26" t="s">
        <v>483</v>
      </c>
      <c r="D2414" s="26">
        <v>1</v>
      </c>
      <c r="E2414" s="26">
        <v>6</v>
      </c>
      <c r="F2414" s="26" t="s">
        <v>414</v>
      </c>
      <c r="G2414" s="381">
        <v>1000000</v>
      </c>
      <c r="H2414" s="26">
        <v>5</v>
      </c>
      <c r="I2414" s="26" t="s">
        <v>399</v>
      </c>
      <c r="J2414" s="530">
        <v>2500000</v>
      </c>
    </row>
    <row r="2415" spans="1:10" ht="38.25">
      <c r="A2415" s="22" t="s">
        <v>421</v>
      </c>
      <c r="B2415" s="56" t="s">
        <v>1669</v>
      </c>
      <c r="C2415" s="26" t="s">
        <v>484</v>
      </c>
      <c r="D2415" s="26">
        <v>1.2</v>
      </c>
      <c r="E2415" s="26">
        <v>6</v>
      </c>
      <c r="F2415" s="26" t="s">
        <v>414</v>
      </c>
      <c r="G2415" s="381">
        <v>1200000</v>
      </c>
      <c r="H2415" s="26">
        <v>5</v>
      </c>
      <c r="I2415" s="26" t="s">
        <v>399</v>
      </c>
      <c r="J2415" s="530">
        <v>3000000</v>
      </c>
    </row>
    <row r="2416" spans="1:10" ht="38.25">
      <c r="A2416" s="22" t="s">
        <v>388</v>
      </c>
      <c r="B2416" s="26" t="s">
        <v>388</v>
      </c>
      <c r="C2416" s="26" t="s">
        <v>485</v>
      </c>
      <c r="D2416" s="26">
        <v>0.76</v>
      </c>
      <c r="E2416" s="26">
        <v>6</v>
      </c>
      <c r="F2416" s="26" t="s">
        <v>414</v>
      </c>
      <c r="G2416" s="381">
        <v>760000</v>
      </c>
      <c r="H2416" s="26">
        <v>5</v>
      </c>
      <c r="I2416" s="26" t="s">
        <v>399</v>
      </c>
      <c r="J2416" s="530">
        <v>1900000</v>
      </c>
    </row>
    <row r="2417" spans="1:10" ht="38.25">
      <c r="A2417" s="22" t="s">
        <v>421</v>
      </c>
      <c r="B2417" s="26" t="s">
        <v>421</v>
      </c>
      <c r="C2417" s="26" t="s">
        <v>486</v>
      </c>
      <c r="D2417" s="26">
        <v>1.7</v>
      </c>
      <c r="E2417" s="26">
        <v>6</v>
      </c>
      <c r="F2417" s="26" t="s">
        <v>414</v>
      </c>
      <c r="G2417" s="381">
        <v>1700000</v>
      </c>
      <c r="H2417" s="26">
        <v>5</v>
      </c>
      <c r="I2417" s="26" t="s">
        <v>399</v>
      </c>
      <c r="J2417" s="530">
        <v>4250000</v>
      </c>
    </row>
    <row r="2418" spans="1:10" ht="38.25">
      <c r="A2418" s="22" t="s">
        <v>421</v>
      </c>
      <c r="B2418" s="26" t="s">
        <v>421</v>
      </c>
      <c r="C2418" s="26" t="s">
        <v>487</v>
      </c>
      <c r="D2418" s="26">
        <v>0.77200000000000002</v>
      </c>
      <c r="E2418" s="26">
        <v>6</v>
      </c>
      <c r="F2418" s="26" t="s">
        <v>414</v>
      </c>
      <c r="G2418" s="381">
        <v>772000</v>
      </c>
      <c r="H2418" s="26">
        <v>5</v>
      </c>
      <c r="I2418" s="26" t="s">
        <v>399</v>
      </c>
      <c r="J2418" s="530">
        <v>1930000</v>
      </c>
    </row>
    <row r="2419" spans="1:10" ht="38.25">
      <c r="A2419" s="22" t="s">
        <v>388</v>
      </c>
      <c r="B2419" s="26" t="s">
        <v>388</v>
      </c>
      <c r="C2419" s="26" t="s">
        <v>488</v>
      </c>
      <c r="D2419" s="26">
        <v>1</v>
      </c>
      <c r="E2419" s="26">
        <v>6</v>
      </c>
      <c r="F2419" s="26" t="s">
        <v>414</v>
      </c>
      <c r="G2419" s="381">
        <v>1000000</v>
      </c>
      <c r="H2419" s="26">
        <v>5</v>
      </c>
      <c r="I2419" s="26" t="s">
        <v>399</v>
      </c>
      <c r="J2419" s="530">
        <v>2500000</v>
      </c>
    </row>
    <row r="2420" spans="1:10" ht="38.25">
      <c r="A2420" s="22" t="s">
        <v>421</v>
      </c>
      <c r="B2420" s="56" t="s">
        <v>1682</v>
      </c>
      <c r="C2420" s="26" t="s">
        <v>489</v>
      </c>
      <c r="D2420" s="26">
        <v>0.497</v>
      </c>
      <c r="E2420" s="26">
        <v>6</v>
      </c>
      <c r="F2420" s="26" t="s">
        <v>414</v>
      </c>
      <c r="G2420" s="381">
        <v>497000</v>
      </c>
      <c r="H2420" s="26">
        <v>5</v>
      </c>
      <c r="I2420" s="26" t="s">
        <v>399</v>
      </c>
      <c r="J2420" s="530">
        <v>1242500</v>
      </c>
    </row>
    <row r="2421" spans="1:10" ht="38.25">
      <c r="A2421" s="22" t="s">
        <v>421</v>
      </c>
      <c r="B2421" s="26" t="s">
        <v>421</v>
      </c>
      <c r="C2421" s="26" t="s">
        <v>490</v>
      </c>
      <c r="D2421" s="26">
        <v>2</v>
      </c>
      <c r="E2421" s="26">
        <v>6</v>
      </c>
      <c r="F2421" s="26" t="s">
        <v>414</v>
      </c>
      <c r="G2421" s="381">
        <v>2000000</v>
      </c>
      <c r="H2421" s="26">
        <v>5</v>
      </c>
      <c r="I2421" s="26" t="s">
        <v>399</v>
      </c>
      <c r="J2421" s="530">
        <v>5000000</v>
      </c>
    </row>
    <row r="2422" spans="1:10" ht="38.25">
      <c r="A2422" s="22" t="s">
        <v>380</v>
      </c>
      <c r="B2422" s="26" t="s">
        <v>380</v>
      </c>
      <c r="C2422" s="26" t="s">
        <v>491</v>
      </c>
      <c r="D2422" s="26">
        <v>1.9</v>
      </c>
      <c r="E2422" s="26">
        <v>6</v>
      </c>
      <c r="F2422" s="26" t="s">
        <v>414</v>
      </c>
      <c r="G2422" s="381">
        <v>1900000</v>
      </c>
      <c r="H2422" s="26">
        <v>5</v>
      </c>
      <c r="I2422" s="26" t="s">
        <v>399</v>
      </c>
      <c r="J2422" s="530">
        <v>4750000</v>
      </c>
    </row>
    <row r="2423" spans="1:10" ht="38.25">
      <c r="A2423" s="22" t="s">
        <v>380</v>
      </c>
      <c r="B2423" s="56" t="s">
        <v>1683</v>
      </c>
      <c r="C2423" s="26" t="s">
        <v>492</v>
      </c>
      <c r="D2423" s="26">
        <v>2</v>
      </c>
      <c r="E2423" s="26">
        <v>6</v>
      </c>
      <c r="F2423" s="26" t="s">
        <v>414</v>
      </c>
      <c r="G2423" s="381">
        <v>2000000</v>
      </c>
      <c r="H2423" s="26">
        <v>5</v>
      </c>
      <c r="I2423" s="26" t="s">
        <v>399</v>
      </c>
      <c r="J2423" s="530">
        <v>5000000</v>
      </c>
    </row>
    <row r="2424" spans="1:10" ht="38.25">
      <c r="A2424" s="22" t="s">
        <v>380</v>
      </c>
      <c r="B2424" s="56" t="s">
        <v>1683</v>
      </c>
      <c r="C2424" s="26" t="s">
        <v>493</v>
      </c>
      <c r="D2424" s="26">
        <v>2.6</v>
      </c>
      <c r="E2424" s="26">
        <v>6</v>
      </c>
      <c r="F2424" s="26" t="s">
        <v>414</v>
      </c>
      <c r="G2424" s="381">
        <v>2600000</v>
      </c>
      <c r="H2424" s="26">
        <v>5</v>
      </c>
      <c r="I2424" s="26" t="s">
        <v>399</v>
      </c>
      <c r="J2424" s="530">
        <v>6500000</v>
      </c>
    </row>
    <row r="2425" spans="1:10" ht="38.25">
      <c r="A2425" s="22" t="s">
        <v>380</v>
      </c>
      <c r="B2425" s="26" t="s">
        <v>380</v>
      </c>
      <c r="C2425" s="26" t="s">
        <v>494</v>
      </c>
      <c r="D2425" s="26">
        <v>0.86599999999999999</v>
      </c>
      <c r="E2425" s="26">
        <v>6</v>
      </c>
      <c r="F2425" s="26" t="s">
        <v>414</v>
      </c>
      <c r="G2425" s="381">
        <v>866000</v>
      </c>
      <c r="H2425" s="26">
        <v>5</v>
      </c>
      <c r="I2425" s="26" t="s">
        <v>399</v>
      </c>
      <c r="J2425" s="530">
        <v>2165000</v>
      </c>
    </row>
    <row r="2426" spans="1:10" ht="38.25">
      <c r="A2426" s="22" t="s">
        <v>380</v>
      </c>
      <c r="B2426" s="26" t="s">
        <v>380</v>
      </c>
      <c r="C2426" s="26" t="s">
        <v>495</v>
      </c>
      <c r="D2426" s="26">
        <v>0.81899999999999995</v>
      </c>
      <c r="E2426" s="26">
        <v>6</v>
      </c>
      <c r="F2426" s="26" t="s">
        <v>414</v>
      </c>
      <c r="G2426" s="381">
        <v>819000</v>
      </c>
      <c r="H2426" s="26">
        <v>5</v>
      </c>
      <c r="I2426" s="26" t="s">
        <v>399</v>
      </c>
      <c r="J2426" s="530">
        <v>2047499.9999999998</v>
      </c>
    </row>
    <row r="2427" spans="1:10" ht="38.25">
      <c r="A2427" s="22" t="s">
        <v>380</v>
      </c>
      <c r="B2427" s="56" t="s">
        <v>1683</v>
      </c>
      <c r="C2427" s="26" t="s">
        <v>496</v>
      </c>
      <c r="D2427" s="26">
        <v>0.40699999999999997</v>
      </c>
      <c r="E2427" s="26">
        <v>6</v>
      </c>
      <c r="F2427" s="26" t="s">
        <v>414</v>
      </c>
      <c r="G2427" s="381">
        <v>407000</v>
      </c>
      <c r="H2427" s="26">
        <v>5</v>
      </c>
      <c r="I2427" s="26" t="s">
        <v>399</v>
      </c>
      <c r="J2427" s="530">
        <v>1017499.9999999999</v>
      </c>
    </row>
    <row r="2428" spans="1:10" ht="38.25">
      <c r="A2428" s="22" t="s">
        <v>380</v>
      </c>
      <c r="B2428" s="26" t="s">
        <v>380</v>
      </c>
      <c r="C2428" s="26" t="s">
        <v>497</v>
      </c>
      <c r="D2428" s="26">
        <v>5.6</v>
      </c>
      <c r="E2428" s="26">
        <v>6</v>
      </c>
      <c r="F2428" s="26" t="s">
        <v>414</v>
      </c>
      <c r="G2428" s="381">
        <v>5600000</v>
      </c>
      <c r="H2428" s="26">
        <v>5</v>
      </c>
      <c r="I2428" s="26" t="s">
        <v>399</v>
      </c>
      <c r="J2428" s="530">
        <v>14000000</v>
      </c>
    </row>
    <row r="2429" spans="1:10" ht="38.25">
      <c r="A2429" s="22" t="s">
        <v>380</v>
      </c>
      <c r="B2429" s="56" t="s">
        <v>1659</v>
      </c>
      <c r="C2429" s="26" t="s">
        <v>498</v>
      </c>
      <c r="D2429" s="26">
        <v>2</v>
      </c>
      <c r="E2429" s="26">
        <v>6</v>
      </c>
      <c r="F2429" s="26" t="s">
        <v>414</v>
      </c>
      <c r="G2429" s="381">
        <v>2000000</v>
      </c>
      <c r="H2429" s="26">
        <v>5</v>
      </c>
      <c r="I2429" s="26" t="s">
        <v>399</v>
      </c>
      <c r="J2429" s="530">
        <v>5000000</v>
      </c>
    </row>
    <row r="2430" spans="1:10" ht="38.25">
      <c r="A2430" s="22" t="s">
        <v>380</v>
      </c>
      <c r="B2430" s="56" t="s">
        <v>1663</v>
      </c>
      <c r="C2430" s="26" t="s">
        <v>499</v>
      </c>
      <c r="D2430" s="26">
        <v>1.3</v>
      </c>
      <c r="E2430" s="26">
        <v>6</v>
      </c>
      <c r="F2430" s="26" t="s">
        <v>414</v>
      </c>
      <c r="G2430" s="381">
        <v>1300000</v>
      </c>
      <c r="H2430" s="26">
        <v>5</v>
      </c>
      <c r="I2430" s="26" t="s">
        <v>399</v>
      </c>
      <c r="J2430" s="530">
        <v>3250000</v>
      </c>
    </row>
    <row r="2431" spans="1:10" ht="38.25">
      <c r="A2431" s="22" t="s">
        <v>371</v>
      </c>
      <c r="B2431" s="56" t="s">
        <v>1663</v>
      </c>
      <c r="C2431" s="26" t="s">
        <v>500</v>
      </c>
      <c r="D2431" s="26">
        <v>2.5</v>
      </c>
      <c r="E2431" s="26">
        <v>6</v>
      </c>
      <c r="F2431" s="26" t="s">
        <v>414</v>
      </c>
      <c r="G2431" s="381">
        <v>2500000</v>
      </c>
      <c r="H2431" s="26">
        <v>5</v>
      </c>
      <c r="I2431" s="26" t="s">
        <v>399</v>
      </c>
      <c r="J2431" s="530">
        <v>6250000</v>
      </c>
    </row>
    <row r="2432" spans="1:10" ht="38.25">
      <c r="A2432" s="22" t="s">
        <v>380</v>
      </c>
      <c r="B2432" s="26" t="s">
        <v>380</v>
      </c>
      <c r="C2432" s="26" t="s">
        <v>501</v>
      </c>
      <c r="D2432" s="26">
        <v>1.2</v>
      </c>
      <c r="E2432" s="26">
        <v>6</v>
      </c>
      <c r="F2432" s="26" t="s">
        <v>414</v>
      </c>
      <c r="G2432" s="381">
        <v>1200000</v>
      </c>
      <c r="H2432" s="26">
        <v>5</v>
      </c>
      <c r="I2432" s="26" t="s">
        <v>399</v>
      </c>
      <c r="J2432" s="530">
        <v>3000000</v>
      </c>
    </row>
    <row r="2433" spans="1:10" ht="38.25">
      <c r="A2433" s="22" t="s">
        <v>376</v>
      </c>
      <c r="B2433" s="56" t="s">
        <v>1656</v>
      </c>
      <c r="C2433" s="26" t="s">
        <v>502</v>
      </c>
      <c r="D2433" s="26">
        <v>3.3</v>
      </c>
      <c r="E2433" s="26">
        <v>6</v>
      </c>
      <c r="F2433" s="26" t="s">
        <v>414</v>
      </c>
      <c r="G2433" s="381">
        <v>3300000</v>
      </c>
      <c r="H2433" s="26">
        <v>5</v>
      </c>
      <c r="I2433" s="26" t="s">
        <v>399</v>
      </c>
      <c r="J2433" s="530">
        <v>8250000</v>
      </c>
    </row>
    <row r="2434" spans="1:10" ht="38.25">
      <c r="A2434" s="22" t="s">
        <v>376</v>
      </c>
      <c r="B2434" s="56" t="s">
        <v>137</v>
      </c>
      <c r="C2434" s="26" t="s">
        <v>503</v>
      </c>
      <c r="D2434" s="26">
        <v>1.3</v>
      </c>
      <c r="E2434" s="26">
        <v>6</v>
      </c>
      <c r="F2434" s="26" t="s">
        <v>414</v>
      </c>
      <c r="G2434" s="381">
        <v>1300000</v>
      </c>
      <c r="H2434" s="26">
        <v>5</v>
      </c>
      <c r="I2434" s="26" t="s">
        <v>399</v>
      </c>
      <c r="J2434" s="530">
        <v>3250000</v>
      </c>
    </row>
    <row r="2435" spans="1:10" ht="38.25">
      <c r="A2435" s="22" t="s">
        <v>376</v>
      </c>
      <c r="B2435" s="56" t="s">
        <v>137</v>
      </c>
      <c r="C2435" s="26" t="s">
        <v>504</v>
      </c>
      <c r="D2435" s="26">
        <v>1.7</v>
      </c>
      <c r="E2435" s="26">
        <v>6</v>
      </c>
      <c r="F2435" s="26" t="s">
        <v>414</v>
      </c>
      <c r="G2435" s="381">
        <v>1700000</v>
      </c>
      <c r="H2435" s="26">
        <v>5</v>
      </c>
      <c r="I2435" s="26" t="s">
        <v>399</v>
      </c>
      <c r="J2435" s="530">
        <v>4250000</v>
      </c>
    </row>
    <row r="2436" spans="1:10" ht="38.25">
      <c r="A2436" s="22" t="s">
        <v>421</v>
      </c>
      <c r="B2436" s="26" t="s">
        <v>421</v>
      </c>
      <c r="C2436" s="26" t="s">
        <v>505</v>
      </c>
      <c r="D2436" s="26">
        <v>3</v>
      </c>
      <c r="E2436" s="26">
        <v>6</v>
      </c>
      <c r="F2436" s="26" t="s">
        <v>414</v>
      </c>
      <c r="G2436" s="381">
        <v>3000000</v>
      </c>
      <c r="H2436" s="26">
        <v>5</v>
      </c>
      <c r="I2436" s="26" t="s">
        <v>399</v>
      </c>
      <c r="J2436" s="530">
        <v>7500000</v>
      </c>
    </row>
    <row r="2437" spans="1:10" ht="38.25">
      <c r="A2437" s="22" t="s">
        <v>421</v>
      </c>
      <c r="B2437" s="26" t="s">
        <v>421</v>
      </c>
      <c r="C2437" s="26" t="s">
        <v>506</v>
      </c>
      <c r="D2437" s="26">
        <v>2.6</v>
      </c>
      <c r="E2437" s="26">
        <v>6</v>
      </c>
      <c r="F2437" s="26" t="s">
        <v>414</v>
      </c>
      <c r="G2437" s="381">
        <v>2600000</v>
      </c>
      <c r="H2437" s="26">
        <v>5</v>
      </c>
      <c r="I2437" s="26" t="s">
        <v>399</v>
      </c>
      <c r="J2437" s="530">
        <v>6500000</v>
      </c>
    </row>
    <row r="2438" spans="1:10" ht="38.25">
      <c r="A2438" s="22" t="s">
        <v>435</v>
      </c>
      <c r="B2438" s="56" t="s">
        <v>1672</v>
      </c>
      <c r="C2438" s="26" t="s">
        <v>507</v>
      </c>
      <c r="D2438" s="26">
        <v>0.92800000000000005</v>
      </c>
      <c r="E2438" s="26">
        <v>6</v>
      </c>
      <c r="F2438" s="26" t="s">
        <v>414</v>
      </c>
      <c r="G2438" s="381">
        <v>928000</v>
      </c>
      <c r="H2438" s="26">
        <v>5</v>
      </c>
      <c r="I2438" s="26" t="s">
        <v>399</v>
      </c>
      <c r="J2438" s="530">
        <v>2320000</v>
      </c>
    </row>
    <row r="2439" spans="1:10" ht="38.25">
      <c r="A2439" s="22" t="s">
        <v>435</v>
      </c>
      <c r="B2439" s="56" t="s">
        <v>1672</v>
      </c>
      <c r="C2439" s="26" t="s">
        <v>508</v>
      </c>
      <c r="D2439" s="26">
        <v>1.6</v>
      </c>
      <c r="E2439" s="26">
        <v>6</v>
      </c>
      <c r="F2439" s="26" t="s">
        <v>414</v>
      </c>
      <c r="G2439" s="381">
        <v>1600000</v>
      </c>
      <c r="H2439" s="26">
        <v>5</v>
      </c>
      <c r="I2439" s="26" t="s">
        <v>399</v>
      </c>
      <c r="J2439" s="530">
        <v>4000000</v>
      </c>
    </row>
    <row r="2440" spans="1:10" ht="38.25">
      <c r="A2440" s="22" t="s">
        <v>435</v>
      </c>
      <c r="B2440" s="26" t="s">
        <v>435</v>
      </c>
      <c r="C2440" s="26" t="s">
        <v>509</v>
      </c>
      <c r="D2440" s="26">
        <v>0.65200000000000002</v>
      </c>
      <c r="E2440" s="26">
        <v>6</v>
      </c>
      <c r="F2440" s="26" t="s">
        <v>414</v>
      </c>
      <c r="G2440" s="381">
        <v>652000</v>
      </c>
      <c r="H2440" s="26">
        <v>5</v>
      </c>
      <c r="I2440" s="26" t="s">
        <v>399</v>
      </c>
      <c r="J2440" s="530">
        <v>1630000</v>
      </c>
    </row>
    <row r="2441" spans="1:10" ht="38.25">
      <c r="A2441" s="22" t="s">
        <v>435</v>
      </c>
      <c r="B2441" s="26" t="s">
        <v>435</v>
      </c>
      <c r="C2441" s="26" t="s">
        <v>510</v>
      </c>
      <c r="D2441" s="26">
        <v>1.1000000000000001</v>
      </c>
      <c r="E2441" s="26">
        <v>6</v>
      </c>
      <c r="F2441" s="26" t="s">
        <v>414</v>
      </c>
      <c r="G2441" s="381">
        <v>1100000</v>
      </c>
      <c r="H2441" s="26">
        <v>5</v>
      </c>
      <c r="I2441" s="26" t="s">
        <v>399</v>
      </c>
      <c r="J2441" s="530">
        <v>2750000</v>
      </c>
    </row>
    <row r="2442" spans="1:10" ht="38.25">
      <c r="A2442" s="22" t="s">
        <v>435</v>
      </c>
      <c r="B2442" s="26" t="s">
        <v>435</v>
      </c>
      <c r="C2442" s="26" t="s">
        <v>511</v>
      </c>
      <c r="D2442" s="26">
        <v>2</v>
      </c>
      <c r="E2442" s="26">
        <v>6</v>
      </c>
      <c r="F2442" s="26" t="s">
        <v>414</v>
      </c>
      <c r="G2442" s="381">
        <v>2000000</v>
      </c>
      <c r="H2442" s="26">
        <v>5</v>
      </c>
      <c r="I2442" s="26" t="s">
        <v>399</v>
      </c>
      <c r="J2442" s="530">
        <v>5000000</v>
      </c>
    </row>
    <row r="2443" spans="1:10" ht="38.25">
      <c r="A2443" s="22" t="s">
        <v>380</v>
      </c>
      <c r="B2443" s="26" t="s">
        <v>380</v>
      </c>
      <c r="C2443" s="26" t="s">
        <v>512</v>
      </c>
      <c r="D2443" s="26">
        <v>1.9</v>
      </c>
      <c r="E2443" s="26">
        <v>6</v>
      </c>
      <c r="F2443" s="26" t="s">
        <v>414</v>
      </c>
      <c r="G2443" s="381">
        <v>1900000</v>
      </c>
      <c r="H2443" s="26">
        <v>5</v>
      </c>
      <c r="I2443" s="26" t="s">
        <v>399</v>
      </c>
      <c r="J2443" s="530">
        <v>4750000</v>
      </c>
    </row>
    <row r="2444" spans="1:10" ht="38.25">
      <c r="A2444" s="22" t="s">
        <v>376</v>
      </c>
      <c r="B2444" s="56" t="s">
        <v>1684</v>
      </c>
      <c r="C2444" s="26" t="s">
        <v>513</v>
      </c>
      <c r="D2444" s="26">
        <v>4.5999999999999996</v>
      </c>
      <c r="E2444" s="26">
        <v>6</v>
      </c>
      <c r="F2444" s="26" t="s">
        <v>414</v>
      </c>
      <c r="G2444" s="381">
        <v>4600000</v>
      </c>
      <c r="H2444" s="26">
        <v>5</v>
      </c>
      <c r="I2444" s="26" t="s">
        <v>399</v>
      </c>
      <c r="J2444" s="530">
        <v>11500000</v>
      </c>
    </row>
    <row r="2445" spans="1:10" ht="38.25">
      <c r="A2445" s="22" t="s">
        <v>376</v>
      </c>
      <c r="B2445" s="56" t="s">
        <v>1685</v>
      </c>
      <c r="C2445" s="26" t="s">
        <v>514</v>
      </c>
      <c r="D2445" s="26">
        <v>2.2000000000000002</v>
      </c>
      <c r="E2445" s="26">
        <v>6</v>
      </c>
      <c r="F2445" s="26" t="s">
        <v>414</v>
      </c>
      <c r="G2445" s="381">
        <v>2200000</v>
      </c>
      <c r="H2445" s="26">
        <v>5</v>
      </c>
      <c r="I2445" s="26" t="s">
        <v>399</v>
      </c>
      <c r="J2445" s="530">
        <v>5500000</v>
      </c>
    </row>
    <row r="2446" spans="1:10" ht="38.25">
      <c r="A2446" s="22" t="s">
        <v>376</v>
      </c>
      <c r="B2446" s="56" t="s">
        <v>1686</v>
      </c>
      <c r="C2446" s="26" t="s">
        <v>515</v>
      </c>
      <c r="D2446" s="26">
        <v>5</v>
      </c>
      <c r="E2446" s="26">
        <v>6</v>
      </c>
      <c r="F2446" s="26" t="s">
        <v>414</v>
      </c>
      <c r="G2446" s="381">
        <v>5000000</v>
      </c>
      <c r="H2446" s="26">
        <v>5</v>
      </c>
      <c r="I2446" s="26" t="s">
        <v>399</v>
      </c>
      <c r="J2446" s="530">
        <v>12500000</v>
      </c>
    </row>
    <row r="2447" spans="1:10" ht="38.25">
      <c r="A2447" s="22" t="s">
        <v>376</v>
      </c>
      <c r="B2447" s="56" t="s">
        <v>1687</v>
      </c>
      <c r="C2447" s="26" t="s">
        <v>516</v>
      </c>
      <c r="D2447" s="26">
        <v>5.5</v>
      </c>
      <c r="E2447" s="26">
        <v>6</v>
      </c>
      <c r="F2447" s="26" t="s">
        <v>414</v>
      </c>
      <c r="G2447" s="381">
        <v>5500000</v>
      </c>
      <c r="H2447" s="26">
        <v>5</v>
      </c>
      <c r="I2447" s="26" t="s">
        <v>399</v>
      </c>
      <c r="J2447" s="530">
        <v>13750000</v>
      </c>
    </row>
    <row r="2448" spans="1:10" ht="38.25">
      <c r="A2448" s="22" t="s">
        <v>376</v>
      </c>
      <c r="B2448" s="56" t="s">
        <v>1688</v>
      </c>
      <c r="C2448" s="26" t="s">
        <v>517</v>
      </c>
      <c r="D2448" s="26">
        <v>1.6</v>
      </c>
      <c r="E2448" s="26">
        <v>6</v>
      </c>
      <c r="F2448" s="26" t="s">
        <v>414</v>
      </c>
      <c r="G2448" s="381">
        <v>1600000</v>
      </c>
      <c r="H2448" s="26">
        <v>5</v>
      </c>
      <c r="I2448" s="26" t="s">
        <v>399</v>
      </c>
      <c r="J2448" s="530">
        <v>4000000</v>
      </c>
    </row>
    <row r="2449" spans="1:10" ht="38.25">
      <c r="A2449" s="22" t="s">
        <v>376</v>
      </c>
      <c r="B2449" s="56" t="s">
        <v>1689</v>
      </c>
      <c r="C2449" s="26" t="s">
        <v>518</v>
      </c>
      <c r="D2449" s="26">
        <v>3.88</v>
      </c>
      <c r="E2449" s="26">
        <v>6</v>
      </c>
      <c r="F2449" s="26" t="s">
        <v>414</v>
      </c>
      <c r="G2449" s="381">
        <v>3880000</v>
      </c>
      <c r="H2449" s="26">
        <v>5</v>
      </c>
      <c r="I2449" s="26" t="s">
        <v>399</v>
      </c>
      <c r="J2449" s="530">
        <v>9700000</v>
      </c>
    </row>
    <row r="2450" spans="1:10" ht="38.25">
      <c r="A2450" s="22" t="s">
        <v>376</v>
      </c>
      <c r="B2450" s="56" t="s">
        <v>1690</v>
      </c>
      <c r="C2450" s="26" t="s">
        <v>519</v>
      </c>
      <c r="D2450" s="26">
        <v>0.745</v>
      </c>
      <c r="E2450" s="26">
        <v>6</v>
      </c>
      <c r="F2450" s="26" t="s">
        <v>414</v>
      </c>
      <c r="G2450" s="381">
        <v>745000</v>
      </c>
      <c r="H2450" s="26">
        <v>5</v>
      </c>
      <c r="I2450" s="26" t="s">
        <v>399</v>
      </c>
      <c r="J2450" s="530">
        <v>1862500</v>
      </c>
    </row>
    <row r="2451" spans="1:10" ht="38.25">
      <c r="A2451" s="22" t="s">
        <v>376</v>
      </c>
      <c r="B2451" s="56" t="s">
        <v>1655</v>
      </c>
      <c r="C2451" s="26" t="s">
        <v>520</v>
      </c>
      <c r="D2451" s="26">
        <v>1.8</v>
      </c>
      <c r="E2451" s="26">
        <v>6</v>
      </c>
      <c r="F2451" s="26" t="s">
        <v>414</v>
      </c>
      <c r="G2451" s="381">
        <v>1800000</v>
      </c>
      <c r="H2451" s="26">
        <v>5</v>
      </c>
      <c r="I2451" s="26" t="s">
        <v>399</v>
      </c>
      <c r="J2451" s="530">
        <v>4500000</v>
      </c>
    </row>
    <row r="2452" spans="1:10" ht="38.25">
      <c r="A2452" s="22" t="s">
        <v>376</v>
      </c>
      <c r="B2452" s="26" t="s">
        <v>376</v>
      </c>
      <c r="C2452" s="26" t="s">
        <v>521</v>
      </c>
      <c r="D2452" s="26">
        <v>3.7</v>
      </c>
      <c r="E2452" s="26">
        <v>6</v>
      </c>
      <c r="F2452" s="26" t="s">
        <v>414</v>
      </c>
      <c r="G2452" s="381">
        <v>3700000</v>
      </c>
      <c r="H2452" s="26">
        <v>5</v>
      </c>
      <c r="I2452" s="26" t="s">
        <v>399</v>
      </c>
      <c r="J2452" s="530">
        <v>9250000</v>
      </c>
    </row>
    <row r="2453" spans="1:10" ht="38.25">
      <c r="A2453" s="22" t="s">
        <v>376</v>
      </c>
      <c r="B2453" s="26" t="s">
        <v>376</v>
      </c>
      <c r="C2453" s="26" t="s">
        <v>522</v>
      </c>
      <c r="D2453" s="26">
        <v>5.97</v>
      </c>
      <c r="E2453" s="26">
        <v>6</v>
      </c>
      <c r="F2453" s="26" t="s">
        <v>414</v>
      </c>
      <c r="G2453" s="381">
        <v>5970000</v>
      </c>
      <c r="H2453" s="26">
        <v>5</v>
      </c>
      <c r="I2453" s="26" t="s">
        <v>399</v>
      </c>
      <c r="J2453" s="530">
        <v>14925000</v>
      </c>
    </row>
    <row r="2454" spans="1:10" ht="38.25">
      <c r="A2454" s="22" t="s">
        <v>376</v>
      </c>
      <c r="B2454" s="26" t="s">
        <v>1657</v>
      </c>
      <c r="C2454" s="26" t="s">
        <v>523</v>
      </c>
      <c r="D2454" s="26">
        <v>4.2699999999999996</v>
      </c>
      <c r="E2454" s="26">
        <v>6</v>
      </c>
      <c r="F2454" s="26" t="s">
        <v>414</v>
      </c>
      <c r="G2454" s="381">
        <v>4270000</v>
      </c>
      <c r="H2454" s="26">
        <v>5</v>
      </c>
      <c r="I2454" s="26" t="s">
        <v>399</v>
      </c>
      <c r="J2454" s="530">
        <v>10674999.999999998</v>
      </c>
    </row>
    <row r="2455" spans="1:10" ht="38.25">
      <c r="A2455" s="22" t="s">
        <v>371</v>
      </c>
      <c r="B2455" s="26" t="s">
        <v>371</v>
      </c>
      <c r="C2455" s="26" t="s">
        <v>524</v>
      </c>
      <c r="D2455" s="26">
        <v>1.4</v>
      </c>
      <c r="E2455" s="26">
        <v>6</v>
      </c>
      <c r="F2455" s="26" t="s">
        <v>414</v>
      </c>
      <c r="G2455" s="381">
        <v>1400000</v>
      </c>
      <c r="H2455" s="26">
        <v>5</v>
      </c>
      <c r="I2455" s="26" t="s">
        <v>399</v>
      </c>
      <c r="J2455" s="530">
        <v>3500000</v>
      </c>
    </row>
    <row r="2456" spans="1:10" ht="38.25">
      <c r="A2456" s="22" t="s">
        <v>421</v>
      </c>
      <c r="B2456" s="26" t="s">
        <v>421</v>
      </c>
      <c r="C2456" s="26" t="s">
        <v>525</v>
      </c>
      <c r="D2456" s="26">
        <v>3.77</v>
      </c>
      <c r="E2456" s="26">
        <v>6</v>
      </c>
      <c r="F2456" s="26" t="s">
        <v>414</v>
      </c>
      <c r="G2456" s="381">
        <v>3770000</v>
      </c>
      <c r="H2456" s="26">
        <v>5</v>
      </c>
      <c r="I2456" s="26" t="s">
        <v>399</v>
      </c>
      <c r="J2456" s="530">
        <v>9425000</v>
      </c>
    </row>
    <row r="2457" spans="1:10" ht="38.25">
      <c r="A2457" s="22" t="s">
        <v>371</v>
      </c>
      <c r="B2457" s="56" t="s">
        <v>1691</v>
      </c>
      <c r="C2457" s="26" t="s">
        <v>526</v>
      </c>
      <c r="D2457" s="26">
        <v>7.7</v>
      </c>
      <c r="E2457" s="26">
        <v>6</v>
      </c>
      <c r="F2457" s="26" t="s">
        <v>414</v>
      </c>
      <c r="G2457" s="381">
        <v>7700000</v>
      </c>
      <c r="H2457" s="26">
        <v>5</v>
      </c>
      <c r="I2457" s="26" t="s">
        <v>399</v>
      </c>
      <c r="J2457" s="530">
        <v>19250000</v>
      </c>
    </row>
    <row r="2458" spans="1:10" ht="38.25">
      <c r="A2458" s="22" t="s">
        <v>376</v>
      </c>
      <c r="B2458" s="26" t="s">
        <v>376</v>
      </c>
      <c r="C2458" s="26" t="s">
        <v>527</v>
      </c>
      <c r="D2458" s="26">
        <v>2.9</v>
      </c>
      <c r="E2458" s="26">
        <v>6</v>
      </c>
      <c r="F2458" s="26" t="s">
        <v>414</v>
      </c>
      <c r="G2458" s="381">
        <v>2900000</v>
      </c>
      <c r="H2458" s="26">
        <v>5</v>
      </c>
      <c r="I2458" s="26" t="s">
        <v>399</v>
      </c>
      <c r="J2458" s="530">
        <v>7250000</v>
      </c>
    </row>
    <row r="2459" spans="1:10" ht="38.25">
      <c r="A2459" s="22" t="s">
        <v>435</v>
      </c>
      <c r="B2459" s="56" t="s">
        <v>891</v>
      </c>
      <c r="C2459" s="26" t="s">
        <v>528</v>
      </c>
      <c r="D2459" s="26">
        <v>1</v>
      </c>
      <c r="E2459" s="26">
        <v>6</v>
      </c>
      <c r="F2459" s="26" t="s">
        <v>414</v>
      </c>
      <c r="G2459" s="381">
        <v>1000000</v>
      </c>
      <c r="H2459" s="26">
        <v>5</v>
      </c>
      <c r="I2459" s="26" t="s">
        <v>399</v>
      </c>
      <c r="J2459" s="530">
        <v>2500000</v>
      </c>
    </row>
    <row r="2460" spans="1:10" ht="38.25">
      <c r="A2460" s="22" t="s">
        <v>435</v>
      </c>
      <c r="B2460" s="26" t="s">
        <v>435</v>
      </c>
      <c r="C2460" s="26" t="s">
        <v>529</v>
      </c>
      <c r="D2460" s="26">
        <v>4.4000000000000004</v>
      </c>
      <c r="E2460" s="26">
        <v>6</v>
      </c>
      <c r="F2460" s="26" t="s">
        <v>414</v>
      </c>
      <c r="G2460" s="381">
        <v>4400000</v>
      </c>
      <c r="H2460" s="26">
        <v>5</v>
      </c>
      <c r="I2460" s="26" t="s">
        <v>399</v>
      </c>
      <c r="J2460" s="530">
        <v>11000000</v>
      </c>
    </row>
    <row r="2461" spans="1:10" ht="38.25">
      <c r="A2461" s="22" t="s">
        <v>435</v>
      </c>
      <c r="B2461" s="56" t="s">
        <v>1666</v>
      </c>
      <c r="C2461" s="26" t="s">
        <v>530</v>
      </c>
      <c r="D2461" s="26">
        <v>2.79</v>
      </c>
      <c r="E2461" s="26">
        <v>6</v>
      </c>
      <c r="F2461" s="26" t="s">
        <v>414</v>
      </c>
      <c r="G2461" s="381">
        <v>2790000</v>
      </c>
      <c r="H2461" s="26">
        <v>5</v>
      </c>
      <c r="I2461" s="26" t="s">
        <v>399</v>
      </c>
      <c r="J2461" s="530">
        <v>6975000</v>
      </c>
    </row>
    <row r="2462" spans="1:10" ht="38.25">
      <c r="A2462" s="22" t="s">
        <v>376</v>
      </c>
      <c r="B2462" s="56" t="s">
        <v>1692</v>
      </c>
      <c r="C2462" s="26" t="s">
        <v>531</v>
      </c>
      <c r="D2462" s="26">
        <v>0.315</v>
      </c>
      <c r="E2462" s="26">
        <v>6</v>
      </c>
      <c r="F2462" s="26" t="s">
        <v>414</v>
      </c>
      <c r="G2462" s="381">
        <v>315000</v>
      </c>
      <c r="H2462" s="26">
        <v>5</v>
      </c>
      <c r="I2462" s="26" t="s">
        <v>399</v>
      </c>
      <c r="J2462" s="530">
        <v>787500</v>
      </c>
    </row>
    <row r="2463" spans="1:10" ht="38.25">
      <c r="A2463" s="22" t="s">
        <v>376</v>
      </c>
      <c r="B2463" s="56" t="s">
        <v>1687</v>
      </c>
      <c r="C2463" s="26" t="s">
        <v>532</v>
      </c>
      <c r="D2463" s="26">
        <v>0.17299999999999999</v>
      </c>
      <c r="E2463" s="26">
        <v>6</v>
      </c>
      <c r="F2463" s="26" t="s">
        <v>414</v>
      </c>
      <c r="G2463" s="381">
        <v>173000</v>
      </c>
      <c r="H2463" s="26">
        <v>5</v>
      </c>
      <c r="I2463" s="26" t="s">
        <v>399</v>
      </c>
      <c r="J2463" s="530">
        <v>432499.99999999994</v>
      </c>
    </row>
    <row r="2464" spans="1:10" ht="38.25">
      <c r="A2464" s="22" t="s">
        <v>376</v>
      </c>
      <c r="B2464" s="56" t="s">
        <v>1672</v>
      </c>
      <c r="C2464" s="26" t="s">
        <v>533</v>
      </c>
      <c r="D2464" s="26">
        <v>1.7</v>
      </c>
      <c r="E2464" s="26">
        <v>6</v>
      </c>
      <c r="F2464" s="26" t="s">
        <v>414</v>
      </c>
      <c r="G2464" s="381">
        <v>1700000</v>
      </c>
      <c r="H2464" s="26">
        <v>5</v>
      </c>
      <c r="I2464" s="26" t="s">
        <v>399</v>
      </c>
      <c r="J2464" s="530">
        <v>4250000</v>
      </c>
    </row>
    <row r="2465" spans="1:10" ht="38.25">
      <c r="A2465" s="22" t="s">
        <v>376</v>
      </c>
      <c r="B2465" s="26" t="s">
        <v>376</v>
      </c>
      <c r="C2465" s="26" t="s">
        <v>534</v>
      </c>
      <c r="D2465" s="26">
        <v>3.6</v>
      </c>
      <c r="E2465" s="26">
        <v>6</v>
      </c>
      <c r="F2465" s="26" t="s">
        <v>414</v>
      </c>
      <c r="G2465" s="381">
        <v>3600000</v>
      </c>
      <c r="H2465" s="26">
        <v>5</v>
      </c>
      <c r="I2465" s="26" t="s">
        <v>399</v>
      </c>
      <c r="J2465" s="530">
        <v>9000000</v>
      </c>
    </row>
    <row r="2466" spans="1:10" ht="38.25">
      <c r="A2466" s="22" t="s">
        <v>376</v>
      </c>
      <c r="B2466" s="56" t="s">
        <v>1693</v>
      </c>
      <c r="C2466" s="26" t="s">
        <v>535</v>
      </c>
      <c r="D2466" s="26">
        <v>5.4</v>
      </c>
      <c r="E2466" s="26">
        <v>6</v>
      </c>
      <c r="F2466" s="26" t="s">
        <v>414</v>
      </c>
      <c r="G2466" s="381">
        <v>5400000</v>
      </c>
      <c r="H2466" s="26">
        <v>5</v>
      </c>
      <c r="I2466" s="26" t="s">
        <v>399</v>
      </c>
      <c r="J2466" s="530">
        <v>13500000</v>
      </c>
    </row>
    <row r="2467" spans="1:10" ht="38.25">
      <c r="A2467" s="22" t="s">
        <v>376</v>
      </c>
      <c r="B2467" s="26" t="s">
        <v>376</v>
      </c>
      <c r="C2467" s="26" t="s">
        <v>536</v>
      </c>
      <c r="D2467" s="26">
        <v>5.49</v>
      </c>
      <c r="E2467" s="26">
        <v>6</v>
      </c>
      <c r="F2467" s="26" t="s">
        <v>414</v>
      </c>
      <c r="G2467" s="381">
        <v>5490000</v>
      </c>
      <c r="H2467" s="26">
        <v>5</v>
      </c>
      <c r="I2467" s="26" t="s">
        <v>399</v>
      </c>
      <c r="J2467" s="530">
        <v>13725000</v>
      </c>
    </row>
    <row r="2468" spans="1:10" ht="38.25">
      <c r="A2468" s="22" t="s">
        <v>376</v>
      </c>
      <c r="B2468" s="26" t="s">
        <v>376</v>
      </c>
      <c r="C2468" s="26" t="s">
        <v>537</v>
      </c>
      <c r="D2468" s="26">
        <v>1.8</v>
      </c>
      <c r="E2468" s="26">
        <v>6</v>
      </c>
      <c r="F2468" s="26" t="s">
        <v>414</v>
      </c>
      <c r="G2468" s="381">
        <v>1800000</v>
      </c>
      <c r="H2468" s="26">
        <v>5</v>
      </c>
      <c r="I2468" s="26" t="s">
        <v>399</v>
      </c>
      <c r="J2468" s="530">
        <v>4500000</v>
      </c>
    </row>
    <row r="2469" spans="1:10" ht="38.25">
      <c r="A2469" s="22" t="s">
        <v>376</v>
      </c>
      <c r="B2469" s="26" t="s">
        <v>376</v>
      </c>
      <c r="C2469" s="26" t="s">
        <v>538</v>
      </c>
      <c r="D2469" s="26">
        <v>0.96199999999999997</v>
      </c>
      <c r="E2469" s="26">
        <v>6</v>
      </c>
      <c r="F2469" s="26" t="s">
        <v>414</v>
      </c>
      <c r="G2469" s="381">
        <v>962000</v>
      </c>
      <c r="H2469" s="26">
        <v>5</v>
      </c>
      <c r="I2469" s="26" t="s">
        <v>399</v>
      </c>
      <c r="J2469" s="530">
        <v>2405000</v>
      </c>
    </row>
    <row r="2470" spans="1:10" ht="38.25">
      <c r="A2470" s="22" t="s">
        <v>376</v>
      </c>
      <c r="B2470" s="57" t="s">
        <v>1694</v>
      </c>
      <c r="C2470" s="26" t="s">
        <v>539</v>
      </c>
      <c r="D2470" s="26">
        <v>0.56000000000000005</v>
      </c>
      <c r="E2470" s="26">
        <v>6</v>
      </c>
      <c r="F2470" s="26" t="s">
        <v>414</v>
      </c>
      <c r="G2470" s="381">
        <v>560000</v>
      </c>
      <c r="H2470" s="26">
        <v>5</v>
      </c>
      <c r="I2470" s="26" t="s">
        <v>399</v>
      </c>
      <c r="J2470" s="530">
        <v>1400000.0000000002</v>
      </c>
    </row>
    <row r="2471" spans="1:10" ht="38.25">
      <c r="A2471" s="22" t="s">
        <v>376</v>
      </c>
      <c r="B2471" s="57" t="s">
        <v>1684</v>
      </c>
      <c r="C2471" s="26" t="s">
        <v>540</v>
      </c>
      <c r="D2471" s="26">
        <v>0.90100000000000002</v>
      </c>
      <c r="E2471" s="26">
        <v>6</v>
      </c>
      <c r="F2471" s="26" t="s">
        <v>414</v>
      </c>
      <c r="G2471" s="381">
        <v>901000</v>
      </c>
      <c r="H2471" s="26">
        <v>5</v>
      </c>
      <c r="I2471" s="26" t="s">
        <v>399</v>
      </c>
      <c r="J2471" s="530">
        <v>2252500</v>
      </c>
    </row>
    <row r="2472" spans="1:10" ht="38.25">
      <c r="A2472" s="22" t="s">
        <v>376</v>
      </c>
      <c r="B2472" s="57" t="s">
        <v>1695</v>
      </c>
      <c r="C2472" s="26" t="s">
        <v>541</v>
      </c>
      <c r="D2472" s="26">
        <v>0.5</v>
      </c>
      <c r="E2472" s="26">
        <v>6</v>
      </c>
      <c r="F2472" s="26" t="s">
        <v>414</v>
      </c>
      <c r="G2472" s="381">
        <v>500000</v>
      </c>
      <c r="H2472" s="26">
        <v>5</v>
      </c>
      <c r="I2472" s="26" t="s">
        <v>399</v>
      </c>
      <c r="J2472" s="530">
        <v>1250000</v>
      </c>
    </row>
    <row r="2473" spans="1:10" ht="38.25">
      <c r="A2473" s="22" t="s">
        <v>376</v>
      </c>
      <c r="B2473" s="57" t="s">
        <v>1695</v>
      </c>
      <c r="C2473" s="26" t="s">
        <v>542</v>
      </c>
      <c r="D2473" s="26">
        <v>6.6</v>
      </c>
      <c r="E2473" s="26">
        <v>6</v>
      </c>
      <c r="F2473" s="26" t="s">
        <v>414</v>
      </c>
      <c r="G2473" s="381">
        <v>6600000</v>
      </c>
      <c r="H2473" s="26">
        <v>5</v>
      </c>
      <c r="I2473" s="26" t="s">
        <v>399</v>
      </c>
      <c r="J2473" s="530">
        <v>16500000</v>
      </c>
    </row>
    <row r="2474" spans="1:10" ht="38.25">
      <c r="A2474" s="22" t="s">
        <v>421</v>
      </c>
      <c r="B2474" s="56" t="s">
        <v>1668</v>
      </c>
      <c r="C2474" s="26" t="s">
        <v>543</v>
      </c>
      <c r="D2474" s="26">
        <v>0.7</v>
      </c>
      <c r="E2474" s="26">
        <v>6</v>
      </c>
      <c r="F2474" s="26" t="s">
        <v>414</v>
      </c>
      <c r="G2474" s="381">
        <v>700000</v>
      </c>
      <c r="H2474" s="26">
        <v>5</v>
      </c>
      <c r="I2474" s="26" t="s">
        <v>399</v>
      </c>
      <c r="J2474" s="530">
        <v>1750000</v>
      </c>
    </row>
    <row r="2475" spans="1:10" ht="38.25">
      <c r="A2475" s="22" t="s">
        <v>371</v>
      </c>
      <c r="B2475" s="56" t="s">
        <v>1696</v>
      </c>
      <c r="C2475" s="26" t="s">
        <v>544</v>
      </c>
      <c r="D2475" s="26">
        <v>3.3</v>
      </c>
      <c r="E2475" s="26">
        <v>6</v>
      </c>
      <c r="F2475" s="26" t="s">
        <v>414</v>
      </c>
      <c r="G2475" s="381">
        <v>3300000</v>
      </c>
      <c r="H2475" s="26">
        <v>5</v>
      </c>
      <c r="I2475" s="26" t="s">
        <v>399</v>
      </c>
      <c r="J2475" s="530">
        <v>8250000</v>
      </c>
    </row>
    <row r="2476" spans="1:10" ht="38.25">
      <c r="A2476" s="22" t="s">
        <v>371</v>
      </c>
      <c r="B2476" s="56" t="s">
        <v>1697</v>
      </c>
      <c r="C2476" s="26" t="s">
        <v>545</v>
      </c>
      <c r="D2476" s="26">
        <v>0.6</v>
      </c>
      <c r="E2476" s="26">
        <v>6</v>
      </c>
      <c r="F2476" s="26" t="s">
        <v>414</v>
      </c>
      <c r="G2476" s="381">
        <v>600000</v>
      </c>
      <c r="H2476" s="26">
        <v>5</v>
      </c>
      <c r="I2476" s="26" t="s">
        <v>399</v>
      </c>
      <c r="J2476" s="530">
        <v>1500000</v>
      </c>
    </row>
    <row r="2477" spans="1:10" ht="38.25">
      <c r="A2477" s="22" t="s">
        <v>371</v>
      </c>
      <c r="B2477" s="56" t="s">
        <v>1691</v>
      </c>
      <c r="C2477" s="26" t="s">
        <v>546</v>
      </c>
      <c r="D2477" s="26">
        <v>2</v>
      </c>
      <c r="E2477" s="26">
        <v>6</v>
      </c>
      <c r="F2477" s="26" t="s">
        <v>414</v>
      </c>
      <c r="G2477" s="381">
        <v>2000000</v>
      </c>
      <c r="H2477" s="26">
        <v>5</v>
      </c>
      <c r="I2477" s="26" t="s">
        <v>399</v>
      </c>
      <c r="J2477" s="530">
        <v>5000000</v>
      </c>
    </row>
    <row r="2478" spans="1:10" ht="38.25">
      <c r="A2478" s="22" t="s">
        <v>371</v>
      </c>
      <c r="B2478" s="56" t="s">
        <v>1691</v>
      </c>
      <c r="C2478" s="26" t="s">
        <v>547</v>
      </c>
      <c r="D2478" s="26">
        <v>1.5</v>
      </c>
      <c r="E2478" s="26">
        <v>6</v>
      </c>
      <c r="F2478" s="26" t="s">
        <v>414</v>
      </c>
      <c r="G2478" s="381">
        <v>1500000</v>
      </c>
      <c r="H2478" s="26">
        <v>5</v>
      </c>
      <c r="I2478" s="26" t="s">
        <v>399</v>
      </c>
      <c r="J2478" s="530">
        <v>3750000</v>
      </c>
    </row>
    <row r="2479" spans="1:10" ht="38.25">
      <c r="A2479" s="22" t="s">
        <v>376</v>
      </c>
      <c r="B2479" s="56" t="s">
        <v>1698</v>
      </c>
      <c r="C2479" s="26" t="s">
        <v>548</v>
      </c>
      <c r="D2479" s="26">
        <v>4</v>
      </c>
      <c r="E2479" s="26">
        <v>6</v>
      </c>
      <c r="F2479" s="26" t="s">
        <v>414</v>
      </c>
      <c r="G2479" s="381">
        <v>4000000</v>
      </c>
      <c r="H2479" s="26">
        <v>5</v>
      </c>
      <c r="I2479" s="26" t="s">
        <v>399</v>
      </c>
      <c r="J2479" s="530">
        <v>10000000</v>
      </c>
    </row>
    <row r="2480" spans="1:10" ht="38.25">
      <c r="A2480" s="22" t="s">
        <v>376</v>
      </c>
      <c r="B2480" s="56" t="s">
        <v>1698</v>
      </c>
      <c r="C2480" s="26" t="s">
        <v>549</v>
      </c>
      <c r="D2480" s="26">
        <v>10.5</v>
      </c>
      <c r="E2480" s="26">
        <v>6</v>
      </c>
      <c r="F2480" s="26" t="s">
        <v>414</v>
      </c>
      <c r="G2480" s="381">
        <v>10500000</v>
      </c>
      <c r="H2480" s="26">
        <v>5</v>
      </c>
      <c r="I2480" s="26" t="s">
        <v>399</v>
      </c>
      <c r="J2480" s="530">
        <v>26250000</v>
      </c>
    </row>
    <row r="2481" spans="1:10" ht="38.25">
      <c r="A2481" s="22" t="s">
        <v>371</v>
      </c>
      <c r="B2481" s="56" t="s">
        <v>1697</v>
      </c>
      <c r="C2481" s="26" t="s">
        <v>550</v>
      </c>
      <c r="D2481" s="26">
        <v>6.3</v>
      </c>
      <c r="E2481" s="26">
        <v>6</v>
      </c>
      <c r="F2481" s="26" t="s">
        <v>414</v>
      </c>
      <c r="G2481" s="381">
        <v>6300000</v>
      </c>
      <c r="H2481" s="26">
        <v>5</v>
      </c>
      <c r="I2481" s="26" t="s">
        <v>399</v>
      </c>
      <c r="J2481" s="530">
        <v>15750000</v>
      </c>
    </row>
    <row r="2482" spans="1:10" ht="38.25">
      <c r="A2482" s="22" t="s">
        <v>371</v>
      </c>
      <c r="B2482" s="56" t="s">
        <v>1653</v>
      </c>
      <c r="C2482" s="26" t="s">
        <v>551</v>
      </c>
      <c r="D2482" s="26">
        <v>3</v>
      </c>
      <c r="E2482" s="26">
        <v>6</v>
      </c>
      <c r="F2482" s="26" t="s">
        <v>414</v>
      </c>
      <c r="G2482" s="381">
        <v>3000000</v>
      </c>
      <c r="H2482" s="26">
        <v>5</v>
      </c>
      <c r="I2482" s="26" t="s">
        <v>399</v>
      </c>
      <c r="J2482" s="530">
        <v>7500000</v>
      </c>
    </row>
    <row r="2483" spans="1:10" ht="38.25">
      <c r="A2483" s="22" t="s">
        <v>376</v>
      </c>
      <c r="B2483" s="56" t="s">
        <v>1673</v>
      </c>
      <c r="C2483" s="26" t="s">
        <v>552</v>
      </c>
      <c r="D2483" s="26">
        <v>2.4</v>
      </c>
      <c r="E2483" s="26">
        <v>6</v>
      </c>
      <c r="F2483" s="26" t="s">
        <v>414</v>
      </c>
      <c r="G2483" s="381">
        <v>2400000</v>
      </c>
      <c r="H2483" s="26">
        <v>5</v>
      </c>
      <c r="I2483" s="26" t="s">
        <v>399</v>
      </c>
      <c r="J2483" s="530">
        <v>6000000</v>
      </c>
    </row>
    <row r="2484" spans="1:10" ht="38.25">
      <c r="A2484" s="22" t="s">
        <v>371</v>
      </c>
      <c r="B2484" s="56" t="s">
        <v>1663</v>
      </c>
      <c r="C2484" s="26" t="s">
        <v>553</v>
      </c>
      <c r="D2484" s="26">
        <v>3.3</v>
      </c>
      <c r="E2484" s="26">
        <v>6</v>
      </c>
      <c r="F2484" s="26" t="s">
        <v>414</v>
      </c>
      <c r="G2484" s="381">
        <v>3300000</v>
      </c>
      <c r="H2484" s="26">
        <v>5</v>
      </c>
      <c r="I2484" s="26" t="s">
        <v>399</v>
      </c>
      <c r="J2484" s="530">
        <v>8250000</v>
      </c>
    </row>
    <row r="2485" spans="1:10" ht="38.25">
      <c r="A2485" s="22" t="s">
        <v>371</v>
      </c>
      <c r="B2485" s="56" t="s">
        <v>1699</v>
      </c>
      <c r="C2485" s="26" t="s">
        <v>554</v>
      </c>
      <c r="D2485" s="26">
        <v>0.8</v>
      </c>
      <c r="E2485" s="26">
        <v>6</v>
      </c>
      <c r="F2485" s="26" t="s">
        <v>414</v>
      </c>
      <c r="G2485" s="381">
        <v>800000</v>
      </c>
      <c r="H2485" s="26">
        <v>5</v>
      </c>
      <c r="I2485" s="26" t="s">
        <v>399</v>
      </c>
      <c r="J2485" s="530">
        <v>2000000</v>
      </c>
    </row>
    <row r="2486" spans="1:10" ht="38.25">
      <c r="A2486" s="22" t="s">
        <v>371</v>
      </c>
      <c r="B2486" s="56" t="s">
        <v>1700</v>
      </c>
      <c r="C2486" s="26" t="s">
        <v>555</v>
      </c>
      <c r="D2486" s="26">
        <v>0.4</v>
      </c>
      <c r="E2486" s="26">
        <v>6</v>
      </c>
      <c r="F2486" s="26" t="s">
        <v>414</v>
      </c>
      <c r="G2486" s="381">
        <v>400000</v>
      </c>
      <c r="H2486" s="26">
        <v>5</v>
      </c>
      <c r="I2486" s="26" t="s">
        <v>399</v>
      </c>
      <c r="J2486" s="530">
        <v>1000000</v>
      </c>
    </row>
    <row r="2487" spans="1:10" ht="38.25">
      <c r="A2487" s="22" t="s">
        <v>371</v>
      </c>
      <c r="B2487" s="26" t="s">
        <v>1671</v>
      </c>
      <c r="C2487" s="26" t="s">
        <v>556</v>
      </c>
      <c r="D2487" s="26">
        <v>0.4</v>
      </c>
      <c r="E2487" s="26">
        <v>6</v>
      </c>
      <c r="F2487" s="26" t="s">
        <v>414</v>
      </c>
      <c r="G2487" s="381">
        <v>400000</v>
      </c>
      <c r="H2487" s="26">
        <v>5</v>
      </c>
      <c r="I2487" s="26" t="s">
        <v>399</v>
      </c>
      <c r="J2487" s="530">
        <v>1000000</v>
      </c>
    </row>
    <row r="2488" spans="1:10" ht="38.25">
      <c r="A2488" s="22" t="s">
        <v>371</v>
      </c>
      <c r="B2488" s="26" t="s">
        <v>1671</v>
      </c>
      <c r="C2488" s="26" t="s">
        <v>557</v>
      </c>
      <c r="D2488" s="26">
        <v>0.4</v>
      </c>
      <c r="E2488" s="26">
        <v>6</v>
      </c>
      <c r="F2488" s="26" t="s">
        <v>414</v>
      </c>
      <c r="G2488" s="381">
        <v>400000</v>
      </c>
      <c r="H2488" s="26">
        <v>5</v>
      </c>
      <c r="I2488" s="26" t="s">
        <v>399</v>
      </c>
      <c r="J2488" s="530">
        <v>1000000</v>
      </c>
    </row>
    <row r="2489" spans="1:10" ht="38.25">
      <c r="A2489" s="22" t="s">
        <v>376</v>
      </c>
      <c r="B2489" s="26" t="s">
        <v>1701</v>
      </c>
      <c r="C2489" s="26" t="s">
        <v>558</v>
      </c>
      <c r="D2489" s="26">
        <v>0.5</v>
      </c>
      <c r="E2489" s="26">
        <v>6</v>
      </c>
      <c r="F2489" s="26" t="s">
        <v>414</v>
      </c>
      <c r="G2489" s="381">
        <v>500000</v>
      </c>
      <c r="H2489" s="26">
        <v>5</v>
      </c>
      <c r="I2489" s="26" t="s">
        <v>399</v>
      </c>
      <c r="J2489" s="530">
        <v>1250000</v>
      </c>
    </row>
    <row r="2490" spans="1:10" ht="38.25">
      <c r="A2490" s="22" t="s">
        <v>371</v>
      </c>
      <c r="B2490" s="26" t="s">
        <v>1127</v>
      </c>
      <c r="C2490" s="26" t="s">
        <v>559</v>
      </c>
      <c r="D2490" s="26">
        <v>1</v>
      </c>
      <c r="E2490" s="26">
        <v>6</v>
      </c>
      <c r="F2490" s="26" t="s">
        <v>414</v>
      </c>
      <c r="G2490" s="381">
        <v>1000000</v>
      </c>
      <c r="H2490" s="26">
        <v>5</v>
      </c>
      <c r="I2490" s="26" t="s">
        <v>399</v>
      </c>
      <c r="J2490" s="530">
        <v>2500000</v>
      </c>
    </row>
    <row r="2491" spans="1:10" ht="45">
      <c r="A2491" s="22" t="s">
        <v>23713</v>
      </c>
      <c r="B2491" s="26" t="s">
        <v>23713</v>
      </c>
      <c r="C2491" s="569" t="s">
        <v>23973</v>
      </c>
      <c r="D2491" s="569">
        <v>14.11</v>
      </c>
      <c r="E2491" s="569">
        <v>8</v>
      </c>
      <c r="F2491" s="569" t="s">
        <v>23974</v>
      </c>
      <c r="G2491" s="73">
        <v>0</v>
      </c>
      <c r="H2491" s="569">
        <v>0</v>
      </c>
      <c r="I2491" s="569" t="s">
        <v>23975</v>
      </c>
      <c r="J2491" s="531">
        <v>12200000</v>
      </c>
    </row>
    <row r="2492" spans="1:10" ht="56.25">
      <c r="A2492" s="22" t="s">
        <v>388</v>
      </c>
      <c r="B2492" s="26">
        <v>0</v>
      </c>
      <c r="C2492" s="569" t="s">
        <v>23976</v>
      </c>
      <c r="D2492" s="569">
        <v>14.11</v>
      </c>
      <c r="E2492" s="569">
        <v>0</v>
      </c>
      <c r="F2492" s="569" t="s">
        <v>23977</v>
      </c>
      <c r="G2492" s="73">
        <v>400000000</v>
      </c>
      <c r="H2492" s="569">
        <v>0</v>
      </c>
      <c r="I2492" s="569" t="s">
        <v>23978</v>
      </c>
      <c r="J2492" s="531">
        <v>0</v>
      </c>
    </row>
    <row r="2493" spans="1:10">
      <c r="A2493" s="22" t="s">
        <v>388</v>
      </c>
      <c r="B2493" s="26">
        <v>0</v>
      </c>
      <c r="C2493" s="569" t="s">
        <v>23979</v>
      </c>
      <c r="D2493" s="569">
        <v>2.4950000000000001</v>
      </c>
      <c r="E2493" s="569">
        <v>0</v>
      </c>
      <c r="F2493" s="569" t="s">
        <v>23929</v>
      </c>
      <c r="G2493" s="73">
        <v>0</v>
      </c>
      <c r="H2493" s="569">
        <v>0</v>
      </c>
      <c r="I2493" s="569" t="s">
        <v>23930</v>
      </c>
      <c r="J2493" s="531">
        <v>0</v>
      </c>
    </row>
    <row r="2494" spans="1:10">
      <c r="A2494" s="22" t="s">
        <v>388</v>
      </c>
      <c r="B2494" s="26">
        <v>0</v>
      </c>
      <c r="C2494" s="569" t="s">
        <v>23980</v>
      </c>
      <c r="D2494" s="569">
        <v>8.6549999999999994</v>
      </c>
      <c r="E2494" s="569">
        <v>0</v>
      </c>
      <c r="F2494" s="569" t="s">
        <v>23929</v>
      </c>
      <c r="G2494" s="73">
        <v>0</v>
      </c>
      <c r="H2494" s="569">
        <v>0</v>
      </c>
      <c r="I2494" s="569" t="s">
        <v>23930</v>
      </c>
      <c r="J2494" s="531">
        <v>0</v>
      </c>
    </row>
    <row r="2495" spans="1:10">
      <c r="A2495" s="22" t="s">
        <v>388</v>
      </c>
      <c r="B2495" s="26">
        <v>0</v>
      </c>
      <c r="C2495" s="569" t="s">
        <v>23981</v>
      </c>
      <c r="D2495" s="569">
        <v>4.4349999999999996</v>
      </c>
      <c r="E2495" s="569">
        <v>0</v>
      </c>
      <c r="F2495" s="569" t="s">
        <v>23929</v>
      </c>
      <c r="G2495" s="73">
        <v>0</v>
      </c>
      <c r="H2495" s="569">
        <v>0</v>
      </c>
      <c r="I2495" s="569" t="s">
        <v>23930</v>
      </c>
      <c r="J2495" s="531">
        <v>0</v>
      </c>
    </row>
    <row r="2496" spans="1:10" ht="22.5">
      <c r="A2496" s="22" t="s">
        <v>4411</v>
      </c>
      <c r="B2496" s="26">
        <v>0</v>
      </c>
      <c r="C2496" s="569" t="s">
        <v>23982</v>
      </c>
      <c r="D2496" s="569">
        <v>22.594999999999999</v>
      </c>
      <c r="E2496" s="569">
        <v>0</v>
      </c>
      <c r="F2496" s="569">
        <v>0</v>
      </c>
      <c r="G2496" s="73">
        <v>160000000</v>
      </c>
      <c r="H2496" s="569">
        <v>0</v>
      </c>
      <c r="I2496" s="569" t="s">
        <v>23935</v>
      </c>
      <c r="J2496" s="531">
        <v>0</v>
      </c>
    </row>
    <row r="2497" spans="1:10" ht="33.75">
      <c r="A2497" s="22" t="s">
        <v>388</v>
      </c>
      <c r="B2497" s="26">
        <v>0</v>
      </c>
      <c r="C2497" s="569" t="s">
        <v>23983</v>
      </c>
      <c r="D2497" s="569">
        <v>13.565</v>
      </c>
      <c r="E2497" s="569">
        <v>0</v>
      </c>
      <c r="F2497" s="569">
        <v>0</v>
      </c>
      <c r="G2497" s="73">
        <v>80000000</v>
      </c>
      <c r="H2497" s="569">
        <v>0</v>
      </c>
      <c r="I2497" s="569" t="s">
        <v>23933</v>
      </c>
      <c r="J2497" s="531">
        <v>0</v>
      </c>
    </row>
    <row r="2498" spans="1:10" ht="33.75">
      <c r="A2498" s="22" t="s">
        <v>388</v>
      </c>
      <c r="B2498" s="26">
        <v>0</v>
      </c>
      <c r="C2498" s="569" t="s">
        <v>23984</v>
      </c>
      <c r="D2498" s="569">
        <v>7.0149999999999997</v>
      </c>
      <c r="E2498" s="569">
        <v>0</v>
      </c>
      <c r="F2498" s="569">
        <v>0</v>
      </c>
      <c r="G2498" s="73">
        <v>10000000</v>
      </c>
      <c r="H2498" s="569">
        <v>0</v>
      </c>
      <c r="I2498" s="569" t="s">
        <v>23933</v>
      </c>
      <c r="J2498" s="531">
        <v>0</v>
      </c>
    </row>
    <row r="2499" spans="1:10" ht="22.5">
      <c r="A2499" s="22" t="s">
        <v>4411</v>
      </c>
      <c r="B2499" s="26">
        <v>0</v>
      </c>
      <c r="C2499" s="569" t="s">
        <v>23985</v>
      </c>
      <c r="D2499" s="569">
        <v>7.085</v>
      </c>
      <c r="E2499" s="569">
        <v>0</v>
      </c>
      <c r="F2499" s="569">
        <v>0</v>
      </c>
      <c r="G2499" s="73">
        <v>20000000</v>
      </c>
      <c r="H2499" s="569">
        <v>0</v>
      </c>
      <c r="I2499" s="569" t="s">
        <v>23935</v>
      </c>
      <c r="J2499" s="531">
        <v>0</v>
      </c>
    </row>
    <row r="2500" spans="1:10" ht="22.5">
      <c r="A2500" s="22" t="s">
        <v>4411</v>
      </c>
      <c r="B2500" s="26">
        <v>0</v>
      </c>
      <c r="C2500" s="569" t="s">
        <v>23986</v>
      </c>
      <c r="D2500" s="569">
        <v>8.0749999999999993</v>
      </c>
      <c r="E2500" s="569">
        <v>0</v>
      </c>
      <c r="F2500" s="569">
        <v>0</v>
      </c>
      <c r="G2500" s="73">
        <v>20000000</v>
      </c>
      <c r="H2500" s="569">
        <v>0</v>
      </c>
      <c r="I2500" s="569" t="s">
        <v>23935</v>
      </c>
      <c r="J2500" s="531">
        <v>0</v>
      </c>
    </row>
    <row r="2501" spans="1:10" ht="22.5">
      <c r="A2501" s="22" t="s">
        <v>388</v>
      </c>
      <c r="B2501" s="26">
        <v>0</v>
      </c>
      <c r="C2501" s="569" t="s">
        <v>23987</v>
      </c>
      <c r="D2501" s="569">
        <v>11.55</v>
      </c>
      <c r="E2501" s="569">
        <v>0</v>
      </c>
      <c r="F2501" s="569" t="s">
        <v>23988</v>
      </c>
      <c r="G2501" s="73">
        <v>0</v>
      </c>
      <c r="H2501" s="569">
        <v>0</v>
      </c>
      <c r="I2501" s="569" t="s">
        <v>23935</v>
      </c>
      <c r="J2501" s="531">
        <v>0</v>
      </c>
    </row>
    <row r="2502" spans="1:10" ht="22.5">
      <c r="A2502" s="22" t="s">
        <v>388</v>
      </c>
      <c r="B2502" s="26">
        <v>0</v>
      </c>
      <c r="C2502" s="569" t="s">
        <v>23989</v>
      </c>
      <c r="D2502" s="569">
        <v>4.4050000000000002</v>
      </c>
      <c r="E2502" s="569">
        <v>0</v>
      </c>
      <c r="F2502" s="569" t="s">
        <v>23988</v>
      </c>
      <c r="G2502" s="73">
        <v>0</v>
      </c>
      <c r="H2502" s="569">
        <v>0</v>
      </c>
      <c r="I2502" s="569" t="s">
        <v>23935</v>
      </c>
      <c r="J2502" s="531">
        <v>0</v>
      </c>
    </row>
    <row r="2503" spans="1:10" ht="22.5">
      <c r="A2503" s="22" t="s">
        <v>4411</v>
      </c>
      <c r="B2503" s="26">
        <v>0</v>
      </c>
      <c r="C2503" s="569" t="s">
        <v>23982</v>
      </c>
      <c r="D2503" s="569">
        <v>22.594999999999999</v>
      </c>
      <c r="E2503" s="569">
        <v>0</v>
      </c>
      <c r="F2503" s="569">
        <v>0</v>
      </c>
      <c r="G2503" s="73">
        <v>90000000</v>
      </c>
      <c r="H2503" s="569">
        <v>0</v>
      </c>
      <c r="I2503" s="569" t="s">
        <v>23935</v>
      </c>
      <c r="J2503" s="531">
        <v>0</v>
      </c>
    </row>
    <row r="2504" spans="1:10" ht="22.5">
      <c r="A2504" s="22" t="s">
        <v>4411</v>
      </c>
      <c r="B2504" s="26">
        <v>0</v>
      </c>
      <c r="C2504" s="569" t="s">
        <v>23990</v>
      </c>
      <c r="D2504" s="569">
        <v>6.82</v>
      </c>
      <c r="E2504" s="569">
        <v>0</v>
      </c>
      <c r="F2504" s="569">
        <v>0</v>
      </c>
      <c r="G2504" s="73">
        <v>70000000</v>
      </c>
      <c r="H2504" s="569">
        <v>0</v>
      </c>
      <c r="I2504" s="569" t="s">
        <v>23935</v>
      </c>
      <c r="J2504" s="531">
        <v>0</v>
      </c>
    </row>
    <row r="2505" spans="1:10" ht="22.5">
      <c r="A2505" s="22" t="s">
        <v>9254</v>
      </c>
      <c r="B2505" s="26">
        <v>0</v>
      </c>
      <c r="C2505" s="569" t="s">
        <v>23991</v>
      </c>
      <c r="D2505" s="569">
        <v>0.59</v>
      </c>
      <c r="E2505" s="569">
        <v>0</v>
      </c>
      <c r="F2505" s="569">
        <v>0</v>
      </c>
      <c r="G2505" s="73">
        <v>40000000</v>
      </c>
      <c r="H2505" s="569">
        <v>0</v>
      </c>
      <c r="I2505" s="569" t="s">
        <v>23935</v>
      </c>
      <c r="J2505" s="531">
        <v>0</v>
      </c>
    </row>
    <row r="2506" spans="1:10" ht="22.5">
      <c r="A2506" s="22" t="s">
        <v>9254</v>
      </c>
      <c r="B2506" s="26">
        <v>0</v>
      </c>
      <c r="C2506" s="569" t="s">
        <v>23992</v>
      </c>
      <c r="D2506" s="569">
        <v>0.53500000000000003</v>
      </c>
      <c r="E2506" s="569">
        <v>0</v>
      </c>
      <c r="F2506" s="569">
        <v>0</v>
      </c>
      <c r="G2506" s="73">
        <v>30000000</v>
      </c>
      <c r="H2506" s="569">
        <v>0</v>
      </c>
      <c r="I2506" s="569" t="s">
        <v>23935</v>
      </c>
      <c r="J2506" s="531">
        <v>0</v>
      </c>
    </row>
    <row r="2507" spans="1:10">
      <c r="A2507" s="22" t="s">
        <v>4411</v>
      </c>
      <c r="B2507" s="26">
        <v>0</v>
      </c>
      <c r="C2507" s="569" t="s">
        <v>23993</v>
      </c>
      <c r="D2507" s="569">
        <v>2.38</v>
      </c>
      <c r="E2507" s="569">
        <v>0</v>
      </c>
      <c r="F2507" s="569">
        <v>0</v>
      </c>
      <c r="G2507" s="73">
        <v>200000000</v>
      </c>
      <c r="H2507" s="569">
        <v>0</v>
      </c>
      <c r="I2507" s="569" t="s">
        <v>23994</v>
      </c>
      <c r="J2507" s="531">
        <v>0</v>
      </c>
    </row>
    <row r="2508" spans="1:10" ht="15.75">
      <c r="A2508" s="1013" t="s">
        <v>189</v>
      </c>
      <c r="B2508" s="1014"/>
      <c r="C2508" s="1014"/>
      <c r="D2508" s="1014"/>
      <c r="E2508" s="1014"/>
      <c r="F2508" s="1014"/>
      <c r="G2508" s="550">
        <f>SUM(G2329:G2507)</f>
        <v>1980717400</v>
      </c>
      <c r="H2508" s="564"/>
      <c r="I2508" s="564"/>
      <c r="J2508" s="626">
        <f>SUM(J2329:J2507)</f>
        <v>2102268500</v>
      </c>
    </row>
    <row r="2509" spans="1:10" ht="15.75">
      <c r="A2509" s="1013" t="s">
        <v>1706</v>
      </c>
      <c r="B2509" s="1014"/>
      <c r="C2509" s="1014"/>
      <c r="D2509" s="1014"/>
      <c r="E2509" s="1014"/>
      <c r="F2509" s="1014"/>
      <c r="G2509" s="1014"/>
      <c r="H2509" s="1014"/>
      <c r="I2509" s="1014"/>
      <c r="J2509" s="1015"/>
    </row>
    <row r="2510" spans="1:10" ht="78.75">
      <c r="A2510" s="27" t="s">
        <v>81</v>
      </c>
      <c r="B2510" s="300" t="s">
        <v>355</v>
      </c>
      <c r="C2510" s="569" t="s">
        <v>356</v>
      </c>
      <c r="D2510" s="569">
        <v>5.3</v>
      </c>
      <c r="E2510" s="569">
        <v>5</v>
      </c>
      <c r="F2510" s="569" t="s">
        <v>357</v>
      </c>
      <c r="G2510" s="73">
        <v>45050000</v>
      </c>
      <c r="H2510" s="569">
        <v>1</v>
      </c>
      <c r="I2510" s="569" t="s">
        <v>358</v>
      </c>
      <c r="J2510" s="531">
        <v>82150000</v>
      </c>
    </row>
    <row r="2511" spans="1:10" ht="22.5">
      <c r="A2511" s="22">
        <v>10</v>
      </c>
      <c r="B2511" s="26" t="s">
        <v>1266</v>
      </c>
      <c r="C2511" s="569" t="s">
        <v>23936</v>
      </c>
      <c r="D2511" s="569">
        <v>8.3650000000000002</v>
      </c>
      <c r="E2511" s="569">
        <v>6</v>
      </c>
      <c r="F2511" s="569" t="s">
        <v>6064</v>
      </c>
      <c r="G2511" s="73">
        <v>0</v>
      </c>
      <c r="H2511" s="569">
        <v>1</v>
      </c>
      <c r="I2511" s="569" t="s">
        <v>23937</v>
      </c>
      <c r="J2511" s="531">
        <v>30000000</v>
      </c>
    </row>
    <row r="2512" spans="1:10" ht="33.75">
      <c r="A2512" s="22">
        <v>10</v>
      </c>
      <c r="B2512" s="26" t="s">
        <v>23938</v>
      </c>
      <c r="C2512" s="569" t="s">
        <v>23939</v>
      </c>
      <c r="D2512" s="569">
        <v>6.65</v>
      </c>
      <c r="E2512" s="569">
        <v>4</v>
      </c>
      <c r="F2512" s="569" t="s">
        <v>23940</v>
      </c>
      <c r="G2512" s="73">
        <v>0</v>
      </c>
      <c r="H2512" s="569">
        <v>1</v>
      </c>
      <c r="I2512" s="569" t="s">
        <v>23941</v>
      </c>
      <c r="J2512" s="531">
        <v>121502940.81999999</v>
      </c>
    </row>
    <row r="2513" spans="1:10" ht="15.75">
      <c r="A2513" s="1013" t="s">
        <v>189</v>
      </c>
      <c r="B2513" s="1014"/>
      <c r="C2513" s="1014"/>
      <c r="D2513" s="1014"/>
      <c r="E2513" s="1014"/>
      <c r="F2513" s="1014"/>
      <c r="G2513" s="550">
        <f>SUM(G2510:G2512)</f>
        <v>45050000</v>
      </c>
      <c r="H2513" s="564"/>
      <c r="I2513" s="564"/>
      <c r="J2513" s="626">
        <f>SUM(J2510:J2512)</f>
        <v>233652940.81999999</v>
      </c>
    </row>
    <row r="2514" spans="1:10" ht="15.75">
      <c r="A2514" s="1013" t="s">
        <v>265</v>
      </c>
      <c r="B2514" s="1014"/>
      <c r="C2514" s="1014"/>
      <c r="D2514" s="1014"/>
      <c r="E2514" s="1014"/>
      <c r="F2514" s="1014"/>
      <c r="G2514" s="1014"/>
      <c r="H2514" s="1014"/>
      <c r="I2514" s="1014"/>
      <c r="J2514" s="1015"/>
    </row>
    <row r="2515" spans="1:10" ht="45">
      <c r="A2515" s="27" t="s">
        <v>266</v>
      </c>
      <c r="B2515" s="300" t="s">
        <v>267</v>
      </c>
      <c r="C2515" s="569" t="s">
        <v>268</v>
      </c>
      <c r="D2515" s="569">
        <v>13</v>
      </c>
      <c r="E2515" s="569">
        <v>5</v>
      </c>
      <c r="F2515" s="569" t="s">
        <v>269</v>
      </c>
      <c r="G2515" s="73">
        <v>80000000</v>
      </c>
      <c r="H2515" s="569" t="s">
        <v>270</v>
      </c>
      <c r="I2515" s="569" t="s">
        <v>271</v>
      </c>
      <c r="J2515" s="531">
        <v>125000000</v>
      </c>
    </row>
    <row r="2516" spans="1:10" ht="45">
      <c r="A2516" s="27" t="s">
        <v>266</v>
      </c>
      <c r="B2516" s="300" t="s">
        <v>272</v>
      </c>
      <c r="C2516" s="569" t="s">
        <v>273</v>
      </c>
      <c r="D2516" s="569">
        <v>4</v>
      </c>
      <c r="E2516" s="569">
        <v>6</v>
      </c>
      <c r="F2516" s="569" t="s">
        <v>269</v>
      </c>
      <c r="G2516" s="73">
        <v>125000000</v>
      </c>
      <c r="H2516" s="569" t="s">
        <v>270</v>
      </c>
      <c r="I2516" s="569" t="s">
        <v>271</v>
      </c>
      <c r="J2516" s="531">
        <v>125000000</v>
      </c>
    </row>
    <row r="2517" spans="1:10" ht="45">
      <c r="A2517" s="27" t="s">
        <v>266</v>
      </c>
      <c r="B2517" s="300" t="s">
        <v>274</v>
      </c>
      <c r="C2517" s="569" t="s">
        <v>275</v>
      </c>
      <c r="D2517" s="569">
        <v>5</v>
      </c>
      <c r="E2517" s="569">
        <v>4</v>
      </c>
      <c r="F2517" s="569" t="s">
        <v>269</v>
      </c>
      <c r="G2517" s="73">
        <v>25000000</v>
      </c>
      <c r="H2517" s="569" t="s">
        <v>270</v>
      </c>
      <c r="I2517" s="569" t="s">
        <v>271</v>
      </c>
      <c r="J2517" s="531">
        <v>50000000</v>
      </c>
    </row>
    <row r="2518" spans="1:10" ht="45">
      <c r="A2518" s="27" t="s">
        <v>276</v>
      </c>
      <c r="B2518" s="300" t="s">
        <v>277</v>
      </c>
      <c r="C2518" s="569" t="s">
        <v>278</v>
      </c>
      <c r="D2518" s="569">
        <v>8</v>
      </c>
      <c r="E2518" s="569">
        <v>7</v>
      </c>
      <c r="F2518" s="569" t="s">
        <v>269</v>
      </c>
      <c r="G2518" s="73">
        <v>120000000</v>
      </c>
      <c r="H2518" s="569" t="s">
        <v>270</v>
      </c>
      <c r="I2518" s="569" t="s">
        <v>271</v>
      </c>
      <c r="J2518" s="531">
        <v>125000000</v>
      </c>
    </row>
    <row r="2519" spans="1:10">
      <c r="A2519" s="27" t="s">
        <v>276</v>
      </c>
      <c r="B2519" s="300" t="s">
        <v>279</v>
      </c>
      <c r="C2519" s="569" t="s">
        <v>280</v>
      </c>
      <c r="D2519" s="569">
        <v>9</v>
      </c>
      <c r="E2519" s="569">
        <v>5</v>
      </c>
      <c r="F2519" s="569" t="s">
        <v>281</v>
      </c>
      <c r="G2519" s="73">
        <v>15000000</v>
      </c>
      <c r="H2519" s="569" t="s">
        <v>270</v>
      </c>
      <c r="I2519" s="569" t="s">
        <v>282</v>
      </c>
      <c r="J2519" s="531">
        <v>25000000</v>
      </c>
    </row>
    <row r="2520" spans="1:10" ht="45">
      <c r="A2520" s="27" t="s">
        <v>283</v>
      </c>
      <c r="B2520" s="300" t="s">
        <v>284</v>
      </c>
      <c r="C2520" s="569" t="s">
        <v>285</v>
      </c>
      <c r="D2520" s="569">
        <v>5.5</v>
      </c>
      <c r="E2520" s="569">
        <v>5</v>
      </c>
      <c r="F2520" s="569" t="s">
        <v>269</v>
      </c>
      <c r="G2520" s="73">
        <v>50000000</v>
      </c>
      <c r="H2520" s="569" t="s">
        <v>270</v>
      </c>
      <c r="I2520" s="569" t="s">
        <v>271</v>
      </c>
      <c r="J2520" s="531">
        <v>45000000</v>
      </c>
    </row>
    <row r="2521" spans="1:10" ht="33.75">
      <c r="A2521" s="27" t="s">
        <v>276</v>
      </c>
      <c r="B2521" s="300" t="s">
        <v>286</v>
      </c>
      <c r="C2521" s="569" t="s">
        <v>287</v>
      </c>
      <c r="D2521" s="569">
        <v>6</v>
      </c>
      <c r="E2521" s="569">
        <v>5</v>
      </c>
      <c r="F2521" s="569" t="s">
        <v>288</v>
      </c>
      <c r="G2521" s="73">
        <v>8000000</v>
      </c>
      <c r="H2521" s="569" t="s">
        <v>270</v>
      </c>
      <c r="I2521" s="569" t="s">
        <v>282</v>
      </c>
      <c r="J2521" s="531">
        <v>22000000</v>
      </c>
    </row>
    <row r="2522" spans="1:10" ht="33.75">
      <c r="A2522" s="27" t="s">
        <v>283</v>
      </c>
      <c r="B2522" s="300" t="s">
        <v>289</v>
      </c>
      <c r="C2522" s="26" t="s">
        <v>290</v>
      </c>
      <c r="D2522" s="569">
        <v>5</v>
      </c>
      <c r="E2522" s="569">
        <v>4</v>
      </c>
      <c r="F2522" s="569" t="s">
        <v>288</v>
      </c>
      <c r="G2522" s="73">
        <v>18000000</v>
      </c>
      <c r="H2522" s="569" t="s">
        <v>270</v>
      </c>
      <c r="I2522" s="569" t="s">
        <v>282</v>
      </c>
      <c r="J2522" s="531">
        <v>25000000</v>
      </c>
    </row>
    <row r="2523" spans="1:10" ht="33.75">
      <c r="A2523" s="27" t="s">
        <v>291</v>
      </c>
      <c r="B2523" s="300" t="s">
        <v>292</v>
      </c>
      <c r="C2523" s="26" t="s">
        <v>293</v>
      </c>
      <c r="D2523" s="569">
        <v>2</v>
      </c>
      <c r="E2523" s="569">
        <v>5</v>
      </c>
      <c r="F2523" s="569" t="s">
        <v>288</v>
      </c>
      <c r="G2523" s="73">
        <v>3000000</v>
      </c>
      <c r="H2523" s="569" t="s">
        <v>270</v>
      </c>
      <c r="I2523" s="569" t="s">
        <v>282</v>
      </c>
      <c r="J2523" s="531">
        <v>8000000</v>
      </c>
    </row>
    <row r="2524" spans="1:10" ht="33.75">
      <c r="A2524" s="27" t="s">
        <v>291</v>
      </c>
      <c r="B2524" s="300" t="s">
        <v>294</v>
      </c>
      <c r="C2524" s="49" t="s">
        <v>295</v>
      </c>
      <c r="D2524" s="569">
        <v>3</v>
      </c>
      <c r="E2524" s="569">
        <v>5</v>
      </c>
      <c r="F2524" s="569" t="s">
        <v>288</v>
      </c>
      <c r="G2524" s="73">
        <v>8000000</v>
      </c>
      <c r="H2524" s="569" t="s">
        <v>270</v>
      </c>
      <c r="I2524" s="569" t="s">
        <v>282</v>
      </c>
      <c r="J2524" s="531">
        <v>15000000</v>
      </c>
    </row>
    <row r="2525" spans="1:10" ht="33.75">
      <c r="A2525" s="27" t="s">
        <v>291</v>
      </c>
      <c r="B2525" s="300" t="s">
        <v>296</v>
      </c>
      <c r="C2525" s="49" t="s">
        <v>297</v>
      </c>
      <c r="D2525" s="569">
        <v>2</v>
      </c>
      <c r="E2525" s="569">
        <v>4</v>
      </c>
      <c r="F2525" s="569" t="s">
        <v>288</v>
      </c>
      <c r="G2525" s="73">
        <v>6000000</v>
      </c>
      <c r="H2525" s="569" t="s">
        <v>270</v>
      </c>
      <c r="I2525" s="569" t="s">
        <v>282</v>
      </c>
      <c r="J2525" s="531">
        <v>16000000</v>
      </c>
    </row>
    <row r="2526" spans="1:10" ht="33.75">
      <c r="A2526" s="27" t="s">
        <v>291</v>
      </c>
      <c r="B2526" s="300" t="s">
        <v>298</v>
      </c>
      <c r="C2526" s="49" t="s">
        <v>299</v>
      </c>
      <c r="D2526" s="569">
        <v>2.2999999999999998</v>
      </c>
      <c r="E2526" s="569">
        <v>4</v>
      </c>
      <c r="F2526" s="569" t="s">
        <v>288</v>
      </c>
      <c r="G2526" s="73">
        <v>5500000</v>
      </c>
      <c r="H2526" s="569" t="s">
        <v>270</v>
      </c>
      <c r="I2526" s="569" t="s">
        <v>282</v>
      </c>
      <c r="J2526" s="531">
        <v>10000000</v>
      </c>
    </row>
    <row r="2527" spans="1:10" ht="33.75">
      <c r="A2527" s="27" t="s">
        <v>291</v>
      </c>
      <c r="B2527" s="300" t="s">
        <v>300</v>
      </c>
      <c r="C2527" s="569" t="s">
        <v>301</v>
      </c>
      <c r="D2527" s="569">
        <v>3</v>
      </c>
      <c r="E2527" s="569">
        <v>5</v>
      </c>
      <c r="F2527" s="569" t="s">
        <v>288</v>
      </c>
      <c r="G2527" s="73">
        <v>5800000</v>
      </c>
      <c r="H2527" s="569" t="s">
        <v>270</v>
      </c>
      <c r="I2527" s="569" t="s">
        <v>282</v>
      </c>
      <c r="J2527" s="531">
        <v>12000000</v>
      </c>
    </row>
    <row r="2528" spans="1:10" ht="33.75">
      <c r="A2528" s="27" t="s">
        <v>276</v>
      </c>
      <c r="B2528" s="300" t="s">
        <v>302</v>
      </c>
      <c r="C2528" s="569" t="s">
        <v>303</v>
      </c>
      <c r="D2528" s="569">
        <v>2</v>
      </c>
      <c r="E2528" s="569">
        <v>5</v>
      </c>
      <c r="F2528" s="569" t="s">
        <v>288</v>
      </c>
      <c r="G2528" s="73">
        <v>3000000</v>
      </c>
      <c r="H2528" s="569" t="s">
        <v>270</v>
      </c>
      <c r="I2528" s="569" t="s">
        <v>282</v>
      </c>
      <c r="J2528" s="531">
        <v>6000000</v>
      </c>
    </row>
    <row r="2529" spans="1:10" ht="25.5">
      <c r="A2529" s="27" t="s">
        <v>304</v>
      </c>
      <c r="B2529" s="300" t="s">
        <v>305</v>
      </c>
      <c r="C2529" s="569" t="s">
        <v>306</v>
      </c>
      <c r="D2529" s="569">
        <v>12</v>
      </c>
      <c r="E2529" s="569">
        <v>6</v>
      </c>
      <c r="F2529" s="569" t="s">
        <v>307</v>
      </c>
      <c r="G2529" s="73">
        <v>5000000</v>
      </c>
      <c r="H2529" s="569" t="s">
        <v>270</v>
      </c>
      <c r="I2529" s="569" t="s">
        <v>282</v>
      </c>
      <c r="J2529" s="531">
        <v>25000000</v>
      </c>
    </row>
    <row r="2530" spans="1:10" ht="45">
      <c r="A2530" s="27" t="s">
        <v>304</v>
      </c>
      <c r="B2530" s="300" t="s">
        <v>291</v>
      </c>
      <c r="C2530" s="569" t="s">
        <v>308</v>
      </c>
      <c r="D2530" s="569">
        <v>13</v>
      </c>
      <c r="E2530" s="569">
        <v>6</v>
      </c>
      <c r="F2530" s="569" t="s">
        <v>269</v>
      </c>
      <c r="G2530" s="73">
        <v>8000000</v>
      </c>
      <c r="H2530" s="569" t="s">
        <v>270</v>
      </c>
      <c r="I2530" s="569" t="s">
        <v>282</v>
      </c>
      <c r="J2530" s="531">
        <v>32000000</v>
      </c>
    </row>
    <row r="2531" spans="1:10" ht="33.75">
      <c r="A2531" s="27" t="s">
        <v>291</v>
      </c>
      <c r="B2531" s="300" t="s">
        <v>309</v>
      </c>
      <c r="C2531" s="49" t="s">
        <v>310</v>
      </c>
      <c r="D2531" s="569">
        <v>6</v>
      </c>
      <c r="E2531" s="569">
        <v>5</v>
      </c>
      <c r="F2531" s="569" t="s">
        <v>311</v>
      </c>
      <c r="G2531" s="73">
        <v>5000000</v>
      </c>
      <c r="H2531" s="569" t="s">
        <v>270</v>
      </c>
      <c r="I2531" s="569" t="s">
        <v>282</v>
      </c>
      <c r="J2531" s="531">
        <v>18000000</v>
      </c>
    </row>
    <row r="2532" spans="1:10" ht="33.75">
      <c r="A2532" s="27" t="s">
        <v>283</v>
      </c>
      <c r="B2532" s="300" t="s">
        <v>312</v>
      </c>
      <c r="C2532" s="49" t="s">
        <v>313</v>
      </c>
      <c r="D2532" s="569">
        <v>5</v>
      </c>
      <c r="E2532" s="569">
        <v>4</v>
      </c>
      <c r="F2532" s="569" t="s">
        <v>311</v>
      </c>
      <c r="G2532" s="73">
        <v>6000000</v>
      </c>
      <c r="H2532" s="569" t="s">
        <v>270</v>
      </c>
      <c r="I2532" s="569" t="s">
        <v>282</v>
      </c>
      <c r="J2532" s="531">
        <v>12000000</v>
      </c>
    </row>
    <row r="2533" spans="1:10" ht="45">
      <c r="A2533" s="27" t="s">
        <v>283</v>
      </c>
      <c r="B2533" s="300" t="s">
        <v>314</v>
      </c>
      <c r="C2533" s="26" t="s">
        <v>315</v>
      </c>
      <c r="D2533" s="569">
        <v>10</v>
      </c>
      <c r="E2533" s="569">
        <v>6</v>
      </c>
      <c r="F2533" s="569" t="s">
        <v>269</v>
      </c>
      <c r="G2533" s="73">
        <v>15000000</v>
      </c>
      <c r="H2533" s="569" t="s">
        <v>270</v>
      </c>
      <c r="I2533" s="569" t="s">
        <v>282</v>
      </c>
      <c r="J2533" s="531">
        <v>30000000</v>
      </c>
    </row>
    <row r="2534" spans="1:10" ht="22.5">
      <c r="A2534" s="27" t="s">
        <v>266</v>
      </c>
      <c r="B2534" s="300" t="s">
        <v>316</v>
      </c>
      <c r="C2534" s="26" t="s">
        <v>317</v>
      </c>
      <c r="D2534" s="569">
        <v>15</v>
      </c>
      <c r="E2534" s="569">
        <v>5</v>
      </c>
      <c r="F2534" s="569" t="s">
        <v>318</v>
      </c>
      <c r="G2534" s="73">
        <v>18000000</v>
      </c>
      <c r="H2534" s="569" t="s">
        <v>270</v>
      </c>
      <c r="I2534" s="569" t="s">
        <v>282</v>
      </c>
      <c r="J2534" s="531">
        <v>30000000</v>
      </c>
    </row>
    <row r="2535" spans="1:10" ht="22.5">
      <c r="A2535" s="27" t="s">
        <v>291</v>
      </c>
      <c r="B2535" s="300" t="s">
        <v>319</v>
      </c>
      <c r="C2535" s="49" t="s">
        <v>320</v>
      </c>
      <c r="D2535" s="569">
        <v>4</v>
      </c>
      <c r="E2535" s="569">
        <v>5</v>
      </c>
      <c r="F2535" s="569" t="s">
        <v>318</v>
      </c>
      <c r="G2535" s="73">
        <v>7000000</v>
      </c>
      <c r="H2535" s="569" t="s">
        <v>270</v>
      </c>
      <c r="I2535" s="569" t="s">
        <v>282</v>
      </c>
      <c r="J2535" s="531">
        <v>15000000</v>
      </c>
    </row>
    <row r="2536" spans="1:10" ht="22.5">
      <c r="A2536" s="27" t="s">
        <v>283</v>
      </c>
      <c r="B2536" s="300" t="s">
        <v>321</v>
      </c>
      <c r="C2536" s="26" t="s">
        <v>322</v>
      </c>
      <c r="D2536" s="569">
        <v>2</v>
      </c>
      <c r="E2536" s="569">
        <v>5</v>
      </c>
      <c r="F2536" s="569" t="s">
        <v>318</v>
      </c>
      <c r="G2536" s="73">
        <v>5000000</v>
      </c>
      <c r="H2536" s="569" t="s">
        <v>270</v>
      </c>
      <c r="I2536" s="569" t="s">
        <v>282</v>
      </c>
      <c r="J2536" s="531">
        <v>15000000</v>
      </c>
    </row>
    <row r="2537" spans="1:10" ht="45">
      <c r="A2537" s="27" t="s">
        <v>283</v>
      </c>
      <c r="B2537" s="300" t="s">
        <v>323</v>
      </c>
      <c r="C2537" s="26" t="s">
        <v>324</v>
      </c>
      <c r="D2537" s="569">
        <v>4</v>
      </c>
      <c r="E2537" s="569">
        <v>5</v>
      </c>
      <c r="F2537" s="569" t="s">
        <v>269</v>
      </c>
      <c r="G2537" s="73">
        <v>12000000</v>
      </c>
      <c r="H2537" s="569" t="s">
        <v>270</v>
      </c>
      <c r="I2537" s="569" t="s">
        <v>282</v>
      </c>
      <c r="J2537" s="531">
        <v>30000000</v>
      </c>
    </row>
    <row r="2538" spans="1:10" ht="33.75">
      <c r="A2538" s="27" t="s">
        <v>266</v>
      </c>
      <c r="B2538" s="300" t="s">
        <v>325</v>
      </c>
      <c r="C2538" s="26" t="s">
        <v>326</v>
      </c>
      <c r="D2538" s="569">
        <v>8</v>
      </c>
      <c r="E2538" s="569">
        <v>5</v>
      </c>
      <c r="F2538" s="569" t="s">
        <v>311</v>
      </c>
      <c r="G2538" s="73">
        <v>18000000</v>
      </c>
      <c r="H2538" s="569" t="s">
        <v>270</v>
      </c>
      <c r="I2538" s="569" t="s">
        <v>282</v>
      </c>
      <c r="J2538" s="531">
        <v>25000000</v>
      </c>
    </row>
    <row r="2539" spans="1:10">
      <c r="A2539" s="22" t="s">
        <v>304</v>
      </c>
      <c r="B2539" s="26">
        <v>0</v>
      </c>
      <c r="C2539" s="569" t="s">
        <v>23928</v>
      </c>
      <c r="D2539" s="569">
        <v>17.829999999999998</v>
      </c>
      <c r="E2539" s="569">
        <v>0</v>
      </c>
      <c r="F2539" s="569" t="s">
        <v>391</v>
      </c>
      <c r="G2539" s="73">
        <v>0</v>
      </c>
      <c r="H2539" s="569">
        <v>0</v>
      </c>
      <c r="I2539" s="569" t="s">
        <v>23629</v>
      </c>
      <c r="J2539" s="531">
        <v>0</v>
      </c>
    </row>
    <row r="2540" spans="1:10">
      <c r="A2540" s="22" t="s">
        <v>304</v>
      </c>
      <c r="B2540" s="26">
        <v>0</v>
      </c>
      <c r="C2540" s="569" t="s">
        <v>23928</v>
      </c>
      <c r="D2540" s="569">
        <v>17.829999999999998</v>
      </c>
      <c r="E2540" s="569">
        <v>0</v>
      </c>
      <c r="F2540" s="569" t="s">
        <v>23929</v>
      </c>
      <c r="G2540" s="73">
        <v>0</v>
      </c>
      <c r="H2540" s="569">
        <v>0</v>
      </c>
      <c r="I2540" s="569" t="s">
        <v>23930</v>
      </c>
      <c r="J2540" s="531">
        <v>0</v>
      </c>
    </row>
    <row r="2541" spans="1:10">
      <c r="A2541" s="22" t="s">
        <v>304</v>
      </c>
      <c r="B2541" s="26">
        <v>0</v>
      </c>
      <c r="C2541" s="569" t="s">
        <v>23931</v>
      </c>
      <c r="D2541" s="569">
        <v>6.64</v>
      </c>
      <c r="E2541" s="569">
        <v>0</v>
      </c>
      <c r="F2541" s="569" t="s">
        <v>23929</v>
      </c>
      <c r="G2541" s="73">
        <v>0</v>
      </c>
      <c r="H2541" s="569">
        <v>0</v>
      </c>
      <c r="I2541" s="569" t="s">
        <v>23930</v>
      </c>
      <c r="J2541" s="531">
        <v>0</v>
      </c>
    </row>
    <row r="2542" spans="1:10" ht="33.75">
      <c r="A2542" s="22" t="s">
        <v>304</v>
      </c>
      <c r="B2542" s="26">
        <v>0</v>
      </c>
      <c r="C2542" s="569" t="s">
        <v>23932</v>
      </c>
      <c r="D2542" s="569">
        <v>3.3250000000000002</v>
      </c>
      <c r="E2542" s="569">
        <v>0</v>
      </c>
      <c r="F2542" s="569">
        <v>0</v>
      </c>
      <c r="G2542" s="73">
        <v>15000000</v>
      </c>
      <c r="H2542" s="569">
        <v>0</v>
      </c>
      <c r="I2542" s="569" t="s">
        <v>23933</v>
      </c>
      <c r="J2542" s="531">
        <v>0</v>
      </c>
    </row>
    <row r="2543" spans="1:10" ht="22.5">
      <c r="A2543" s="22" t="s">
        <v>304</v>
      </c>
      <c r="B2543" s="26">
        <v>0</v>
      </c>
      <c r="C2543" s="569" t="s">
        <v>23934</v>
      </c>
      <c r="D2543" s="569">
        <v>12.16</v>
      </c>
      <c r="E2543" s="569">
        <v>0</v>
      </c>
      <c r="F2543" s="569">
        <v>0</v>
      </c>
      <c r="G2543" s="73">
        <v>20000000</v>
      </c>
      <c r="H2543" s="569">
        <v>0</v>
      </c>
      <c r="I2543" s="569" t="s">
        <v>23935</v>
      </c>
      <c r="J2543" s="531">
        <v>0</v>
      </c>
    </row>
    <row r="2544" spans="1:10" ht="15.75">
      <c r="A2544" s="1013" t="s">
        <v>189</v>
      </c>
      <c r="B2544" s="1014"/>
      <c r="C2544" s="1014"/>
      <c r="D2544" s="1014"/>
      <c r="E2544" s="1014"/>
      <c r="F2544" s="1014"/>
      <c r="G2544" s="550">
        <f>SUM(G2515:G2543)</f>
        <v>606300000</v>
      </c>
      <c r="H2544" s="564"/>
      <c r="I2544" s="564"/>
      <c r="J2544" s="626">
        <f>SUM(J2515:J2543)</f>
        <v>841000000</v>
      </c>
    </row>
    <row r="2545" spans="1:10" ht="15.75">
      <c r="A2545" s="1013" t="s">
        <v>7270</v>
      </c>
      <c r="B2545" s="1014"/>
      <c r="C2545" s="1014"/>
      <c r="D2545" s="1014"/>
      <c r="E2545" s="1014"/>
      <c r="F2545" s="1014"/>
      <c r="G2545" s="1014"/>
      <c r="H2545" s="1014"/>
      <c r="I2545" s="1014"/>
      <c r="J2545" s="1015"/>
    </row>
    <row r="2546" spans="1:10" ht="180">
      <c r="A2546" s="27" t="s">
        <v>7271</v>
      </c>
      <c r="B2546" s="300" t="s">
        <v>7272</v>
      </c>
      <c r="C2546" s="569" t="s">
        <v>7273</v>
      </c>
      <c r="D2546" s="569">
        <v>8.9</v>
      </c>
      <c r="E2546" s="569">
        <v>5</v>
      </c>
      <c r="F2546" s="35" t="s">
        <v>7274</v>
      </c>
      <c r="G2546" s="73">
        <f>((8.9*1000*5)*2000)+50000000</f>
        <v>139000000</v>
      </c>
      <c r="H2546" s="569" t="s">
        <v>18</v>
      </c>
      <c r="I2546" s="35" t="s">
        <v>7275</v>
      </c>
      <c r="J2546" s="531">
        <f>[3]Hoja1!$E$17</f>
        <v>265651568.868</v>
      </c>
    </row>
    <row r="2547" spans="1:10" ht="123.75">
      <c r="A2547" s="27" t="s">
        <v>7271</v>
      </c>
      <c r="B2547" s="300" t="s">
        <v>886</v>
      </c>
      <c r="C2547" s="569" t="s">
        <v>7276</v>
      </c>
      <c r="D2547" s="569">
        <v>3</v>
      </c>
      <c r="E2547" s="569">
        <v>5</v>
      </c>
      <c r="F2547" s="35" t="s">
        <v>7277</v>
      </c>
      <c r="G2547" s="73">
        <f>((3*1000*5)*2000)+20500000</f>
        <v>50500000</v>
      </c>
      <c r="H2547" s="569" t="s">
        <v>30</v>
      </c>
      <c r="I2547" s="35" t="s">
        <v>7278</v>
      </c>
      <c r="J2547" s="531">
        <f>[3]Hoja1!$E$32</f>
        <v>115687820.55599999</v>
      </c>
    </row>
    <row r="2548" spans="1:10" ht="168.75">
      <c r="A2548" s="27" t="s">
        <v>7271</v>
      </c>
      <c r="B2548" s="300" t="s">
        <v>1864</v>
      </c>
      <c r="C2548" s="569" t="s">
        <v>7279</v>
      </c>
      <c r="D2548" s="569">
        <v>5.9</v>
      </c>
      <c r="E2548" s="569">
        <v>5</v>
      </c>
      <c r="F2548" s="35" t="s">
        <v>7280</v>
      </c>
      <c r="G2548" s="73">
        <f>((5.9*1000*5)*2000)+40000000</f>
        <v>99000000</v>
      </c>
      <c r="H2548" s="569" t="s">
        <v>30</v>
      </c>
      <c r="I2548" s="35" t="s">
        <v>7281</v>
      </c>
      <c r="J2548" s="531">
        <f>[3]Hoja1!$E$50</f>
        <v>375245908.67400002</v>
      </c>
    </row>
    <row r="2549" spans="1:10" ht="135">
      <c r="A2549" s="27" t="s">
        <v>7282</v>
      </c>
      <c r="B2549" s="300" t="s">
        <v>7283</v>
      </c>
      <c r="C2549" s="569" t="s">
        <v>7284</v>
      </c>
      <c r="D2549" s="569">
        <v>22</v>
      </c>
      <c r="E2549" s="569">
        <v>5</v>
      </c>
      <c r="F2549" s="35" t="s">
        <v>7285</v>
      </c>
      <c r="G2549" s="73">
        <f>((22*1000*5)*2000)</f>
        <v>220000000</v>
      </c>
      <c r="H2549" s="569" t="s">
        <v>30</v>
      </c>
      <c r="I2549" s="35" t="s">
        <v>7278</v>
      </c>
      <c r="J2549" s="531">
        <f>[3]Hoja1!$E$65</f>
        <v>455526887.13</v>
      </c>
    </row>
    <row r="2550" spans="1:10" ht="90">
      <c r="A2550" s="27" t="s">
        <v>7286</v>
      </c>
      <c r="B2550" s="300" t="s">
        <v>7287</v>
      </c>
      <c r="C2550" s="569" t="s">
        <v>7288</v>
      </c>
      <c r="D2550" s="569">
        <v>3.7</v>
      </c>
      <c r="E2550" s="569">
        <v>5</v>
      </c>
      <c r="F2550" s="35" t="s">
        <v>7289</v>
      </c>
      <c r="G2550" s="73">
        <f>((3.7*1000*5)*1500)</f>
        <v>27750000</v>
      </c>
      <c r="H2550" s="569" t="s">
        <v>18</v>
      </c>
      <c r="I2550" s="35" t="s">
        <v>7290</v>
      </c>
      <c r="J2550" s="531">
        <f>[3]Hoja1!$E$79</f>
        <v>77113762.865999997</v>
      </c>
    </row>
    <row r="2551" spans="1:10" ht="101.25">
      <c r="A2551" s="27" t="s">
        <v>7291</v>
      </c>
      <c r="B2551" s="300" t="s">
        <v>7292</v>
      </c>
      <c r="C2551" s="569" t="s">
        <v>7293</v>
      </c>
      <c r="D2551" s="569">
        <v>35.9</v>
      </c>
      <c r="E2551" s="569">
        <v>5</v>
      </c>
      <c r="F2551" s="35" t="s">
        <v>7294</v>
      </c>
      <c r="G2551" s="73">
        <f>((35.9*1000*5)*1000)</f>
        <v>179500000</v>
      </c>
      <c r="H2551" s="569" t="s">
        <v>18</v>
      </c>
      <c r="I2551" s="35" t="s">
        <v>7295</v>
      </c>
      <c r="J2551" s="531">
        <f>[3]Hoja1!$E$93</f>
        <v>550184318.88</v>
      </c>
    </row>
    <row r="2552" spans="1:10" ht="90">
      <c r="A2552" s="27" t="s">
        <v>7296</v>
      </c>
      <c r="B2552" s="300" t="s">
        <v>7297</v>
      </c>
      <c r="C2552" s="569" t="s">
        <v>7298</v>
      </c>
      <c r="D2552" s="569">
        <v>4.5999999999999996</v>
      </c>
      <c r="E2552" s="569">
        <v>5</v>
      </c>
      <c r="F2552" s="35" t="s">
        <v>7299</v>
      </c>
      <c r="G2552" s="73">
        <f>((4.6*1000*5)*1000)</f>
        <v>23000000</v>
      </c>
      <c r="H2552" s="569" t="s">
        <v>18</v>
      </c>
      <c r="I2552" s="35" t="s">
        <v>7290</v>
      </c>
      <c r="J2552" s="531">
        <f>[3]Hoja1!$E$105</f>
        <v>83907297.599999994</v>
      </c>
    </row>
    <row r="2553" spans="1:10" ht="123.75">
      <c r="A2553" s="27" t="s">
        <v>7300</v>
      </c>
      <c r="B2553" s="300" t="s">
        <v>7301</v>
      </c>
      <c r="C2553" s="569" t="s">
        <v>7302</v>
      </c>
      <c r="D2553" s="569">
        <v>4.0999999999999996</v>
      </c>
      <c r="E2553" s="569">
        <v>5.5</v>
      </c>
      <c r="F2553" s="35" t="s">
        <v>7303</v>
      </c>
      <c r="G2553" s="73">
        <f>((4.1*1000*5)*1000)</f>
        <v>20500000</v>
      </c>
      <c r="H2553" s="569" t="s">
        <v>18</v>
      </c>
      <c r="I2553" s="35" t="s">
        <v>7304</v>
      </c>
      <c r="J2553" s="531">
        <f>[3]Hoja1!$E$121</f>
        <v>98726697.152999997</v>
      </c>
    </row>
    <row r="2554" spans="1:10" ht="90">
      <c r="A2554" s="27" t="s">
        <v>7296</v>
      </c>
      <c r="B2554" s="300" t="s">
        <v>7305</v>
      </c>
      <c r="C2554" s="569" t="s">
        <v>7306</v>
      </c>
      <c r="D2554" s="569">
        <v>2.2000000000000002</v>
      </c>
      <c r="E2554" s="569">
        <v>4</v>
      </c>
      <c r="F2554" s="35" t="s">
        <v>7307</v>
      </c>
      <c r="G2554" s="73">
        <f>((2.2*1000*4)*1000)</f>
        <v>8800000</v>
      </c>
      <c r="H2554" s="569" t="s">
        <v>18</v>
      </c>
      <c r="I2554" s="35" t="s">
        <v>7290</v>
      </c>
      <c r="J2554" s="531">
        <f>[3]Hoja1!$E$133</f>
        <v>37579053.119999997</v>
      </c>
    </row>
    <row r="2555" spans="1:10" ht="101.25">
      <c r="A2555" s="27" t="s">
        <v>7308</v>
      </c>
      <c r="B2555" s="300" t="s">
        <v>7309</v>
      </c>
      <c r="C2555" s="569" t="s">
        <v>7310</v>
      </c>
      <c r="D2555" s="569">
        <v>5.6</v>
      </c>
      <c r="E2555" s="569">
        <v>6</v>
      </c>
      <c r="F2555" s="35" t="s">
        <v>7311</v>
      </c>
      <c r="G2555" s="73">
        <f>((5.6*1000*6)*1000)</f>
        <v>33600000</v>
      </c>
      <c r="H2555" s="569" t="s">
        <v>18</v>
      </c>
      <c r="I2555" s="35" t="s">
        <v>7312</v>
      </c>
      <c r="J2555" s="531">
        <f>[3]Hoja1!$E$147</f>
        <v>137613591.36000001</v>
      </c>
    </row>
    <row r="2556" spans="1:10" ht="101.25">
      <c r="A2556" s="27" t="s">
        <v>7313</v>
      </c>
      <c r="B2556" s="300" t="s">
        <v>7314</v>
      </c>
      <c r="C2556" s="569" t="s">
        <v>7315</v>
      </c>
      <c r="D2556" s="569">
        <v>14.82</v>
      </c>
      <c r="E2556" s="569">
        <v>5</v>
      </c>
      <c r="F2556" s="35" t="s">
        <v>7311</v>
      </c>
      <c r="G2556" s="73">
        <f>((14.82*1000*5)*1000)</f>
        <v>74100000</v>
      </c>
      <c r="H2556" s="569" t="s">
        <v>18</v>
      </c>
      <c r="I2556" s="35" t="s">
        <v>7312</v>
      </c>
      <c r="J2556" s="531">
        <f>[3]Hoja1!$E$159</f>
        <v>273913448.75999999</v>
      </c>
    </row>
    <row r="2557" spans="1:10" ht="90">
      <c r="A2557" s="27" t="s">
        <v>7286</v>
      </c>
      <c r="B2557" s="300" t="s">
        <v>1574</v>
      </c>
      <c r="C2557" s="569" t="s">
        <v>7316</v>
      </c>
      <c r="D2557" s="569">
        <v>0.6</v>
      </c>
      <c r="E2557" s="569">
        <v>5</v>
      </c>
      <c r="F2557" s="35" t="s">
        <v>7307</v>
      </c>
      <c r="G2557" s="73">
        <f>((0.6*1000*5)*3000)</f>
        <v>9000000</v>
      </c>
      <c r="H2557" s="569" t="s">
        <v>30</v>
      </c>
      <c r="I2557" s="35" t="s">
        <v>7290</v>
      </c>
      <c r="J2557" s="531">
        <f>[3]Hoja1!$E$175</f>
        <v>41751394.839000002</v>
      </c>
    </row>
    <row r="2558" spans="1:10" ht="123.75">
      <c r="A2558" s="27" t="s">
        <v>7317</v>
      </c>
      <c r="B2558" s="300" t="s">
        <v>621</v>
      </c>
      <c r="C2558" s="569" t="s">
        <v>7318</v>
      </c>
      <c r="D2558" s="569">
        <v>2.8</v>
      </c>
      <c r="E2558" s="569">
        <v>5</v>
      </c>
      <c r="F2558" s="35" t="s">
        <v>7319</v>
      </c>
      <c r="G2558" s="73">
        <f>((2.8*1000*5)*2500)</f>
        <v>35000000</v>
      </c>
      <c r="H2558" s="569" t="s">
        <v>30</v>
      </c>
      <c r="I2558" s="35" t="s">
        <v>7320</v>
      </c>
      <c r="J2558" s="531">
        <f>[3]Hoja1!$E$191</f>
        <v>127993995.31799999</v>
      </c>
    </row>
    <row r="2559" spans="1:10" ht="112.5">
      <c r="A2559" s="27" t="s">
        <v>7317</v>
      </c>
      <c r="B2559" s="300" t="s">
        <v>3666</v>
      </c>
      <c r="C2559" s="569" t="s">
        <v>7321</v>
      </c>
      <c r="D2559" s="569">
        <v>5.8</v>
      </c>
      <c r="E2559" s="569">
        <v>5</v>
      </c>
      <c r="F2559" s="35" t="s">
        <v>7319</v>
      </c>
      <c r="G2559" s="73">
        <f>((5.8*1000*5)*2000)</f>
        <v>58000000</v>
      </c>
      <c r="H2559" s="569" t="s">
        <v>30</v>
      </c>
      <c r="I2559" s="35" t="s">
        <v>7322</v>
      </c>
      <c r="J2559" s="531">
        <f>[3]Hoja1!$E$206</f>
        <v>141213693.558</v>
      </c>
    </row>
    <row r="2560" spans="1:10" ht="101.25">
      <c r="A2560" s="27" t="s">
        <v>7323</v>
      </c>
      <c r="B2560" s="300" t="s">
        <v>1672</v>
      </c>
      <c r="C2560" s="569" t="s">
        <v>7324</v>
      </c>
      <c r="D2560" s="569">
        <v>4.1500000000000004</v>
      </c>
      <c r="E2560" s="569">
        <v>6</v>
      </c>
      <c r="F2560" s="35" t="s">
        <v>7311</v>
      </c>
      <c r="G2560" s="73">
        <f>((4.15*1000*5)*1000)</f>
        <v>20750000</v>
      </c>
      <c r="H2560" s="569" t="s">
        <v>18</v>
      </c>
      <c r="I2560" s="35" t="s">
        <v>7312</v>
      </c>
      <c r="J2560" s="531">
        <f>[3]Hoja1!$E$218</f>
        <v>82610877.299999997</v>
      </c>
    </row>
    <row r="2561" spans="1:10" ht="101.25">
      <c r="A2561" s="27" t="s">
        <v>7323</v>
      </c>
      <c r="B2561" s="300" t="s">
        <v>169</v>
      </c>
      <c r="C2561" s="569" t="s">
        <v>7325</v>
      </c>
      <c r="D2561" s="569">
        <v>2.54</v>
      </c>
      <c r="E2561" s="569">
        <v>5</v>
      </c>
      <c r="F2561" s="35" t="s">
        <v>7311</v>
      </c>
      <c r="G2561" s="73">
        <f>((2.54*1000*5)*1000)</f>
        <v>12700000</v>
      </c>
      <c r="H2561" s="569" t="s">
        <v>18</v>
      </c>
      <c r="I2561" s="35" t="s">
        <v>7312</v>
      </c>
      <c r="J2561" s="531">
        <f>[3]Hoja1!$E$230</f>
        <v>56536235.279999994</v>
      </c>
    </row>
    <row r="2562" spans="1:10" ht="101.25">
      <c r="A2562" s="27" t="s">
        <v>7323</v>
      </c>
      <c r="B2562" s="300" t="s">
        <v>7326</v>
      </c>
      <c r="C2562" s="569" t="s">
        <v>7327</v>
      </c>
      <c r="D2562" s="569">
        <v>0.28000000000000003</v>
      </c>
      <c r="E2562" s="569">
        <v>6</v>
      </c>
      <c r="F2562" s="35" t="s">
        <v>7311</v>
      </c>
      <c r="G2562" s="73">
        <f>((0.28*1000*5)*1000)</f>
        <v>1400000</v>
      </c>
      <c r="H2562" s="569" t="s">
        <v>18</v>
      </c>
      <c r="I2562" s="35" t="s">
        <v>7312</v>
      </c>
      <c r="J2562" s="531">
        <f>[3]Hoja1!$E$242</f>
        <v>8603735.2799999993</v>
      </c>
    </row>
    <row r="2563" spans="1:10" ht="101.25">
      <c r="A2563" s="27" t="s">
        <v>7323</v>
      </c>
      <c r="B2563" s="300" t="s">
        <v>1694</v>
      </c>
      <c r="C2563" s="569" t="s">
        <v>7306</v>
      </c>
      <c r="D2563" s="569">
        <v>0.4</v>
      </c>
      <c r="E2563" s="569">
        <v>6</v>
      </c>
      <c r="F2563" s="35" t="s">
        <v>7311</v>
      </c>
      <c r="G2563" s="73">
        <f>((0.4*1000*5)*1000)</f>
        <v>2000000</v>
      </c>
      <c r="H2563" s="569" t="s">
        <v>18</v>
      </c>
      <c r="I2563" s="35" t="s">
        <v>7312</v>
      </c>
      <c r="J2563" s="531">
        <f>[3]Hoja1!$E$254</f>
        <v>10751576.640000001</v>
      </c>
    </row>
    <row r="2564" spans="1:10" ht="33.75">
      <c r="A2564" s="27" t="s">
        <v>7282</v>
      </c>
      <c r="B2564" s="300" t="s">
        <v>1658</v>
      </c>
      <c r="C2564" s="569" t="s">
        <v>7328</v>
      </c>
      <c r="D2564" s="569">
        <v>3.5</v>
      </c>
      <c r="E2564" s="569">
        <v>5</v>
      </c>
      <c r="F2564" s="35" t="s">
        <v>7329</v>
      </c>
      <c r="G2564" s="73">
        <f>(D2564*1000*E2564)*500</f>
        <v>8750000</v>
      </c>
      <c r="H2564" s="569" t="s">
        <v>18</v>
      </c>
      <c r="I2564" s="35" t="s">
        <v>7330</v>
      </c>
      <c r="J2564" s="531">
        <f>(D2564*1000*E2564*0.1)*10500</f>
        <v>18375000</v>
      </c>
    </row>
    <row r="2565" spans="1:10" ht="33.75">
      <c r="A2565" s="27" t="s">
        <v>7271</v>
      </c>
      <c r="B2565" s="300" t="s">
        <v>7331</v>
      </c>
      <c r="C2565" s="569" t="s">
        <v>7332</v>
      </c>
      <c r="D2565" s="569">
        <v>1.3</v>
      </c>
      <c r="E2565" s="569">
        <v>5</v>
      </c>
      <c r="F2565" s="35" t="s">
        <v>7333</v>
      </c>
      <c r="G2565" s="73">
        <f t="shared" ref="G2565:G2626" si="17">(D2565*1000*E2565)*500</f>
        <v>3250000</v>
      </c>
      <c r="H2565" s="569" t="s">
        <v>18</v>
      </c>
      <c r="I2565" s="35" t="s">
        <v>7330</v>
      </c>
      <c r="J2565" s="531">
        <f t="shared" ref="J2565:J2588" si="18">(D2565*1000*E2565*0.1)*10500</f>
        <v>6825000</v>
      </c>
    </row>
    <row r="2566" spans="1:10" ht="33.75">
      <c r="A2566" s="27" t="s">
        <v>7271</v>
      </c>
      <c r="B2566" s="300" t="s">
        <v>7334</v>
      </c>
      <c r="C2566" s="569" t="s">
        <v>7335</v>
      </c>
      <c r="D2566" s="569">
        <v>0.75</v>
      </c>
      <c r="E2566" s="569">
        <v>5</v>
      </c>
      <c r="F2566" s="35" t="s">
        <v>7333</v>
      </c>
      <c r="G2566" s="73">
        <f t="shared" si="17"/>
        <v>1875000</v>
      </c>
      <c r="H2566" s="569" t="s">
        <v>18</v>
      </c>
      <c r="I2566" s="35" t="s">
        <v>7330</v>
      </c>
      <c r="J2566" s="531">
        <f t="shared" si="18"/>
        <v>3937500</v>
      </c>
    </row>
    <row r="2567" spans="1:10" ht="33.75">
      <c r="A2567" s="27" t="s">
        <v>7296</v>
      </c>
      <c r="B2567" s="300" t="s">
        <v>7336</v>
      </c>
      <c r="C2567" s="569" t="s">
        <v>7337</v>
      </c>
      <c r="D2567" s="569">
        <v>8</v>
      </c>
      <c r="E2567" s="569">
        <v>6</v>
      </c>
      <c r="F2567" s="35" t="s">
        <v>7333</v>
      </c>
      <c r="G2567" s="73">
        <f t="shared" si="17"/>
        <v>24000000</v>
      </c>
      <c r="H2567" s="569" t="s">
        <v>18</v>
      </c>
      <c r="I2567" s="35" t="s">
        <v>7330</v>
      </c>
      <c r="J2567" s="531">
        <f t="shared" si="18"/>
        <v>50400000</v>
      </c>
    </row>
    <row r="2568" spans="1:10" ht="33.75">
      <c r="A2568" s="27" t="s">
        <v>7296</v>
      </c>
      <c r="B2568" s="300" t="s">
        <v>7338</v>
      </c>
      <c r="C2568" s="569" t="s">
        <v>7339</v>
      </c>
      <c r="D2568" s="569">
        <v>4.4000000000000004</v>
      </c>
      <c r="E2568" s="569">
        <v>6</v>
      </c>
      <c r="F2568" s="35" t="s">
        <v>7333</v>
      </c>
      <c r="G2568" s="73">
        <f t="shared" si="17"/>
        <v>13200000</v>
      </c>
      <c r="H2568" s="569" t="s">
        <v>18</v>
      </c>
      <c r="I2568" s="35" t="s">
        <v>7330</v>
      </c>
      <c r="J2568" s="531">
        <f t="shared" si="18"/>
        <v>27720000</v>
      </c>
    </row>
    <row r="2569" spans="1:10" ht="33.75">
      <c r="A2569" s="27" t="s">
        <v>7271</v>
      </c>
      <c r="B2569" s="300" t="s">
        <v>7340</v>
      </c>
      <c r="C2569" s="569" t="s">
        <v>7341</v>
      </c>
      <c r="D2569" s="569">
        <v>2.7</v>
      </c>
      <c r="E2569" s="569">
        <v>5</v>
      </c>
      <c r="F2569" s="35" t="s">
        <v>7333</v>
      </c>
      <c r="G2569" s="73">
        <f t="shared" si="17"/>
        <v>6750000</v>
      </c>
      <c r="H2569" s="569" t="s">
        <v>18</v>
      </c>
      <c r="I2569" s="35" t="s">
        <v>7330</v>
      </c>
      <c r="J2569" s="531">
        <f t="shared" si="18"/>
        <v>14175000</v>
      </c>
    </row>
    <row r="2570" spans="1:10" ht="33.75">
      <c r="A2570" s="27" t="s">
        <v>7282</v>
      </c>
      <c r="B2570" s="300" t="s">
        <v>1601</v>
      </c>
      <c r="C2570" s="569" t="s">
        <v>7342</v>
      </c>
      <c r="D2570" s="569">
        <v>8</v>
      </c>
      <c r="E2570" s="569">
        <v>6</v>
      </c>
      <c r="F2570" s="35" t="s">
        <v>7333</v>
      </c>
      <c r="G2570" s="73">
        <f t="shared" si="17"/>
        <v>24000000</v>
      </c>
      <c r="H2570" s="569" t="s">
        <v>18</v>
      </c>
      <c r="I2570" s="35" t="s">
        <v>7330</v>
      </c>
      <c r="J2570" s="531">
        <f t="shared" si="18"/>
        <v>50400000</v>
      </c>
    </row>
    <row r="2571" spans="1:10" ht="33.75">
      <c r="A2571" s="27" t="s">
        <v>7271</v>
      </c>
      <c r="B2571" s="300" t="s">
        <v>7343</v>
      </c>
      <c r="C2571" s="569" t="s">
        <v>7344</v>
      </c>
      <c r="D2571" s="569">
        <v>2.2999999999999998</v>
      </c>
      <c r="E2571" s="569">
        <v>5</v>
      </c>
      <c r="F2571" s="35" t="s">
        <v>7333</v>
      </c>
      <c r="G2571" s="73">
        <f t="shared" si="17"/>
        <v>5750000</v>
      </c>
      <c r="H2571" s="569" t="s">
        <v>18</v>
      </c>
      <c r="I2571" s="35" t="s">
        <v>7330</v>
      </c>
      <c r="J2571" s="531">
        <f t="shared" si="18"/>
        <v>12075000</v>
      </c>
    </row>
    <row r="2572" spans="1:10" ht="33.75">
      <c r="A2572" s="27" t="s">
        <v>7308</v>
      </c>
      <c r="B2572" s="300" t="s">
        <v>7345</v>
      </c>
      <c r="C2572" s="569" t="s">
        <v>7346</v>
      </c>
      <c r="D2572" s="569">
        <v>20.25</v>
      </c>
      <c r="E2572" s="569">
        <v>6</v>
      </c>
      <c r="F2572" s="35" t="s">
        <v>7333</v>
      </c>
      <c r="G2572" s="73">
        <f t="shared" si="17"/>
        <v>60750000</v>
      </c>
      <c r="H2572" s="569" t="s">
        <v>18</v>
      </c>
      <c r="I2572" s="35" t="s">
        <v>7330</v>
      </c>
      <c r="J2572" s="531">
        <f t="shared" si="18"/>
        <v>127575000</v>
      </c>
    </row>
    <row r="2573" spans="1:10" ht="33.75">
      <c r="A2573" s="27" t="s">
        <v>7296</v>
      </c>
      <c r="B2573" s="300" t="s">
        <v>7347</v>
      </c>
      <c r="C2573" s="569" t="s">
        <v>7348</v>
      </c>
      <c r="D2573" s="569">
        <v>11</v>
      </c>
      <c r="E2573" s="569">
        <v>6</v>
      </c>
      <c r="F2573" s="35" t="s">
        <v>7333</v>
      </c>
      <c r="G2573" s="73">
        <f t="shared" si="17"/>
        <v>33000000</v>
      </c>
      <c r="H2573" s="569" t="s">
        <v>18</v>
      </c>
      <c r="I2573" s="35" t="s">
        <v>7330</v>
      </c>
      <c r="J2573" s="531">
        <f t="shared" si="18"/>
        <v>69300000</v>
      </c>
    </row>
    <row r="2574" spans="1:10" ht="33.75">
      <c r="A2574" s="27" t="s">
        <v>7308</v>
      </c>
      <c r="B2574" s="300" t="s">
        <v>7349</v>
      </c>
      <c r="C2574" s="569" t="s">
        <v>7350</v>
      </c>
      <c r="D2574" s="569">
        <v>1.4</v>
      </c>
      <c r="E2574" s="569">
        <v>5</v>
      </c>
      <c r="F2574" s="35" t="s">
        <v>7333</v>
      </c>
      <c r="G2574" s="73">
        <f t="shared" si="17"/>
        <v>3500000</v>
      </c>
      <c r="H2574" s="569" t="s">
        <v>18</v>
      </c>
      <c r="I2574" s="35" t="s">
        <v>7330</v>
      </c>
      <c r="J2574" s="531">
        <f t="shared" si="18"/>
        <v>7350000</v>
      </c>
    </row>
    <row r="2575" spans="1:10" ht="33.75">
      <c r="A2575" s="27" t="s">
        <v>7308</v>
      </c>
      <c r="B2575" s="300" t="s">
        <v>7351</v>
      </c>
      <c r="C2575" s="569" t="s">
        <v>7352</v>
      </c>
      <c r="D2575" s="569">
        <v>3.4</v>
      </c>
      <c r="E2575" s="569">
        <v>6</v>
      </c>
      <c r="F2575" s="35" t="s">
        <v>7333</v>
      </c>
      <c r="G2575" s="73">
        <f t="shared" si="17"/>
        <v>10200000</v>
      </c>
      <c r="H2575" s="569" t="s">
        <v>18</v>
      </c>
      <c r="I2575" s="35" t="s">
        <v>7330</v>
      </c>
      <c r="J2575" s="531">
        <f t="shared" si="18"/>
        <v>21420000</v>
      </c>
    </row>
    <row r="2576" spans="1:10" ht="33.75">
      <c r="A2576" s="27" t="s">
        <v>7308</v>
      </c>
      <c r="B2576" s="300" t="s">
        <v>4038</v>
      </c>
      <c r="C2576" s="569" t="s">
        <v>7353</v>
      </c>
      <c r="D2576" s="569">
        <v>0.24</v>
      </c>
      <c r="E2576" s="569">
        <v>6</v>
      </c>
      <c r="F2576" s="35" t="s">
        <v>7333</v>
      </c>
      <c r="G2576" s="73">
        <f t="shared" si="17"/>
        <v>720000</v>
      </c>
      <c r="H2576" s="569" t="s">
        <v>18</v>
      </c>
      <c r="I2576" s="35" t="s">
        <v>7330</v>
      </c>
      <c r="J2576" s="531">
        <f t="shared" si="18"/>
        <v>1512000</v>
      </c>
    </row>
    <row r="2577" spans="1:10" ht="33.75">
      <c r="A2577" s="27" t="s">
        <v>7296</v>
      </c>
      <c r="B2577" s="300" t="s">
        <v>7354</v>
      </c>
      <c r="C2577" s="569" t="s">
        <v>7355</v>
      </c>
      <c r="D2577" s="569">
        <v>5.8</v>
      </c>
      <c r="E2577" s="569">
        <v>6</v>
      </c>
      <c r="F2577" s="35" t="s">
        <v>7333</v>
      </c>
      <c r="G2577" s="73">
        <f t="shared" si="17"/>
        <v>17400000</v>
      </c>
      <c r="H2577" s="569" t="s">
        <v>18</v>
      </c>
      <c r="I2577" s="35" t="s">
        <v>7330</v>
      </c>
      <c r="J2577" s="531">
        <f t="shared" si="18"/>
        <v>36540000</v>
      </c>
    </row>
    <row r="2578" spans="1:10" ht="33.75">
      <c r="A2578" s="27" t="s">
        <v>7296</v>
      </c>
      <c r="B2578" s="300" t="s">
        <v>7356</v>
      </c>
      <c r="C2578" s="569" t="s">
        <v>7357</v>
      </c>
      <c r="D2578" s="569">
        <v>6.3</v>
      </c>
      <c r="E2578" s="569">
        <v>6.5</v>
      </c>
      <c r="F2578" s="35" t="s">
        <v>7333</v>
      </c>
      <c r="G2578" s="73">
        <f t="shared" si="17"/>
        <v>20475000</v>
      </c>
      <c r="H2578" s="569" t="s">
        <v>18</v>
      </c>
      <c r="I2578" s="35" t="s">
        <v>7330</v>
      </c>
      <c r="J2578" s="531">
        <f t="shared" si="18"/>
        <v>42997500</v>
      </c>
    </row>
    <row r="2579" spans="1:10" ht="33.75">
      <c r="A2579" s="27" t="s">
        <v>7296</v>
      </c>
      <c r="B2579" s="300" t="s">
        <v>7358</v>
      </c>
      <c r="C2579" s="569" t="s">
        <v>7359</v>
      </c>
      <c r="D2579" s="569">
        <v>1.8</v>
      </c>
      <c r="E2579" s="569">
        <v>6</v>
      </c>
      <c r="F2579" s="35" t="s">
        <v>7333</v>
      </c>
      <c r="G2579" s="73">
        <f t="shared" si="17"/>
        <v>5400000</v>
      </c>
      <c r="H2579" s="569" t="s">
        <v>18</v>
      </c>
      <c r="I2579" s="35" t="s">
        <v>7330</v>
      </c>
      <c r="J2579" s="531">
        <f t="shared" si="18"/>
        <v>11340000</v>
      </c>
    </row>
    <row r="2580" spans="1:10" ht="33.75">
      <c r="A2580" s="27" t="s">
        <v>7296</v>
      </c>
      <c r="B2580" s="300" t="s">
        <v>7360</v>
      </c>
      <c r="C2580" s="569" t="s">
        <v>7361</v>
      </c>
      <c r="D2580" s="569">
        <v>4.2</v>
      </c>
      <c r="E2580" s="569">
        <v>6.5</v>
      </c>
      <c r="F2580" s="35" t="s">
        <v>7333</v>
      </c>
      <c r="G2580" s="73">
        <f t="shared" si="17"/>
        <v>13650000</v>
      </c>
      <c r="H2580" s="569" t="s">
        <v>18</v>
      </c>
      <c r="I2580" s="35" t="s">
        <v>7330</v>
      </c>
      <c r="J2580" s="531">
        <f t="shared" si="18"/>
        <v>28665000</v>
      </c>
    </row>
    <row r="2581" spans="1:10" ht="33.75">
      <c r="A2581" s="27" t="s">
        <v>7296</v>
      </c>
      <c r="B2581" s="300" t="s">
        <v>7362</v>
      </c>
      <c r="C2581" s="569" t="s">
        <v>7363</v>
      </c>
      <c r="D2581" s="569">
        <v>3.5</v>
      </c>
      <c r="E2581" s="569">
        <v>6</v>
      </c>
      <c r="F2581" s="35" t="s">
        <v>7333</v>
      </c>
      <c r="G2581" s="73">
        <f t="shared" si="17"/>
        <v>10500000</v>
      </c>
      <c r="H2581" s="569" t="s">
        <v>18</v>
      </c>
      <c r="I2581" s="35" t="s">
        <v>7330</v>
      </c>
      <c r="J2581" s="531">
        <f t="shared" si="18"/>
        <v>22050000</v>
      </c>
    </row>
    <row r="2582" spans="1:10" ht="33.75">
      <c r="A2582" s="27" t="s">
        <v>7323</v>
      </c>
      <c r="B2582" s="300" t="s">
        <v>7364</v>
      </c>
      <c r="C2582" s="569" t="s">
        <v>7365</v>
      </c>
      <c r="D2582" s="569">
        <v>0.65</v>
      </c>
      <c r="E2582" s="569">
        <v>6.5</v>
      </c>
      <c r="F2582" s="35" t="s">
        <v>7333</v>
      </c>
      <c r="G2582" s="73">
        <f t="shared" si="17"/>
        <v>2112500</v>
      </c>
      <c r="H2582" s="569" t="s">
        <v>18</v>
      </c>
      <c r="I2582" s="35" t="s">
        <v>7330</v>
      </c>
      <c r="J2582" s="531">
        <f t="shared" si="18"/>
        <v>4436250</v>
      </c>
    </row>
    <row r="2583" spans="1:10" ht="33.75">
      <c r="A2583" s="27" t="s">
        <v>7296</v>
      </c>
      <c r="B2583" s="300" t="s">
        <v>7366</v>
      </c>
      <c r="C2583" s="569" t="s">
        <v>7367</v>
      </c>
      <c r="D2583" s="569">
        <v>1.3</v>
      </c>
      <c r="E2583" s="569">
        <v>6</v>
      </c>
      <c r="F2583" s="35" t="s">
        <v>7333</v>
      </c>
      <c r="G2583" s="73">
        <f t="shared" si="17"/>
        <v>3900000</v>
      </c>
      <c r="H2583" s="569" t="s">
        <v>18</v>
      </c>
      <c r="I2583" s="35" t="s">
        <v>7330</v>
      </c>
      <c r="J2583" s="531">
        <f t="shared" si="18"/>
        <v>8190000</v>
      </c>
    </row>
    <row r="2584" spans="1:10" ht="33.75">
      <c r="A2584" s="27" t="s">
        <v>7282</v>
      </c>
      <c r="B2584" s="300" t="s">
        <v>1658</v>
      </c>
      <c r="C2584" s="569" t="s">
        <v>7368</v>
      </c>
      <c r="D2584" s="569">
        <v>5.7</v>
      </c>
      <c r="E2584" s="569">
        <v>6</v>
      </c>
      <c r="F2584" s="35" t="s">
        <v>7333</v>
      </c>
      <c r="G2584" s="73">
        <f t="shared" si="17"/>
        <v>17100000</v>
      </c>
      <c r="H2584" s="569" t="s">
        <v>18</v>
      </c>
      <c r="I2584" s="35" t="s">
        <v>7330</v>
      </c>
      <c r="J2584" s="531">
        <f t="shared" si="18"/>
        <v>35910000</v>
      </c>
    </row>
    <row r="2585" spans="1:10" ht="33.75">
      <c r="A2585" s="27" t="s">
        <v>7282</v>
      </c>
      <c r="B2585" s="300" t="s">
        <v>7369</v>
      </c>
      <c r="C2585" s="569" t="s">
        <v>7370</v>
      </c>
      <c r="D2585" s="569">
        <v>0.5</v>
      </c>
      <c r="E2585" s="569">
        <v>5.5</v>
      </c>
      <c r="F2585" s="35" t="s">
        <v>7333</v>
      </c>
      <c r="G2585" s="73">
        <f t="shared" si="17"/>
        <v>1375000</v>
      </c>
      <c r="H2585" s="569" t="s">
        <v>18</v>
      </c>
      <c r="I2585" s="35" t="s">
        <v>7330</v>
      </c>
      <c r="J2585" s="531">
        <f t="shared" si="18"/>
        <v>2887500</v>
      </c>
    </row>
    <row r="2586" spans="1:10" ht="33.75">
      <c r="A2586" s="27" t="s">
        <v>7271</v>
      </c>
      <c r="B2586" s="300" t="s">
        <v>7371</v>
      </c>
      <c r="C2586" s="569" t="s">
        <v>7372</v>
      </c>
      <c r="D2586" s="569">
        <v>1.9</v>
      </c>
      <c r="E2586" s="569">
        <v>5</v>
      </c>
      <c r="F2586" s="35" t="s">
        <v>7333</v>
      </c>
      <c r="G2586" s="73">
        <f t="shared" si="17"/>
        <v>4750000</v>
      </c>
      <c r="H2586" s="569" t="s">
        <v>18</v>
      </c>
      <c r="I2586" s="35" t="s">
        <v>7330</v>
      </c>
      <c r="J2586" s="531">
        <f t="shared" si="18"/>
        <v>9975000</v>
      </c>
    </row>
    <row r="2587" spans="1:10" ht="33.75">
      <c r="A2587" s="27" t="s">
        <v>7373</v>
      </c>
      <c r="B2587" s="300" t="s">
        <v>7374</v>
      </c>
      <c r="C2587" s="569" t="s">
        <v>7375</v>
      </c>
      <c r="D2587" s="569">
        <v>3.9</v>
      </c>
      <c r="E2587" s="569">
        <v>5</v>
      </c>
      <c r="F2587" s="35" t="s">
        <v>7333</v>
      </c>
      <c r="G2587" s="73">
        <f t="shared" si="17"/>
        <v>9750000</v>
      </c>
      <c r="H2587" s="569" t="s">
        <v>18</v>
      </c>
      <c r="I2587" s="35" t="s">
        <v>7330</v>
      </c>
      <c r="J2587" s="531">
        <f t="shared" si="18"/>
        <v>20475000</v>
      </c>
    </row>
    <row r="2588" spans="1:10" ht="33.75">
      <c r="A2588" s="27" t="s">
        <v>7286</v>
      </c>
      <c r="B2588" s="300" t="s">
        <v>7376</v>
      </c>
      <c r="C2588" s="569" t="s">
        <v>7377</v>
      </c>
      <c r="D2588" s="569">
        <v>0.5</v>
      </c>
      <c r="E2588" s="569">
        <v>5</v>
      </c>
      <c r="F2588" s="35" t="s">
        <v>7333</v>
      </c>
      <c r="G2588" s="73">
        <f t="shared" si="17"/>
        <v>1250000</v>
      </c>
      <c r="H2588" s="569" t="s">
        <v>18</v>
      </c>
      <c r="I2588" s="35" t="s">
        <v>7330</v>
      </c>
      <c r="J2588" s="531">
        <f t="shared" si="18"/>
        <v>2625000</v>
      </c>
    </row>
    <row r="2589" spans="1:10" ht="33.75">
      <c r="A2589" s="27" t="s">
        <v>7286</v>
      </c>
      <c r="B2589" s="300" t="s">
        <v>7378</v>
      </c>
      <c r="C2589" s="569" t="s">
        <v>7379</v>
      </c>
      <c r="D2589" s="569">
        <v>1.6</v>
      </c>
      <c r="E2589" s="569">
        <v>5</v>
      </c>
      <c r="F2589" s="35" t="s">
        <v>7333</v>
      </c>
      <c r="G2589" s="73">
        <f t="shared" si="17"/>
        <v>4000000</v>
      </c>
      <c r="H2589" s="569" t="s">
        <v>18</v>
      </c>
      <c r="I2589" s="35" t="s">
        <v>7330</v>
      </c>
      <c r="J2589" s="531">
        <f>(D2589*1000*E2589*0.1)*10500</f>
        <v>8400000</v>
      </c>
    </row>
    <row r="2590" spans="1:10" ht="33.75">
      <c r="A2590" s="27" t="s">
        <v>7373</v>
      </c>
      <c r="B2590" s="300" t="s">
        <v>7380</v>
      </c>
      <c r="C2590" s="569" t="s">
        <v>7381</v>
      </c>
      <c r="D2590" s="569">
        <v>4.2</v>
      </c>
      <c r="E2590" s="569">
        <v>5</v>
      </c>
      <c r="F2590" s="35" t="s">
        <v>7333</v>
      </c>
      <c r="G2590" s="73">
        <f t="shared" si="17"/>
        <v>10500000</v>
      </c>
      <c r="H2590" s="569" t="s">
        <v>18</v>
      </c>
      <c r="I2590" s="35" t="s">
        <v>7330</v>
      </c>
      <c r="J2590" s="531">
        <f t="shared" ref="J2590:J2614" si="19">(D2590*1000*E2590*0.1)*10500</f>
        <v>22050000</v>
      </c>
    </row>
    <row r="2591" spans="1:10" ht="33.75">
      <c r="A2591" s="27" t="s">
        <v>7300</v>
      </c>
      <c r="B2591" s="300" t="s">
        <v>7382</v>
      </c>
      <c r="C2591" s="569" t="s">
        <v>7383</v>
      </c>
      <c r="D2591" s="569">
        <v>3.4</v>
      </c>
      <c r="E2591" s="569">
        <v>5</v>
      </c>
      <c r="F2591" s="35" t="s">
        <v>7333</v>
      </c>
      <c r="G2591" s="73">
        <f t="shared" si="17"/>
        <v>8500000</v>
      </c>
      <c r="H2591" s="569" t="s">
        <v>18</v>
      </c>
      <c r="I2591" s="35" t="s">
        <v>7330</v>
      </c>
      <c r="J2591" s="531">
        <f t="shared" si="19"/>
        <v>17850000</v>
      </c>
    </row>
    <row r="2592" spans="1:10" ht="33.75">
      <c r="A2592" s="27" t="s">
        <v>7300</v>
      </c>
      <c r="B2592" s="300" t="s">
        <v>7384</v>
      </c>
      <c r="C2592" s="569" t="s">
        <v>7385</v>
      </c>
      <c r="D2592" s="569">
        <v>5.7</v>
      </c>
      <c r="E2592" s="569">
        <v>5</v>
      </c>
      <c r="F2592" s="35" t="s">
        <v>7333</v>
      </c>
      <c r="G2592" s="73">
        <f t="shared" si="17"/>
        <v>14250000</v>
      </c>
      <c r="H2592" s="569" t="s">
        <v>18</v>
      </c>
      <c r="I2592" s="35" t="s">
        <v>7330</v>
      </c>
      <c r="J2592" s="531">
        <f t="shared" si="19"/>
        <v>29925000</v>
      </c>
    </row>
    <row r="2593" spans="1:10" ht="33.75">
      <c r="A2593" s="27" t="s">
        <v>7286</v>
      </c>
      <c r="B2593" s="300" t="s">
        <v>7386</v>
      </c>
      <c r="C2593" s="569" t="s">
        <v>7387</v>
      </c>
      <c r="D2593" s="569">
        <v>5.8</v>
      </c>
      <c r="E2593" s="569">
        <v>5</v>
      </c>
      <c r="F2593" s="35" t="s">
        <v>7333</v>
      </c>
      <c r="G2593" s="73">
        <f t="shared" si="17"/>
        <v>14500000</v>
      </c>
      <c r="H2593" s="569" t="s">
        <v>18</v>
      </c>
      <c r="I2593" s="35" t="s">
        <v>7330</v>
      </c>
      <c r="J2593" s="531">
        <f t="shared" si="19"/>
        <v>30450000</v>
      </c>
    </row>
    <row r="2594" spans="1:10" ht="33.75">
      <c r="A2594" s="27" t="s">
        <v>7300</v>
      </c>
      <c r="B2594" s="300" t="s">
        <v>4803</v>
      </c>
      <c r="C2594" s="569" t="s">
        <v>7388</v>
      </c>
      <c r="D2594" s="569">
        <v>2.7</v>
      </c>
      <c r="E2594" s="569">
        <v>5</v>
      </c>
      <c r="F2594" s="35" t="s">
        <v>7333</v>
      </c>
      <c r="G2594" s="73">
        <f t="shared" si="17"/>
        <v>6750000</v>
      </c>
      <c r="H2594" s="569" t="s">
        <v>18</v>
      </c>
      <c r="I2594" s="35" t="s">
        <v>7330</v>
      </c>
      <c r="J2594" s="531">
        <f t="shared" si="19"/>
        <v>14175000</v>
      </c>
    </row>
    <row r="2595" spans="1:10" ht="33.75">
      <c r="A2595" s="27" t="s">
        <v>7282</v>
      </c>
      <c r="B2595" s="300" t="s">
        <v>7389</v>
      </c>
      <c r="C2595" s="569" t="s">
        <v>7390</v>
      </c>
      <c r="D2595" s="569">
        <v>2.4</v>
      </c>
      <c r="E2595" s="569">
        <v>5</v>
      </c>
      <c r="F2595" s="35" t="s">
        <v>7333</v>
      </c>
      <c r="G2595" s="73">
        <f t="shared" si="17"/>
        <v>6000000</v>
      </c>
      <c r="H2595" s="569" t="s">
        <v>18</v>
      </c>
      <c r="I2595" s="35" t="s">
        <v>7330</v>
      </c>
      <c r="J2595" s="531">
        <f t="shared" si="19"/>
        <v>12600000</v>
      </c>
    </row>
    <row r="2596" spans="1:10" ht="33.75">
      <c r="A2596" s="27" t="s">
        <v>7282</v>
      </c>
      <c r="B2596" s="300" t="s">
        <v>7391</v>
      </c>
      <c r="C2596" s="569" t="s">
        <v>7392</v>
      </c>
      <c r="D2596" s="569">
        <v>6</v>
      </c>
      <c r="E2596" s="569">
        <v>5.5</v>
      </c>
      <c r="F2596" s="35" t="s">
        <v>7333</v>
      </c>
      <c r="G2596" s="73">
        <f t="shared" si="17"/>
        <v>16500000</v>
      </c>
      <c r="H2596" s="569" t="s">
        <v>18</v>
      </c>
      <c r="I2596" s="35" t="s">
        <v>7330</v>
      </c>
      <c r="J2596" s="531">
        <f t="shared" si="19"/>
        <v>34650000</v>
      </c>
    </row>
    <row r="2597" spans="1:10" ht="33.75">
      <c r="A2597" s="27" t="s">
        <v>7282</v>
      </c>
      <c r="B2597" s="300" t="s">
        <v>7393</v>
      </c>
      <c r="C2597" s="569" t="s">
        <v>7394</v>
      </c>
      <c r="D2597" s="569">
        <v>0.86</v>
      </c>
      <c r="E2597" s="569">
        <v>6</v>
      </c>
      <c r="F2597" s="35" t="s">
        <v>7333</v>
      </c>
      <c r="G2597" s="73">
        <f t="shared" si="17"/>
        <v>2580000</v>
      </c>
      <c r="H2597" s="569" t="s">
        <v>18</v>
      </c>
      <c r="I2597" s="35" t="s">
        <v>7330</v>
      </c>
      <c r="J2597" s="531">
        <f t="shared" si="19"/>
        <v>5418000</v>
      </c>
    </row>
    <row r="2598" spans="1:10" ht="33.75">
      <c r="A2598" s="27" t="s">
        <v>7300</v>
      </c>
      <c r="B2598" s="300" t="s">
        <v>7395</v>
      </c>
      <c r="C2598" s="569" t="s">
        <v>7396</v>
      </c>
      <c r="D2598" s="569">
        <v>9.1999999999999993</v>
      </c>
      <c r="E2598" s="569">
        <v>5</v>
      </c>
      <c r="F2598" s="35" t="s">
        <v>7333</v>
      </c>
      <c r="G2598" s="73">
        <f t="shared" si="17"/>
        <v>23000000</v>
      </c>
      <c r="H2598" s="569" t="s">
        <v>18</v>
      </c>
      <c r="I2598" s="35" t="s">
        <v>7330</v>
      </c>
      <c r="J2598" s="531">
        <f t="shared" si="19"/>
        <v>48300000</v>
      </c>
    </row>
    <row r="2599" spans="1:10" ht="33.75">
      <c r="A2599" s="27" t="s">
        <v>7282</v>
      </c>
      <c r="B2599" s="300" t="s">
        <v>7397</v>
      </c>
      <c r="C2599" s="569" t="s">
        <v>7398</v>
      </c>
      <c r="D2599" s="569">
        <v>1.3</v>
      </c>
      <c r="E2599" s="569">
        <v>5</v>
      </c>
      <c r="F2599" s="35" t="s">
        <v>7333</v>
      </c>
      <c r="G2599" s="73">
        <f t="shared" si="17"/>
        <v>3250000</v>
      </c>
      <c r="H2599" s="569" t="s">
        <v>18</v>
      </c>
      <c r="I2599" s="35" t="s">
        <v>7330</v>
      </c>
      <c r="J2599" s="531">
        <f t="shared" si="19"/>
        <v>6825000</v>
      </c>
    </row>
    <row r="2600" spans="1:10" ht="33.75">
      <c r="A2600" s="27" t="s">
        <v>7300</v>
      </c>
      <c r="B2600" s="300" t="s">
        <v>7399</v>
      </c>
      <c r="C2600" s="569" t="s">
        <v>7400</v>
      </c>
      <c r="D2600" s="569">
        <v>1.4</v>
      </c>
      <c r="E2600" s="569">
        <v>5</v>
      </c>
      <c r="F2600" s="35" t="s">
        <v>7333</v>
      </c>
      <c r="G2600" s="73">
        <f t="shared" si="17"/>
        <v>3500000</v>
      </c>
      <c r="H2600" s="569" t="s">
        <v>18</v>
      </c>
      <c r="I2600" s="35" t="s">
        <v>7330</v>
      </c>
      <c r="J2600" s="531">
        <f t="shared" si="19"/>
        <v>7350000</v>
      </c>
    </row>
    <row r="2601" spans="1:10" ht="33.75">
      <c r="A2601" s="27" t="s">
        <v>7300</v>
      </c>
      <c r="B2601" s="300" t="s">
        <v>7401</v>
      </c>
      <c r="C2601" s="569" t="s">
        <v>7402</v>
      </c>
      <c r="D2601" s="569">
        <v>6.8</v>
      </c>
      <c r="E2601" s="569">
        <v>5.5</v>
      </c>
      <c r="F2601" s="35" t="s">
        <v>7333</v>
      </c>
      <c r="G2601" s="73">
        <f t="shared" si="17"/>
        <v>18700000</v>
      </c>
      <c r="H2601" s="569" t="s">
        <v>18</v>
      </c>
      <c r="I2601" s="35" t="s">
        <v>7330</v>
      </c>
      <c r="J2601" s="531">
        <f t="shared" si="19"/>
        <v>39270000</v>
      </c>
    </row>
    <row r="2602" spans="1:10" ht="33.75">
      <c r="A2602" s="27" t="s">
        <v>7317</v>
      </c>
      <c r="B2602" s="300" t="s">
        <v>7403</v>
      </c>
      <c r="C2602" s="569" t="s">
        <v>7404</v>
      </c>
      <c r="D2602" s="569">
        <v>2.1</v>
      </c>
      <c r="E2602" s="569">
        <v>6</v>
      </c>
      <c r="F2602" s="35" t="s">
        <v>7333</v>
      </c>
      <c r="G2602" s="73">
        <f t="shared" si="17"/>
        <v>6300000</v>
      </c>
      <c r="H2602" s="569" t="s">
        <v>18</v>
      </c>
      <c r="I2602" s="35" t="s">
        <v>7330</v>
      </c>
      <c r="J2602" s="531">
        <f t="shared" si="19"/>
        <v>13230000</v>
      </c>
    </row>
    <row r="2603" spans="1:10" ht="33.75">
      <c r="A2603" s="27" t="s">
        <v>7317</v>
      </c>
      <c r="B2603" s="300" t="s">
        <v>621</v>
      </c>
      <c r="C2603" s="569" t="s">
        <v>7405</v>
      </c>
      <c r="D2603" s="569">
        <v>11.2</v>
      </c>
      <c r="E2603" s="569">
        <v>5</v>
      </c>
      <c r="F2603" s="35" t="s">
        <v>7333</v>
      </c>
      <c r="G2603" s="73">
        <f t="shared" si="17"/>
        <v>28000000</v>
      </c>
      <c r="H2603" s="569" t="s">
        <v>18</v>
      </c>
      <c r="I2603" s="35" t="s">
        <v>7330</v>
      </c>
      <c r="J2603" s="531">
        <f t="shared" si="19"/>
        <v>58800000</v>
      </c>
    </row>
    <row r="2604" spans="1:10" ht="33.75">
      <c r="A2604" s="27" t="s">
        <v>7317</v>
      </c>
      <c r="B2604" s="300" t="s">
        <v>7406</v>
      </c>
      <c r="C2604" s="569" t="s">
        <v>7407</v>
      </c>
      <c r="D2604" s="569">
        <v>7.5</v>
      </c>
      <c r="E2604" s="569">
        <v>5</v>
      </c>
      <c r="F2604" s="35" t="s">
        <v>7333</v>
      </c>
      <c r="G2604" s="73">
        <f t="shared" si="17"/>
        <v>18750000</v>
      </c>
      <c r="H2604" s="569" t="s">
        <v>18</v>
      </c>
      <c r="I2604" s="35" t="s">
        <v>7330</v>
      </c>
      <c r="J2604" s="531">
        <f t="shared" si="19"/>
        <v>39375000</v>
      </c>
    </row>
    <row r="2605" spans="1:10" ht="33.75">
      <c r="A2605" s="27" t="s">
        <v>7317</v>
      </c>
      <c r="B2605" s="300" t="s">
        <v>7408</v>
      </c>
      <c r="C2605" s="569" t="s">
        <v>7409</v>
      </c>
      <c r="D2605" s="569">
        <v>0.9</v>
      </c>
      <c r="E2605" s="569">
        <v>5</v>
      </c>
      <c r="F2605" s="35" t="s">
        <v>7333</v>
      </c>
      <c r="G2605" s="73">
        <f t="shared" si="17"/>
        <v>2250000</v>
      </c>
      <c r="H2605" s="569" t="s">
        <v>18</v>
      </c>
      <c r="I2605" s="35" t="s">
        <v>7330</v>
      </c>
      <c r="J2605" s="531">
        <f t="shared" si="19"/>
        <v>4725000</v>
      </c>
    </row>
    <row r="2606" spans="1:10" ht="33.75">
      <c r="A2606" s="27" t="s">
        <v>7317</v>
      </c>
      <c r="B2606" s="300" t="s">
        <v>7410</v>
      </c>
      <c r="C2606" s="569" t="s">
        <v>7411</v>
      </c>
      <c r="D2606" s="569">
        <v>3</v>
      </c>
      <c r="E2606" s="569">
        <v>5</v>
      </c>
      <c r="F2606" s="35" t="s">
        <v>7333</v>
      </c>
      <c r="G2606" s="73">
        <f t="shared" si="17"/>
        <v>7500000</v>
      </c>
      <c r="H2606" s="569" t="s">
        <v>18</v>
      </c>
      <c r="I2606" s="35" t="s">
        <v>7330</v>
      </c>
      <c r="J2606" s="531">
        <f t="shared" si="19"/>
        <v>15750000</v>
      </c>
    </row>
    <row r="2607" spans="1:10" ht="33.75">
      <c r="A2607" s="27" t="s">
        <v>7373</v>
      </c>
      <c r="B2607" s="300" t="s">
        <v>5807</v>
      </c>
      <c r="C2607" s="569" t="s">
        <v>7412</v>
      </c>
      <c r="D2607" s="569">
        <v>4.9000000000000004</v>
      </c>
      <c r="E2607" s="569">
        <v>5</v>
      </c>
      <c r="F2607" s="35" t="s">
        <v>7333</v>
      </c>
      <c r="G2607" s="73">
        <f t="shared" si="17"/>
        <v>12250000</v>
      </c>
      <c r="H2607" s="569" t="s">
        <v>18</v>
      </c>
      <c r="I2607" s="35" t="s">
        <v>7330</v>
      </c>
      <c r="J2607" s="531">
        <f t="shared" si="19"/>
        <v>25725000</v>
      </c>
    </row>
    <row r="2608" spans="1:10" ht="33.75">
      <c r="A2608" s="27" t="s">
        <v>7300</v>
      </c>
      <c r="B2608" s="300" t="s">
        <v>7413</v>
      </c>
      <c r="C2608" s="569" t="s">
        <v>7414</v>
      </c>
      <c r="D2608" s="569">
        <v>4.8</v>
      </c>
      <c r="E2608" s="569">
        <v>5</v>
      </c>
      <c r="F2608" s="35" t="s">
        <v>7333</v>
      </c>
      <c r="G2608" s="73">
        <f t="shared" si="17"/>
        <v>12000000</v>
      </c>
      <c r="H2608" s="569" t="s">
        <v>18</v>
      </c>
      <c r="I2608" s="35" t="s">
        <v>7330</v>
      </c>
      <c r="J2608" s="531">
        <f t="shared" si="19"/>
        <v>25200000</v>
      </c>
    </row>
    <row r="2609" spans="1:10" ht="33.75">
      <c r="A2609" s="27" t="s">
        <v>7300</v>
      </c>
      <c r="B2609" s="300" t="s">
        <v>7415</v>
      </c>
      <c r="C2609" s="569" t="s">
        <v>7416</v>
      </c>
      <c r="D2609" s="569">
        <v>5.0999999999999996</v>
      </c>
      <c r="E2609" s="569">
        <v>5</v>
      </c>
      <c r="F2609" s="35" t="s">
        <v>7333</v>
      </c>
      <c r="G2609" s="73">
        <f t="shared" si="17"/>
        <v>12750000</v>
      </c>
      <c r="H2609" s="569" t="s">
        <v>18</v>
      </c>
      <c r="I2609" s="35" t="s">
        <v>7330</v>
      </c>
      <c r="J2609" s="531">
        <f t="shared" si="19"/>
        <v>26775000</v>
      </c>
    </row>
    <row r="2610" spans="1:10" ht="33.75">
      <c r="A2610" s="27" t="s">
        <v>7300</v>
      </c>
      <c r="B2610" s="300" t="s">
        <v>7417</v>
      </c>
      <c r="C2610" s="569" t="s">
        <v>7418</v>
      </c>
      <c r="D2610" s="569">
        <v>0.8</v>
      </c>
      <c r="E2610" s="569">
        <v>5</v>
      </c>
      <c r="F2610" s="35" t="s">
        <v>7333</v>
      </c>
      <c r="G2610" s="73">
        <f t="shared" si="17"/>
        <v>2000000</v>
      </c>
      <c r="H2610" s="569" t="s">
        <v>18</v>
      </c>
      <c r="I2610" s="35" t="s">
        <v>7330</v>
      </c>
      <c r="J2610" s="531">
        <f t="shared" si="19"/>
        <v>4200000</v>
      </c>
    </row>
    <row r="2611" spans="1:10" ht="33.75">
      <c r="A2611" s="27" t="s">
        <v>7300</v>
      </c>
      <c r="B2611" s="300" t="s">
        <v>7419</v>
      </c>
      <c r="C2611" s="569" t="s">
        <v>7420</v>
      </c>
      <c r="D2611" s="569">
        <v>1.6</v>
      </c>
      <c r="E2611" s="569">
        <v>5</v>
      </c>
      <c r="F2611" s="35" t="s">
        <v>7333</v>
      </c>
      <c r="G2611" s="73">
        <f t="shared" si="17"/>
        <v>4000000</v>
      </c>
      <c r="H2611" s="569" t="s">
        <v>18</v>
      </c>
      <c r="I2611" s="35" t="s">
        <v>7330</v>
      </c>
      <c r="J2611" s="531">
        <f t="shared" si="19"/>
        <v>8400000</v>
      </c>
    </row>
    <row r="2612" spans="1:10" ht="33.75">
      <c r="A2612" s="27" t="s">
        <v>7282</v>
      </c>
      <c r="B2612" s="300" t="s">
        <v>7421</v>
      </c>
      <c r="C2612" s="569" t="s">
        <v>7422</v>
      </c>
      <c r="D2612" s="569">
        <v>5.9</v>
      </c>
      <c r="E2612" s="569">
        <v>6</v>
      </c>
      <c r="F2612" s="35" t="s">
        <v>7333</v>
      </c>
      <c r="G2612" s="73">
        <f t="shared" si="17"/>
        <v>17700000</v>
      </c>
      <c r="H2612" s="569" t="s">
        <v>18</v>
      </c>
      <c r="I2612" s="35" t="s">
        <v>7330</v>
      </c>
      <c r="J2612" s="531">
        <f t="shared" si="19"/>
        <v>37170000</v>
      </c>
    </row>
    <row r="2613" spans="1:10" ht="33.75">
      <c r="A2613" s="27" t="s">
        <v>7317</v>
      </c>
      <c r="B2613" s="300" t="s">
        <v>7423</v>
      </c>
      <c r="C2613" s="569" t="s">
        <v>7424</v>
      </c>
      <c r="D2613" s="569">
        <v>3</v>
      </c>
      <c r="E2613" s="569">
        <v>5</v>
      </c>
      <c r="F2613" s="35" t="s">
        <v>7333</v>
      </c>
      <c r="G2613" s="73">
        <f t="shared" si="17"/>
        <v>7500000</v>
      </c>
      <c r="H2613" s="569" t="s">
        <v>18</v>
      </c>
      <c r="I2613" s="35" t="s">
        <v>7330</v>
      </c>
      <c r="J2613" s="531">
        <f t="shared" si="19"/>
        <v>15750000</v>
      </c>
    </row>
    <row r="2614" spans="1:10" ht="33.75">
      <c r="A2614" s="27" t="s">
        <v>7317</v>
      </c>
      <c r="B2614" s="300" t="s">
        <v>7425</v>
      </c>
      <c r="C2614" s="569" t="s">
        <v>7426</v>
      </c>
      <c r="D2614" s="569">
        <v>2.4</v>
      </c>
      <c r="E2614" s="569">
        <v>5</v>
      </c>
      <c r="F2614" s="35" t="s">
        <v>7333</v>
      </c>
      <c r="G2614" s="73">
        <f t="shared" si="17"/>
        <v>6000000</v>
      </c>
      <c r="H2614" s="569" t="s">
        <v>18</v>
      </c>
      <c r="I2614" s="35" t="s">
        <v>7330</v>
      </c>
      <c r="J2614" s="531">
        <f t="shared" si="19"/>
        <v>12600000</v>
      </c>
    </row>
    <row r="2615" spans="1:10" ht="33.75">
      <c r="A2615" s="27" t="s">
        <v>7300</v>
      </c>
      <c r="B2615" s="300" t="s">
        <v>7427</v>
      </c>
      <c r="C2615" s="569" t="s">
        <v>7428</v>
      </c>
      <c r="D2615" s="569">
        <v>6.3</v>
      </c>
      <c r="E2615" s="569">
        <v>5</v>
      </c>
      <c r="F2615" s="35" t="s">
        <v>7333</v>
      </c>
      <c r="G2615" s="73">
        <f t="shared" si="17"/>
        <v>15750000</v>
      </c>
      <c r="H2615" s="569" t="s">
        <v>18</v>
      </c>
      <c r="I2615" s="35" t="s">
        <v>7330</v>
      </c>
      <c r="J2615" s="531">
        <f>(D2615*1000*E2615*0.1)*10500</f>
        <v>33075000</v>
      </c>
    </row>
    <row r="2616" spans="1:10" ht="33.75">
      <c r="A2616" s="27" t="s">
        <v>7300</v>
      </c>
      <c r="B2616" s="300" t="s">
        <v>7429</v>
      </c>
      <c r="C2616" s="569" t="s">
        <v>7428</v>
      </c>
      <c r="D2616" s="569">
        <v>0.45</v>
      </c>
      <c r="E2616" s="569">
        <v>5</v>
      </c>
      <c r="F2616" s="35" t="s">
        <v>7333</v>
      </c>
      <c r="G2616" s="73">
        <f t="shared" si="17"/>
        <v>1125000</v>
      </c>
      <c r="H2616" s="569" t="s">
        <v>18</v>
      </c>
      <c r="I2616" s="35" t="s">
        <v>7330</v>
      </c>
      <c r="J2616" s="531">
        <f t="shared" ref="J2616:J2626" si="20">(D2616*1000*E2616*0.1)*10500</f>
        <v>2362500</v>
      </c>
    </row>
    <row r="2617" spans="1:10" ht="33.75">
      <c r="A2617" s="27" t="s">
        <v>7271</v>
      </c>
      <c r="B2617" s="300" t="s">
        <v>2042</v>
      </c>
      <c r="C2617" s="569" t="s">
        <v>7430</v>
      </c>
      <c r="D2617" s="569">
        <v>1.7</v>
      </c>
      <c r="E2617" s="569">
        <v>5</v>
      </c>
      <c r="F2617" s="35" t="s">
        <v>7333</v>
      </c>
      <c r="G2617" s="73">
        <f t="shared" si="17"/>
        <v>4250000</v>
      </c>
      <c r="H2617" s="569" t="s">
        <v>18</v>
      </c>
      <c r="I2617" s="35" t="s">
        <v>7330</v>
      </c>
      <c r="J2617" s="531">
        <f t="shared" si="20"/>
        <v>8925000</v>
      </c>
    </row>
    <row r="2618" spans="1:10" ht="33.75">
      <c r="A2618" s="27" t="s">
        <v>7300</v>
      </c>
      <c r="B2618" s="300" t="s">
        <v>7431</v>
      </c>
      <c r="C2618" s="569" t="s">
        <v>7432</v>
      </c>
      <c r="D2618" s="569">
        <v>2.8</v>
      </c>
      <c r="E2618" s="569">
        <v>5</v>
      </c>
      <c r="F2618" s="35" t="s">
        <v>7333</v>
      </c>
      <c r="G2618" s="73">
        <f t="shared" si="17"/>
        <v>7000000</v>
      </c>
      <c r="H2618" s="569" t="s">
        <v>18</v>
      </c>
      <c r="I2618" s="35" t="s">
        <v>7330</v>
      </c>
      <c r="J2618" s="531">
        <f t="shared" si="20"/>
        <v>14700000</v>
      </c>
    </row>
    <row r="2619" spans="1:10" ht="33.75">
      <c r="A2619" s="27" t="s">
        <v>7300</v>
      </c>
      <c r="B2619" s="300" t="s">
        <v>7433</v>
      </c>
      <c r="C2619" s="569" t="s">
        <v>7434</v>
      </c>
      <c r="D2619" s="569">
        <v>1.3</v>
      </c>
      <c r="E2619" s="569">
        <v>5</v>
      </c>
      <c r="F2619" s="35" t="s">
        <v>7333</v>
      </c>
      <c r="G2619" s="73">
        <f t="shared" si="17"/>
        <v>3250000</v>
      </c>
      <c r="H2619" s="569" t="s">
        <v>18</v>
      </c>
      <c r="I2619" s="35" t="s">
        <v>7330</v>
      </c>
      <c r="J2619" s="531">
        <f t="shared" si="20"/>
        <v>6825000</v>
      </c>
    </row>
    <row r="2620" spans="1:10" ht="33.75">
      <c r="A2620" s="27" t="s">
        <v>7373</v>
      </c>
      <c r="B2620" s="300" t="s">
        <v>7435</v>
      </c>
      <c r="C2620" s="569" t="s">
        <v>7436</v>
      </c>
      <c r="D2620" s="569">
        <v>11.7</v>
      </c>
      <c r="E2620" s="569">
        <v>5</v>
      </c>
      <c r="F2620" s="35" t="s">
        <v>7333</v>
      </c>
      <c r="G2620" s="73">
        <f t="shared" si="17"/>
        <v>29250000</v>
      </c>
      <c r="H2620" s="569" t="s">
        <v>18</v>
      </c>
      <c r="I2620" s="35" t="s">
        <v>7330</v>
      </c>
      <c r="J2620" s="531">
        <f t="shared" si="20"/>
        <v>61425000</v>
      </c>
    </row>
    <row r="2621" spans="1:10" ht="33.75">
      <c r="A2621" s="27" t="s">
        <v>7300</v>
      </c>
      <c r="B2621" s="300" t="s">
        <v>7437</v>
      </c>
      <c r="C2621" s="569" t="s">
        <v>7438</v>
      </c>
      <c r="D2621" s="569">
        <v>18.5</v>
      </c>
      <c r="E2621" s="569">
        <v>5</v>
      </c>
      <c r="F2621" s="35" t="s">
        <v>7333</v>
      </c>
      <c r="G2621" s="73">
        <f t="shared" si="17"/>
        <v>46250000</v>
      </c>
      <c r="H2621" s="569" t="s">
        <v>18</v>
      </c>
      <c r="I2621" s="35" t="s">
        <v>7330</v>
      </c>
      <c r="J2621" s="531">
        <f t="shared" si="20"/>
        <v>97125000</v>
      </c>
    </row>
    <row r="2622" spans="1:10" ht="33.75">
      <c r="A2622" s="27" t="s">
        <v>7323</v>
      </c>
      <c r="B2622" s="300" t="s">
        <v>7439</v>
      </c>
      <c r="C2622" s="569" t="s">
        <v>7440</v>
      </c>
      <c r="D2622" s="569">
        <v>1.9</v>
      </c>
      <c r="E2622" s="569">
        <v>6</v>
      </c>
      <c r="F2622" s="35" t="s">
        <v>7333</v>
      </c>
      <c r="G2622" s="73">
        <f t="shared" si="17"/>
        <v>5700000</v>
      </c>
      <c r="H2622" s="569" t="s">
        <v>18</v>
      </c>
      <c r="I2622" s="35" t="s">
        <v>7330</v>
      </c>
      <c r="J2622" s="531">
        <f t="shared" si="20"/>
        <v>11970000</v>
      </c>
    </row>
    <row r="2623" spans="1:10" ht="33.75">
      <c r="A2623" s="27" t="s">
        <v>7296</v>
      </c>
      <c r="B2623" s="300" t="s">
        <v>7441</v>
      </c>
      <c r="C2623" s="569" t="s">
        <v>7442</v>
      </c>
      <c r="D2623" s="569">
        <v>12.1</v>
      </c>
      <c r="E2623" s="569">
        <v>6</v>
      </c>
      <c r="F2623" s="35" t="s">
        <v>7333</v>
      </c>
      <c r="G2623" s="73">
        <f t="shared" si="17"/>
        <v>36300000</v>
      </c>
      <c r="H2623" s="569" t="s">
        <v>18</v>
      </c>
      <c r="I2623" s="35" t="s">
        <v>7330</v>
      </c>
      <c r="J2623" s="531">
        <f t="shared" si="20"/>
        <v>76230000</v>
      </c>
    </row>
    <row r="2624" spans="1:10" ht="33.75">
      <c r="A2624" s="27" t="s">
        <v>7308</v>
      </c>
      <c r="B2624" s="300" t="s">
        <v>7326</v>
      </c>
      <c r="C2624" s="569" t="s">
        <v>7443</v>
      </c>
      <c r="D2624" s="569">
        <v>0.9</v>
      </c>
      <c r="E2624" s="569">
        <v>6</v>
      </c>
      <c r="F2624" s="35" t="s">
        <v>7333</v>
      </c>
      <c r="G2624" s="73">
        <f t="shared" si="17"/>
        <v>2700000</v>
      </c>
      <c r="H2624" s="569" t="s">
        <v>18</v>
      </c>
      <c r="I2624" s="35" t="s">
        <v>7330</v>
      </c>
      <c r="J2624" s="531">
        <f t="shared" si="20"/>
        <v>5670000</v>
      </c>
    </row>
    <row r="2625" spans="1:10" ht="33.75">
      <c r="A2625" s="27" t="s">
        <v>7296</v>
      </c>
      <c r="B2625" s="300" t="s">
        <v>7444</v>
      </c>
      <c r="C2625" s="569" t="s">
        <v>7445</v>
      </c>
      <c r="D2625" s="569">
        <v>8</v>
      </c>
      <c r="E2625" s="569">
        <v>6</v>
      </c>
      <c r="F2625" s="35" t="s">
        <v>7333</v>
      </c>
      <c r="G2625" s="73">
        <f t="shared" si="17"/>
        <v>24000000</v>
      </c>
      <c r="H2625" s="569" t="s">
        <v>18</v>
      </c>
      <c r="I2625" s="35" t="s">
        <v>7330</v>
      </c>
      <c r="J2625" s="531">
        <f t="shared" si="20"/>
        <v>50400000</v>
      </c>
    </row>
    <row r="2626" spans="1:10" ht="33.75">
      <c r="A2626" s="27" t="s">
        <v>7373</v>
      </c>
      <c r="B2626" s="300" t="s">
        <v>7446</v>
      </c>
      <c r="C2626" s="569" t="s">
        <v>7447</v>
      </c>
      <c r="D2626" s="569">
        <v>1.6</v>
      </c>
      <c r="E2626" s="569">
        <v>6</v>
      </c>
      <c r="F2626" s="35" t="s">
        <v>7333</v>
      </c>
      <c r="G2626" s="73">
        <f t="shared" si="17"/>
        <v>4800000</v>
      </c>
      <c r="H2626" s="569" t="s">
        <v>18</v>
      </c>
      <c r="I2626" s="35" t="s">
        <v>7330</v>
      </c>
      <c r="J2626" s="531">
        <f t="shared" si="20"/>
        <v>10080000</v>
      </c>
    </row>
    <row r="2627" spans="1:10" ht="33.75">
      <c r="A2627" s="22" t="s">
        <v>7300</v>
      </c>
      <c r="B2627" s="26" t="s">
        <v>7300</v>
      </c>
      <c r="C2627" s="569" t="s">
        <v>24348</v>
      </c>
      <c r="D2627" s="569">
        <v>12.19</v>
      </c>
      <c r="E2627" s="569">
        <v>0</v>
      </c>
      <c r="F2627" s="569" t="s">
        <v>23868</v>
      </c>
      <c r="G2627" s="73" t="s">
        <v>3307</v>
      </c>
      <c r="H2627" s="569">
        <v>2</v>
      </c>
      <c r="I2627" s="569" t="s">
        <v>23869</v>
      </c>
      <c r="J2627" s="531">
        <v>104000</v>
      </c>
    </row>
    <row r="2628" spans="1:10" ht="33.75">
      <c r="A2628" s="22" t="s">
        <v>7300</v>
      </c>
      <c r="B2628" s="26" t="s">
        <v>24349</v>
      </c>
      <c r="C2628" s="569" t="s">
        <v>24350</v>
      </c>
      <c r="D2628" s="569">
        <v>19.145</v>
      </c>
      <c r="E2628" s="569">
        <v>0</v>
      </c>
      <c r="F2628" s="569" t="s">
        <v>23868</v>
      </c>
      <c r="G2628" s="73" t="s">
        <v>3307</v>
      </c>
      <c r="H2628" s="569">
        <v>2</v>
      </c>
      <c r="I2628" s="569" t="s">
        <v>23869</v>
      </c>
      <c r="J2628" s="531">
        <v>104000</v>
      </c>
    </row>
    <row r="2629" spans="1:10" ht="33.75">
      <c r="A2629" s="22" t="s">
        <v>7296</v>
      </c>
      <c r="B2629" s="26" t="s">
        <v>7296</v>
      </c>
      <c r="C2629" s="569" t="s">
        <v>24351</v>
      </c>
      <c r="D2629" s="569">
        <v>4.5949999999999998</v>
      </c>
      <c r="E2629" s="569">
        <v>0</v>
      </c>
      <c r="F2629" s="569" t="s">
        <v>23874</v>
      </c>
      <c r="G2629" s="73">
        <v>0</v>
      </c>
      <c r="H2629" s="569">
        <v>1</v>
      </c>
      <c r="I2629" s="569" t="s">
        <v>24352</v>
      </c>
      <c r="J2629" s="531">
        <v>350000</v>
      </c>
    </row>
    <row r="2630" spans="1:10" ht="33.75">
      <c r="A2630" s="22" t="s">
        <v>23950</v>
      </c>
      <c r="B2630" s="26" t="s">
        <v>23950</v>
      </c>
      <c r="C2630" s="569" t="s">
        <v>24353</v>
      </c>
      <c r="D2630" s="569">
        <v>19.145</v>
      </c>
      <c r="E2630" s="569">
        <v>0</v>
      </c>
      <c r="F2630" s="569" t="s">
        <v>23874</v>
      </c>
      <c r="G2630" s="73">
        <v>0</v>
      </c>
      <c r="H2630" s="569">
        <v>1</v>
      </c>
      <c r="I2630" s="569" t="s">
        <v>23875</v>
      </c>
      <c r="J2630" s="531">
        <v>750000</v>
      </c>
    </row>
    <row r="2631" spans="1:10" ht="33.75">
      <c r="A2631" s="22" t="s">
        <v>7300</v>
      </c>
      <c r="B2631" s="26" t="s">
        <v>24349</v>
      </c>
      <c r="C2631" s="569" t="s">
        <v>24354</v>
      </c>
      <c r="D2631" s="569">
        <v>10.105</v>
      </c>
      <c r="E2631" s="569">
        <v>0</v>
      </c>
      <c r="F2631" s="569" t="s">
        <v>24355</v>
      </c>
      <c r="G2631" s="73">
        <v>0</v>
      </c>
      <c r="H2631" s="569">
        <v>2</v>
      </c>
      <c r="I2631" s="569" t="s">
        <v>24356</v>
      </c>
      <c r="J2631" s="531">
        <v>250000</v>
      </c>
    </row>
    <row r="2632" spans="1:10" ht="45">
      <c r="A2632" s="22" t="s">
        <v>7300</v>
      </c>
      <c r="B2632" s="26" t="s">
        <v>24349</v>
      </c>
      <c r="C2632" s="569" t="s">
        <v>24357</v>
      </c>
      <c r="D2632" s="569">
        <v>10.105</v>
      </c>
      <c r="E2632" s="569">
        <v>0</v>
      </c>
      <c r="F2632" s="569" t="s">
        <v>24358</v>
      </c>
      <c r="G2632" s="73">
        <v>0</v>
      </c>
      <c r="H2632" s="569">
        <v>1</v>
      </c>
      <c r="I2632" s="569" t="s">
        <v>24359</v>
      </c>
      <c r="J2632" s="531">
        <v>159000000</v>
      </c>
    </row>
    <row r="2633" spans="1:10" ht="33.75">
      <c r="A2633" s="22" t="s">
        <v>7317</v>
      </c>
      <c r="B2633" s="26" t="s">
        <v>7317</v>
      </c>
      <c r="C2633" s="569" t="s">
        <v>24360</v>
      </c>
      <c r="D2633" s="569">
        <v>7.88</v>
      </c>
      <c r="E2633" s="569">
        <v>0</v>
      </c>
      <c r="F2633" s="569" t="s">
        <v>24361</v>
      </c>
      <c r="G2633" s="73">
        <v>0</v>
      </c>
      <c r="H2633" s="569">
        <v>2</v>
      </c>
      <c r="I2633" s="569" t="s">
        <v>24362</v>
      </c>
      <c r="J2633" s="531">
        <v>5000000</v>
      </c>
    </row>
    <row r="2634" spans="1:10" ht="45">
      <c r="A2634" s="22" t="s">
        <v>9981</v>
      </c>
      <c r="B2634" s="26" t="s">
        <v>24363</v>
      </c>
      <c r="C2634" s="569" t="s">
        <v>24364</v>
      </c>
      <c r="D2634" s="569">
        <v>19.145</v>
      </c>
      <c r="E2634" s="569">
        <v>0</v>
      </c>
      <c r="F2634" s="569" t="s">
        <v>23958</v>
      </c>
      <c r="G2634" s="73">
        <v>0</v>
      </c>
      <c r="H2634" s="569">
        <v>1</v>
      </c>
      <c r="I2634" s="569" t="s">
        <v>23959</v>
      </c>
      <c r="J2634" s="531">
        <v>63500000</v>
      </c>
    </row>
    <row r="2635" spans="1:10" ht="33.75">
      <c r="A2635" s="22" t="s">
        <v>8272</v>
      </c>
      <c r="B2635" s="26" t="s">
        <v>24365</v>
      </c>
      <c r="C2635" s="569" t="s">
        <v>24366</v>
      </c>
      <c r="D2635" s="569">
        <v>2.4900000000000002</v>
      </c>
      <c r="E2635" s="569">
        <v>0</v>
      </c>
      <c r="F2635" s="569" t="s">
        <v>23958</v>
      </c>
      <c r="G2635" s="73">
        <v>0</v>
      </c>
      <c r="H2635" s="569">
        <v>1</v>
      </c>
      <c r="I2635" s="569" t="s">
        <v>24367</v>
      </c>
      <c r="J2635" s="531">
        <v>144420000</v>
      </c>
    </row>
    <row r="2636" spans="1:10" ht="67.5">
      <c r="A2636" s="22" t="s">
        <v>7300</v>
      </c>
      <c r="B2636" s="26" t="s">
        <v>24368</v>
      </c>
      <c r="C2636" s="569" t="s">
        <v>24369</v>
      </c>
      <c r="D2636" s="569">
        <v>4.6349999999999998</v>
      </c>
      <c r="E2636" s="569">
        <v>0</v>
      </c>
      <c r="F2636" s="569" t="s">
        <v>24370</v>
      </c>
      <c r="G2636" s="73">
        <v>0</v>
      </c>
      <c r="H2636" s="569">
        <v>1</v>
      </c>
      <c r="I2636" s="569" t="s">
        <v>24371</v>
      </c>
      <c r="J2636" s="531">
        <v>82445000</v>
      </c>
    </row>
    <row r="2637" spans="1:10" ht="67.5">
      <c r="A2637" s="22" t="s">
        <v>7300</v>
      </c>
      <c r="B2637" s="26" t="s">
        <v>24368</v>
      </c>
      <c r="C2637" s="569" t="s">
        <v>24372</v>
      </c>
      <c r="D2637" s="569">
        <v>11.46</v>
      </c>
      <c r="E2637" s="569">
        <v>0</v>
      </c>
      <c r="F2637" s="569" t="s">
        <v>24370</v>
      </c>
      <c r="G2637" s="73">
        <v>0</v>
      </c>
      <c r="H2637" s="569">
        <v>1</v>
      </c>
      <c r="I2637" s="569" t="s">
        <v>24371</v>
      </c>
      <c r="J2637" s="531">
        <v>82445000</v>
      </c>
    </row>
    <row r="2638" spans="1:10" ht="90">
      <c r="A2638" s="22" t="s">
        <v>1786</v>
      </c>
      <c r="B2638" s="26" t="s">
        <v>24373</v>
      </c>
      <c r="C2638" s="569" t="s">
        <v>24374</v>
      </c>
      <c r="D2638" s="569">
        <v>6.2350000000000003</v>
      </c>
      <c r="E2638" s="569">
        <v>0</v>
      </c>
      <c r="F2638" s="569" t="s">
        <v>24375</v>
      </c>
      <c r="G2638" s="73">
        <v>0</v>
      </c>
      <c r="H2638" s="569">
        <v>1</v>
      </c>
      <c r="I2638" s="569" t="s">
        <v>24376</v>
      </c>
      <c r="J2638" s="531">
        <v>81900000</v>
      </c>
    </row>
    <row r="2639" spans="1:10" ht="90">
      <c r="A2639" s="22" t="s">
        <v>1786</v>
      </c>
      <c r="B2639" s="26" t="s">
        <v>24373</v>
      </c>
      <c r="C2639" s="569" t="s">
        <v>24374</v>
      </c>
      <c r="D2639" s="569">
        <v>6.2350000000000003</v>
      </c>
      <c r="E2639" s="569">
        <v>0</v>
      </c>
      <c r="F2639" s="569" t="s">
        <v>24375</v>
      </c>
      <c r="G2639" s="73">
        <v>0</v>
      </c>
      <c r="H2639" s="569">
        <v>1</v>
      </c>
      <c r="I2639" s="569" t="s">
        <v>24376</v>
      </c>
      <c r="J2639" s="531">
        <v>81900000</v>
      </c>
    </row>
    <row r="2640" spans="1:10" ht="78.75">
      <c r="A2640" s="22" t="s">
        <v>23950</v>
      </c>
      <c r="B2640" s="26" t="s">
        <v>23950</v>
      </c>
      <c r="C2640" s="569" t="s">
        <v>24377</v>
      </c>
      <c r="D2640" s="569">
        <v>9.0500000000000007</v>
      </c>
      <c r="E2640" s="569">
        <v>0</v>
      </c>
      <c r="F2640" s="569" t="s">
        <v>24375</v>
      </c>
      <c r="G2640" s="73">
        <v>0</v>
      </c>
      <c r="H2640" s="569">
        <v>1</v>
      </c>
      <c r="I2640" s="569" t="s">
        <v>24378</v>
      </c>
      <c r="J2640" s="531">
        <v>53303333.333333336</v>
      </c>
    </row>
    <row r="2641" spans="1:10" ht="78.75">
      <c r="A2641" s="22" t="s">
        <v>23950</v>
      </c>
      <c r="B2641" s="26" t="s">
        <v>23950</v>
      </c>
      <c r="C2641" s="569" t="s">
        <v>24377</v>
      </c>
      <c r="D2641" s="569">
        <v>9.0500000000000007</v>
      </c>
      <c r="E2641" s="569">
        <v>0</v>
      </c>
      <c r="F2641" s="569" t="s">
        <v>24375</v>
      </c>
      <c r="G2641" s="73">
        <v>0</v>
      </c>
      <c r="H2641" s="569">
        <v>1</v>
      </c>
      <c r="I2641" s="569" t="s">
        <v>24378</v>
      </c>
      <c r="J2641" s="531">
        <v>53303333.333333336</v>
      </c>
    </row>
    <row r="2642" spans="1:10" ht="78.75">
      <c r="A2642" s="22" t="s">
        <v>23950</v>
      </c>
      <c r="B2642" s="26" t="s">
        <v>23950</v>
      </c>
      <c r="C2642" s="569" t="s">
        <v>24377</v>
      </c>
      <c r="D2642" s="569">
        <v>9.0500000000000007</v>
      </c>
      <c r="E2642" s="569">
        <v>0</v>
      </c>
      <c r="F2642" s="569" t="s">
        <v>24375</v>
      </c>
      <c r="G2642" s="73">
        <v>0</v>
      </c>
      <c r="H2642" s="569">
        <v>1</v>
      </c>
      <c r="I2642" s="569" t="s">
        <v>24378</v>
      </c>
      <c r="J2642" s="531">
        <v>53303333.333333336</v>
      </c>
    </row>
    <row r="2643" spans="1:10" ht="191.25">
      <c r="A2643" s="22" t="s">
        <v>8272</v>
      </c>
      <c r="B2643" s="26" t="s">
        <v>24365</v>
      </c>
      <c r="C2643" s="569" t="s">
        <v>24379</v>
      </c>
      <c r="D2643" s="569">
        <v>2.4900000000000002</v>
      </c>
      <c r="E2643" s="569">
        <v>0</v>
      </c>
      <c r="F2643" s="569" t="s">
        <v>23883</v>
      </c>
      <c r="G2643" s="73">
        <v>0</v>
      </c>
      <c r="H2643" s="569">
        <v>1</v>
      </c>
      <c r="I2643" s="569" t="s">
        <v>24380</v>
      </c>
      <c r="J2643" s="531">
        <v>280000000</v>
      </c>
    </row>
    <row r="2644" spans="1:10" ht="45">
      <c r="A2644" s="22" t="s">
        <v>5087</v>
      </c>
      <c r="B2644" s="26" t="s">
        <v>5087</v>
      </c>
      <c r="C2644" s="569" t="s">
        <v>24381</v>
      </c>
      <c r="D2644" s="569">
        <v>1.57</v>
      </c>
      <c r="E2644" s="569">
        <v>20</v>
      </c>
      <c r="F2644" s="569" t="s">
        <v>24382</v>
      </c>
      <c r="G2644" s="73">
        <v>0</v>
      </c>
      <c r="H2644" s="569">
        <v>0</v>
      </c>
      <c r="I2644" s="569" t="s">
        <v>24383</v>
      </c>
      <c r="J2644" s="531">
        <v>400000</v>
      </c>
    </row>
    <row r="2645" spans="1:10" ht="45">
      <c r="A2645" s="22" t="s">
        <v>5087</v>
      </c>
      <c r="B2645" s="26" t="s">
        <v>24384</v>
      </c>
      <c r="C2645" s="569" t="s">
        <v>24385</v>
      </c>
      <c r="D2645" s="569">
        <v>1.57</v>
      </c>
      <c r="E2645" s="569">
        <v>3</v>
      </c>
      <c r="F2645" s="569" t="s">
        <v>24386</v>
      </c>
      <c r="G2645" s="73">
        <v>0</v>
      </c>
      <c r="H2645" s="569">
        <v>0</v>
      </c>
      <c r="I2645" s="569" t="s">
        <v>23542</v>
      </c>
      <c r="J2645" s="531">
        <v>700000</v>
      </c>
    </row>
    <row r="2646" spans="1:10">
      <c r="A2646" s="22" t="s">
        <v>110</v>
      </c>
      <c r="B2646" s="26">
        <v>0</v>
      </c>
      <c r="C2646" s="569" t="s">
        <v>24387</v>
      </c>
      <c r="D2646" s="569">
        <v>8.9499999999999993</v>
      </c>
      <c r="E2646" s="569">
        <v>0</v>
      </c>
      <c r="F2646" s="569" t="s">
        <v>23929</v>
      </c>
      <c r="G2646" s="73">
        <v>0</v>
      </c>
      <c r="H2646" s="569">
        <v>0</v>
      </c>
      <c r="I2646" s="569" t="s">
        <v>23930</v>
      </c>
      <c r="J2646" s="531">
        <v>0</v>
      </c>
    </row>
    <row r="2647" spans="1:10">
      <c r="A2647" s="22" t="s">
        <v>110</v>
      </c>
      <c r="B2647" s="26">
        <v>0</v>
      </c>
      <c r="C2647" s="569" t="s">
        <v>24388</v>
      </c>
      <c r="D2647" s="569">
        <v>10.54</v>
      </c>
      <c r="E2647" s="569">
        <v>0</v>
      </c>
      <c r="F2647" s="569" t="s">
        <v>23929</v>
      </c>
      <c r="G2647" s="73">
        <v>0</v>
      </c>
      <c r="H2647" s="569">
        <v>0</v>
      </c>
      <c r="I2647" s="569" t="s">
        <v>23930</v>
      </c>
      <c r="J2647" s="531">
        <v>0</v>
      </c>
    </row>
    <row r="2648" spans="1:10">
      <c r="A2648" s="22" t="s">
        <v>110</v>
      </c>
      <c r="B2648" s="26">
        <v>0</v>
      </c>
      <c r="C2648" s="569" t="s">
        <v>24389</v>
      </c>
      <c r="D2648" s="569">
        <v>9.01</v>
      </c>
      <c r="E2648" s="569">
        <v>0</v>
      </c>
      <c r="F2648" s="569" t="s">
        <v>23929</v>
      </c>
      <c r="G2648" s="73">
        <v>0</v>
      </c>
      <c r="H2648" s="569">
        <v>0</v>
      </c>
      <c r="I2648" s="569" t="s">
        <v>23930</v>
      </c>
      <c r="J2648" s="531">
        <v>0</v>
      </c>
    </row>
    <row r="2649" spans="1:10" ht="33.75">
      <c r="A2649" s="22" t="s">
        <v>5286</v>
      </c>
      <c r="B2649" s="26">
        <v>0</v>
      </c>
      <c r="C2649" s="569" t="s">
        <v>24390</v>
      </c>
      <c r="D2649" s="569">
        <v>5.2649999999999997</v>
      </c>
      <c r="E2649" s="569">
        <v>0</v>
      </c>
      <c r="F2649" s="569">
        <v>0</v>
      </c>
      <c r="G2649" s="73">
        <v>40000000</v>
      </c>
      <c r="H2649" s="569">
        <v>0</v>
      </c>
      <c r="I2649" s="569" t="s">
        <v>23933</v>
      </c>
      <c r="J2649" s="531">
        <v>0</v>
      </c>
    </row>
    <row r="2650" spans="1:10" ht="33.75">
      <c r="A2650" s="22" t="s">
        <v>5286</v>
      </c>
      <c r="B2650" s="26">
        <v>0</v>
      </c>
      <c r="C2650" s="569" t="s">
        <v>24391</v>
      </c>
      <c r="D2650" s="569">
        <v>6.6749999999999998</v>
      </c>
      <c r="E2650" s="569">
        <v>0</v>
      </c>
      <c r="F2650" s="569">
        <v>0</v>
      </c>
      <c r="G2650" s="73">
        <v>75000000</v>
      </c>
      <c r="H2650" s="569">
        <v>0</v>
      </c>
      <c r="I2650" s="569" t="s">
        <v>23933</v>
      </c>
      <c r="J2650" s="531">
        <v>0</v>
      </c>
    </row>
    <row r="2651" spans="1:10" ht="33.75">
      <c r="A2651" s="22" t="s">
        <v>5286</v>
      </c>
      <c r="B2651" s="26">
        <v>0</v>
      </c>
      <c r="C2651" s="569" t="s">
        <v>24392</v>
      </c>
      <c r="D2651" s="569">
        <v>6.15</v>
      </c>
      <c r="E2651" s="569">
        <v>0</v>
      </c>
      <c r="F2651" s="569">
        <v>0</v>
      </c>
      <c r="G2651" s="73">
        <v>45000000</v>
      </c>
      <c r="H2651" s="569">
        <v>0</v>
      </c>
      <c r="I2651" s="569" t="s">
        <v>23933</v>
      </c>
      <c r="J2651" s="531">
        <v>0</v>
      </c>
    </row>
    <row r="2652" spans="1:10" ht="33.75">
      <c r="A2652" s="22" t="s">
        <v>9254</v>
      </c>
      <c r="B2652" s="26">
        <v>0</v>
      </c>
      <c r="C2652" s="569" t="s">
        <v>24393</v>
      </c>
      <c r="D2652" s="569">
        <v>12.565</v>
      </c>
      <c r="E2652" s="569">
        <v>0</v>
      </c>
      <c r="F2652" s="569">
        <v>0</v>
      </c>
      <c r="G2652" s="73">
        <v>125000000</v>
      </c>
      <c r="H2652" s="569">
        <v>0</v>
      </c>
      <c r="I2652" s="569" t="s">
        <v>23933</v>
      </c>
      <c r="J2652" s="531">
        <v>0</v>
      </c>
    </row>
    <row r="2653" spans="1:10" ht="22.5">
      <c r="A2653" s="22" t="s">
        <v>110</v>
      </c>
      <c r="B2653" s="26">
        <v>0</v>
      </c>
      <c r="C2653" s="569" t="s">
        <v>24394</v>
      </c>
      <c r="D2653" s="569">
        <v>14.25</v>
      </c>
      <c r="E2653" s="569">
        <v>0</v>
      </c>
      <c r="F2653" s="569" t="s">
        <v>24395</v>
      </c>
      <c r="G2653" s="73">
        <v>0</v>
      </c>
      <c r="H2653" s="569">
        <v>0</v>
      </c>
      <c r="I2653" s="569" t="s">
        <v>24396</v>
      </c>
      <c r="J2653" s="531">
        <v>0</v>
      </c>
    </row>
    <row r="2654" spans="1:10" ht="22.5">
      <c r="A2654" s="22" t="s">
        <v>110</v>
      </c>
      <c r="B2654" s="26">
        <v>0</v>
      </c>
      <c r="C2654" s="569" t="s">
        <v>24397</v>
      </c>
      <c r="D2654" s="569">
        <v>5.47</v>
      </c>
      <c r="E2654" s="569">
        <v>0</v>
      </c>
      <c r="F2654" s="569" t="s">
        <v>23988</v>
      </c>
      <c r="G2654" s="73">
        <v>0</v>
      </c>
      <c r="H2654" s="569">
        <v>0</v>
      </c>
      <c r="I2654" s="569" t="s">
        <v>23935</v>
      </c>
      <c r="J2654" s="531">
        <v>0</v>
      </c>
    </row>
    <row r="2655" spans="1:10" ht="22.5">
      <c r="A2655" s="22" t="s">
        <v>5286</v>
      </c>
      <c r="B2655" s="26">
        <v>0</v>
      </c>
      <c r="C2655" s="569" t="s">
        <v>24398</v>
      </c>
      <c r="D2655" s="569">
        <v>3.22</v>
      </c>
      <c r="E2655" s="569">
        <v>0</v>
      </c>
      <c r="F2655" s="569">
        <v>0</v>
      </c>
      <c r="G2655" s="73">
        <v>10000000</v>
      </c>
      <c r="H2655" s="569">
        <v>0</v>
      </c>
      <c r="I2655" s="569" t="s">
        <v>23935</v>
      </c>
      <c r="J2655" s="531">
        <v>0</v>
      </c>
    </row>
    <row r="2656" spans="1:10" ht="90">
      <c r="A2656" s="634" t="s">
        <v>4781</v>
      </c>
      <c r="B2656" s="375" t="s">
        <v>8307</v>
      </c>
      <c r="C2656" s="375" t="s">
        <v>25137</v>
      </c>
      <c r="D2656" s="375" t="s">
        <v>25138</v>
      </c>
      <c r="E2656" s="375"/>
      <c r="F2656" s="375" t="s">
        <v>25139</v>
      </c>
      <c r="G2656" s="551"/>
      <c r="H2656" s="375"/>
      <c r="I2656" s="375" t="s">
        <v>25140</v>
      </c>
      <c r="J2656" s="508"/>
    </row>
    <row r="2657" spans="1:10" ht="15.75">
      <c r="A2657" s="658"/>
      <c r="B2657" s="301"/>
      <c r="C2657" s="301"/>
      <c r="D2657" s="301"/>
      <c r="E2657" s="302"/>
      <c r="F2657" s="303"/>
      <c r="G2657" s="489"/>
      <c r="H2657" s="301"/>
      <c r="I2657" s="303"/>
      <c r="J2657" s="659"/>
    </row>
    <row r="2658" spans="1:10" ht="15.75">
      <c r="A2658" s="1013" t="s">
        <v>6444</v>
      </c>
      <c r="B2658" s="1014"/>
      <c r="C2658" s="1014"/>
      <c r="D2658" s="1014"/>
      <c r="E2658" s="1014"/>
      <c r="F2658" s="1014"/>
      <c r="G2658" s="550">
        <f>SUM(G2546:G2657)</f>
        <v>2062412500</v>
      </c>
      <c r="H2658" s="564"/>
      <c r="I2658" s="564"/>
      <c r="J2658" s="626">
        <f>SUM(J2546:J2657)</f>
        <v>5664696113.1820002</v>
      </c>
    </row>
    <row r="2659" spans="1:10" ht="15.75">
      <c r="A2659" s="1013" t="s">
        <v>7448</v>
      </c>
      <c r="B2659" s="1014"/>
      <c r="C2659" s="1014"/>
      <c r="D2659" s="1014"/>
      <c r="E2659" s="1014"/>
      <c r="F2659" s="1014"/>
      <c r="G2659" s="1014"/>
      <c r="H2659" s="1014"/>
      <c r="I2659" s="1014"/>
      <c r="J2659" s="1015"/>
    </row>
    <row r="2660" spans="1:10" ht="153">
      <c r="A2660" s="23" t="s">
        <v>5224</v>
      </c>
      <c r="B2660" s="610" t="s">
        <v>7449</v>
      </c>
      <c r="C2660" s="44" t="s">
        <v>7450</v>
      </c>
      <c r="D2660" s="569" t="s">
        <v>7451</v>
      </c>
      <c r="E2660" s="569">
        <v>5</v>
      </c>
      <c r="F2660" s="304" t="s">
        <v>7452</v>
      </c>
      <c r="G2660" s="73">
        <v>1500000</v>
      </c>
      <c r="H2660" s="569" t="s">
        <v>330</v>
      </c>
      <c r="I2660" s="304" t="s">
        <v>7453</v>
      </c>
      <c r="J2660" s="531">
        <v>1500000</v>
      </c>
    </row>
    <row r="2661" spans="1:10" ht="140.25">
      <c r="A2661" s="27"/>
      <c r="B2661" s="44" t="s">
        <v>7449</v>
      </c>
      <c r="C2661" s="611" t="s">
        <v>7454</v>
      </c>
      <c r="D2661" s="569" t="s">
        <v>1750</v>
      </c>
      <c r="E2661" s="569">
        <v>5</v>
      </c>
      <c r="F2661" s="304" t="s">
        <v>7455</v>
      </c>
      <c r="G2661" s="73">
        <v>2500000</v>
      </c>
      <c r="H2661" s="569" t="s">
        <v>330</v>
      </c>
      <c r="I2661" s="305" t="s">
        <v>7456</v>
      </c>
      <c r="J2661" s="531">
        <v>2500000</v>
      </c>
    </row>
    <row r="2662" spans="1:10" ht="76.5">
      <c r="A2662" s="27"/>
      <c r="B2662" s="44" t="s">
        <v>7449</v>
      </c>
      <c r="C2662" s="44" t="s">
        <v>7457</v>
      </c>
      <c r="D2662" s="569" t="s">
        <v>7458</v>
      </c>
      <c r="E2662" s="569">
        <v>5.5</v>
      </c>
      <c r="F2662" s="304" t="s">
        <v>7459</v>
      </c>
      <c r="G2662" s="73">
        <v>2500000</v>
      </c>
      <c r="H2662" s="569" t="s">
        <v>330</v>
      </c>
      <c r="I2662" s="305" t="s">
        <v>7460</v>
      </c>
      <c r="J2662" s="531">
        <v>2500000</v>
      </c>
    </row>
    <row r="2663" spans="1:10" ht="77.25">
      <c r="A2663" s="27"/>
      <c r="B2663" s="44" t="s">
        <v>7461</v>
      </c>
      <c r="C2663" s="44" t="s">
        <v>7462</v>
      </c>
      <c r="D2663" s="569" t="s">
        <v>1750</v>
      </c>
      <c r="E2663" s="569">
        <v>5</v>
      </c>
      <c r="F2663" s="304" t="s">
        <v>7463</v>
      </c>
      <c r="G2663" s="73">
        <v>1000000</v>
      </c>
      <c r="H2663" s="569" t="s">
        <v>330</v>
      </c>
      <c r="I2663" s="305" t="s">
        <v>7464</v>
      </c>
      <c r="J2663" s="531">
        <v>1000000</v>
      </c>
    </row>
    <row r="2664" spans="1:10" ht="76.5">
      <c r="A2664" s="27"/>
      <c r="B2664" s="44" t="s">
        <v>7465</v>
      </c>
      <c r="C2664" s="44" t="s">
        <v>7466</v>
      </c>
      <c r="D2664" s="569" t="s">
        <v>3253</v>
      </c>
      <c r="E2664" s="569">
        <v>5</v>
      </c>
      <c r="F2664" s="304" t="s">
        <v>7467</v>
      </c>
      <c r="G2664" s="73">
        <v>1000000</v>
      </c>
      <c r="H2664" s="569" t="s">
        <v>330</v>
      </c>
      <c r="I2664" s="305" t="s">
        <v>7468</v>
      </c>
      <c r="J2664" s="531">
        <v>1000000</v>
      </c>
    </row>
    <row r="2665" spans="1:10" ht="33.75">
      <c r="A2665" s="22" t="s">
        <v>6020</v>
      </c>
      <c r="B2665" s="26" t="s">
        <v>6417</v>
      </c>
      <c r="C2665" s="569" t="s">
        <v>23863</v>
      </c>
      <c r="D2665" s="569">
        <v>6.82</v>
      </c>
      <c r="E2665" s="569">
        <v>3.7</v>
      </c>
      <c r="F2665" s="569" t="s">
        <v>23864</v>
      </c>
      <c r="G2665" s="73" t="s">
        <v>3307</v>
      </c>
      <c r="H2665" s="569">
        <v>1</v>
      </c>
      <c r="I2665" s="569" t="s">
        <v>23865</v>
      </c>
      <c r="J2665" s="531">
        <v>843000</v>
      </c>
    </row>
    <row r="2666" spans="1:10" ht="33.75">
      <c r="A2666" s="22" t="s">
        <v>4700</v>
      </c>
      <c r="B2666" s="26" t="s">
        <v>23866</v>
      </c>
      <c r="C2666" s="569" t="s">
        <v>23867</v>
      </c>
      <c r="D2666" s="569">
        <v>6.9</v>
      </c>
      <c r="E2666" s="569">
        <v>6.3</v>
      </c>
      <c r="F2666" s="569" t="s">
        <v>23868</v>
      </c>
      <c r="G2666" s="73" t="s">
        <v>3307</v>
      </c>
      <c r="H2666" s="569">
        <v>2</v>
      </c>
      <c r="I2666" s="569" t="s">
        <v>23869</v>
      </c>
      <c r="J2666" s="531">
        <v>262743.59999999998</v>
      </c>
    </row>
    <row r="2667" spans="1:10" ht="33.75">
      <c r="A2667" s="22" t="s">
        <v>23866</v>
      </c>
      <c r="B2667" s="26" t="s">
        <v>23866</v>
      </c>
      <c r="C2667" s="569" t="s">
        <v>23870</v>
      </c>
      <c r="D2667" s="569">
        <v>6.9</v>
      </c>
      <c r="E2667" s="569">
        <v>0</v>
      </c>
      <c r="F2667" s="569" t="s">
        <v>23868</v>
      </c>
      <c r="G2667" s="73">
        <v>0</v>
      </c>
      <c r="H2667" s="569">
        <v>2</v>
      </c>
      <c r="I2667" s="569" t="s">
        <v>23869</v>
      </c>
      <c r="J2667" s="531">
        <v>104000</v>
      </c>
    </row>
    <row r="2668" spans="1:10" ht="33.75">
      <c r="A2668" s="22" t="s">
        <v>23871</v>
      </c>
      <c r="B2668" s="26" t="s">
        <v>23872</v>
      </c>
      <c r="C2668" s="569" t="s">
        <v>23873</v>
      </c>
      <c r="D2668" s="569">
        <v>11.654999999999999</v>
      </c>
      <c r="E2668" s="569">
        <v>0</v>
      </c>
      <c r="F2668" s="569" t="s">
        <v>23874</v>
      </c>
      <c r="G2668" s="73">
        <v>0</v>
      </c>
      <c r="H2668" s="569">
        <v>1</v>
      </c>
      <c r="I2668" s="569" t="s">
        <v>23875</v>
      </c>
      <c r="J2668" s="531">
        <v>900000</v>
      </c>
    </row>
    <row r="2669" spans="1:10" ht="33.75">
      <c r="A2669" s="22" t="s">
        <v>23871</v>
      </c>
      <c r="B2669" s="26" t="s">
        <v>23872</v>
      </c>
      <c r="C2669" s="569" t="s">
        <v>23876</v>
      </c>
      <c r="D2669" s="569">
        <v>11.654999999999999</v>
      </c>
      <c r="E2669" s="569">
        <v>0</v>
      </c>
      <c r="F2669" s="569" t="s">
        <v>23874</v>
      </c>
      <c r="G2669" s="73">
        <v>0</v>
      </c>
      <c r="H2669" s="569">
        <v>1</v>
      </c>
      <c r="I2669" s="569" t="s">
        <v>23875</v>
      </c>
      <c r="J2669" s="531">
        <v>500000</v>
      </c>
    </row>
    <row r="2670" spans="1:10" ht="33.75">
      <c r="A2670" s="22" t="s">
        <v>23871</v>
      </c>
      <c r="B2670" s="26" t="s">
        <v>23872</v>
      </c>
      <c r="C2670" s="569" t="s">
        <v>23877</v>
      </c>
      <c r="D2670" s="569">
        <v>11.654999999999999</v>
      </c>
      <c r="E2670" s="569">
        <v>0</v>
      </c>
      <c r="F2670" s="569" t="s">
        <v>23874</v>
      </c>
      <c r="G2670" s="73">
        <v>0</v>
      </c>
      <c r="H2670" s="569">
        <v>1</v>
      </c>
      <c r="I2670" s="569" t="s">
        <v>23875</v>
      </c>
      <c r="J2670" s="531">
        <v>832000</v>
      </c>
    </row>
    <row r="2671" spans="1:10" ht="33.75">
      <c r="A2671" s="22" t="s">
        <v>23871</v>
      </c>
      <c r="B2671" s="26" t="s">
        <v>23872</v>
      </c>
      <c r="C2671" s="569" t="s">
        <v>23878</v>
      </c>
      <c r="D2671" s="569">
        <v>11.654999999999999</v>
      </c>
      <c r="E2671" s="569">
        <v>0</v>
      </c>
      <c r="F2671" s="569" t="s">
        <v>23874</v>
      </c>
      <c r="G2671" s="73">
        <v>0</v>
      </c>
      <c r="H2671" s="569">
        <v>1</v>
      </c>
      <c r="I2671" s="569" t="s">
        <v>23875</v>
      </c>
      <c r="J2671" s="531">
        <v>200000</v>
      </c>
    </row>
    <row r="2672" spans="1:10" ht="45">
      <c r="A2672" s="22" t="s">
        <v>4700</v>
      </c>
      <c r="B2672" s="26" t="s">
        <v>23866</v>
      </c>
      <c r="C2672" s="569" t="s">
        <v>23879</v>
      </c>
      <c r="D2672" s="569">
        <v>6.9</v>
      </c>
      <c r="E2672" s="569">
        <v>0</v>
      </c>
      <c r="F2672" s="569" t="s">
        <v>23880</v>
      </c>
      <c r="G2672" s="73">
        <v>0</v>
      </c>
      <c r="H2672" s="569">
        <v>1</v>
      </c>
      <c r="I2672" s="569" t="s">
        <v>23881</v>
      </c>
      <c r="J2672" s="531">
        <v>45000000</v>
      </c>
    </row>
    <row r="2673" spans="1:10" ht="67.5">
      <c r="A2673" s="22" t="s">
        <v>6020</v>
      </c>
      <c r="B2673" s="26" t="s">
        <v>6417</v>
      </c>
      <c r="C2673" s="569" t="s">
        <v>23882</v>
      </c>
      <c r="D2673" s="569">
        <v>6.82</v>
      </c>
      <c r="E2673" s="569">
        <v>0</v>
      </c>
      <c r="F2673" s="569" t="s">
        <v>23883</v>
      </c>
      <c r="G2673" s="73">
        <v>0</v>
      </c>
      <c r="H2673" s="569">
        <v>1</v>
      </c>
      <c r="I2673" s="569" t="s">
        <v>23884</v>
      </c>
      <c r="J2673" s="531">
        <v>147000000</v>
      </c>
    </row>
    <row r="2674" spans="1:10" ht="15.75">
      <c r="A2674" s="658"/>
      <c r="B2674" s="301"/>
      <c r="C2674" s="301"/>
      <c r="D2674" s="301"/>
      <c r="E2674" s="302"/>
      <c r="F2674" s="303"/>
      <c r="G2674" s="489"/>
      <c r="H2674" s="301"/>
      <c r="I2674" s="303"/>
      <c r="J2674" s="659"/>
    </row>
    <row r="2675" spans="1:10" ht="15.75">
      <c r="A2675" s="1013" t="s">
        <v>6444</v>
      </c>
      <c r="B2675" s="1014"/>
      <c r="C2675" s="1014"/>
      <c r="D2675" s="1014"/>
      <c r="E2675" s="1014"/>
      <c r="F2675" s="1014"/>
      <c r="G2675" s="550">
        <f>SUM(G2660:G2674)</f>
        <v>8500000</v>
      </c>
      <c r="H2675" s="564"/>
      <c r="I2675" s="564"/>
      <c r="J2675" s="626">
        <f>SUM(J2660:J2674)</f>
        <v>204141743.59999999</v>
      </c>
    </row>
    <row r="2676" spans="1:10" ht="15.75">
      <c r="A2676" s="1013" t="s">
        <v>7469</v>
      </c>
      <c r="B2676" s="1014"/>
      <c r="C2676" s="1014"/>
      <c r="D2676" s="1014"/>
      <c r="E2676" s="1014"/>
      <c r="F2676" s="1014"/>
      <c r="G2676" s="1014"/>
      <c r="H2676" s="1014"/>
      <c r="I2676" s="1014"/>
      <c r="J2676" s="1015"/>
    </row>
    <row r="2677" spans="1:10" ht="67.5">
      <c r="A2677" s="660" t="s">
        <v>7470</v>
      </c>
      <c r="B2677" s="612" t="s">
        <v>7471</v>
      </c>
      <c r="C2677" s="613" t="s">
        <v>7472</v>
      </c>
      <c r="D2677" s="613">
        <v>16.399999999999999</v>
      </c>
      <c r="E2677" s="613">
        <v>5</v>
      </c>
      <c r="F2677" s="613" t="s">
        <v>7473</v>
      </c>
      <c r="G2677" s="614"/>
      <c r="H2677" s="613">
        <v>2</v>
      </c>
      <c r="I2677" s="613" t="s">
        <v>7474</v>
      </c>
      <c r="J2677" s="661">
        <f t="shared" ref="J2677:J2720" si="21">D2677*15000000</f>
        <v>245999999.99999997</v>
      </c>
    </row>
    <row r="2678" spans="1:10" ht="67.5">
      <c r="A2678" s="660" t="s">
        <v>7470</v>
      </c>
      <c r="B2678" s="612" t="s">
        <v>7471</v>
      </c>
      <c r="C2678" s="613" t="s">
        <v>7475</v>
      </c>
      <c r="D2678" s="613">
        <v>7</v>
      </c>
      <c r="E2678" s="613">
        <v>5</v>
      </c>
      <c r="F2678" s="613" t="s">
        <v>7473</v>
      </c>
      <c r="G2678" s="614"/>
      <c r="H2678" s="613">
        <v>2</v>
      </c>
      <c r="I2678" s="613" t="s">
        <v>7474</v>
      </c>
      <c r="J2678" s="661">
        <f t="shared" si="21"/>
        <v>105000000</v>
      </c>
    </row>
    <row r="2679" spans="1:10" ht="67.5">
      <c r="A2679" s="660" t="s">
        <v>7470</v>
      </c>
      <c r="B2679" s="612" t="s">
        <v>7470</v>
      </c>
      <c r="C2679" s="613" t="s">
        <v>7476</v>
      </c>
      <c r="D2679" s="613">
        <v>8.8000000000000007</v>
      </c>
      <c r="E2679" s="613">
        <v>5</v>
      </c>
      <c r="F2679" s="613" t="s">
        <v>7473</v>
      </c>
      <c r="G2679" s="614"/>
      <c r="H2679" s="613">
        <v>1</v>
      </c>
      <c r="I2679" s="613" t="s">
        <v>7474</v>
      </c>
      <c r="J2679" s="661">
        <f t="shared" si="21"/>
        <v>132000000.00000001</v>
      </c>
    </row>
    <row r="2680" spans="1:10" ht="67.5">
      <c r="A2680" s="660" t="s">
        <v>7470</v>
      </c>
      <c r="B2680" s="612" t="s">
        <v>7477</v>
      </c>
      <c r="C2680" s="613" t="s">
        <v>7478</v>
      </c>
      <c r="D2680" s="613">
        <v>9.6999999999999993</v>
      </c>
      <c r="E2680" s="613">
        <v>5</v>
      </c>
      <c r="F2680" s="613" t="s">
        <v>7473</v>
      </c>
      <c r="G2680" s="614"/>
      <c r="H2680" s="613">
        <v>1</v>
      </c>
      <c r="I2680" s="613" t="s">
        <v>7474</v>
      </c>
      <c r="J2680" s="661">
        <f t="shared" si="21"/>
        <v>145500000</v>
      </c>
    </row>
    <row r="2681" spans="1:10" ht="67.5">
      <c r="A2681" s="660" t="s">
        <v>7470</v>
      </c>
      <c r="B2681" s="612" t="s">
        <v>1697</v>
      </c>
      <c r="C2681" s="613" t="s">
        <v>7479</v>
      </c>
      <c r="D2681" s="613">
        <v>15.7</v>
      </c>
      <c r="E2681" s="613">
        <v>5</v>
      </c>
      <c r="F2681" s="613" t="s">
        <v>7473</v>
      </c>
      <c r="G2681" s="614"/>
      <c r="H2681" s="613">
        <v>1</v>
      </c>
      <c r="I2681" s="613" t="s">
        <v>7474</v>
      </c>
      <c r="J2681" s="661">
        <f t="shared" si="21"/>
        <v>235500000</v>
      </c>
    </row>
    <row r="2682" spans="1:10" ht="67.5">
      <c r="A2682" s="660" t="s">
        <v>7470</v>
      </c>
      <c r="B2682" s="612" t="s">
        <v>1697</v>
      </c>
      <c r="C2682" s="613" t="s">
        <v>7480</v>
      </c>
      <c r="D2682" s="613">
        <v>4</v>
      </c>
      <c r="E2682" s="613">
        <v>5</v>
      </c>
      <c r="F2682" s="613" t="s">
        <v>7473</v>
      </c>
      <c r="G2682" s="614"/>
      <c r="H2682" s="613">
        <v>2</v>
      </c>
      <c r="I2682" s="613" t="s">
        <v>7474</v>
      </c>
      <c r="J2682" s="661">
        <f t="shared" si="21"/>
        <v>60000000</v>
      </c>
    </row>
    <row r="2683" spans="1:10" ht="67.5">
      <c r="A2683" s="660" t="s">
        <v>7470</v>
      </c>
      <c r="B2683" s="612" t="s">
        <v>7481</v>
      </c>
      <c r="C2683" s="613" t="s">
        <v>7482</v>
      </c>
      <c r="D2683" s="613">
        <v>11.9</v>
      </c>
      <c r="E2683" s="613">
        <v>5</v>
      </c>
      <c r="F2683" s="613" t="s">
        <v>7473</v>
      </c>
      <c r="G2683" s="614"/>
      <c r="H2683" s="613">
        <v>1</v>
      </c>
      <c r="I2683" s="613" t="s">
        <v>7474</v>
      </c>
      <c r="J2683" s="661">
        <f t="shared" si="21"/>
        <v>178500000</v>
      </c>
    </row>
    <row r="2684" spans="1:10" ht="67.5">
      <c r="A2684" s="660" t="s">
        <v>7470</v>
      </c>
      <c r="B2684" s="612" t="s">
        <v>1697</v>
      </c>
      <c r="C2684" s="613" t="s">
        <v>7483</v>
      </c>
      <c r="D2684" s="613">
        <v>6.1</v>
      </c>
      <c r="E2684" s="613">
        <v>5</v>
      </c>
      <c r="F2684" s="613" t="s">
        <v>7473</v>
      </c>
      <c r="G2684" s="614"/>
      <c r="H2684" s="613">
        <v>2</v>
      </c>
      <c r="I2684" s="613" t="s">
        <v>7474</v>
      </c>
      <c r="J2684" s="661">
        <f t="shared" si="21"/>
        <v>91500000</v>
      </c>
    </row>
    <row r="2685" spans="1:10" ht="67.5">
      <c r="A2685" s="660" t="s">
        <v>7470</v>
      </c>
      <c r="B2685" s="612" t="s">
        <v>1697</v>
      </c>
      <c r="C2685" s="613" t="s">
        <v>7484</v>
      </c>
      <c r="D2685" s="613">
        <v>2.6</v>
      </c>
      <c r="E2685" s="613">
        <v>5</v>
      </c>
      <c r="F2685" s="613" t="s">
        <v>7473</v>
      </c>
      <c r="G2685" s="614"/>
      <c r="H2685" s="613">
        <v>3</v>
      </c>
      <c r="I2685" s="613" t="s">
        <v>7474</v>
      </c>
      <c r="J2685" s="661">
        <f t="shared" si="21"/>
        <v>39000000</v>
      </c>
    </row>
    <row r="2686" spans="1:10" ht="67.5">
      <c r="A2686" s="660" t="s">
        <v>7470</v>
      </c>
      <c r="B2686" s="612" t="s">
        <v>7485</v>
      </c>
      <c r="C2686" s="613" t="s">
        <v>7486</v>
      </c>
      <c r="D2686" s="613">
        <v>4</v>
      </c>
      <c r="E2686" s="613">
        <v>5</v>
      </c>
      <c r="F2686" s="613" t="s">
        <v>7473</v>
      </c>
      <c r="G2686" s="614"/>
      <c r="H2686" s="613">
        <v>2</v>
      </c>
      <c r="I2686" s="613" t="s">
        <v>7474</v>
      </c>
      <c r="J2686" s="661">
        <f t="shared" si="21"/>
        <v>60000000</v>
      </c>
    </row>
    <row r="2687" spans="1:10" ht="67.5">
      <c r="A2687" s="660" t="s">
        <v>7470</v>
      </c>
      <c r="B2687" s="612" t="s">
        <v>7487</v>
      </c>
      <c r="C2687" s="613" t="s">
        <v>7488</v>
      </c>
      <c r="D2687" s="613">
        <v>5.5</v>
      </c>
      <c r="E2687" s="613">
        <v>5</v>
      </c>
      <c r="F2687" s="613" t="s">
        <v>7473</v>
      </c>
      <c r="G2687" s="614"/>
      <c r="H2687" s="613">
        <v>2</v>
      </c>
      <c r="I2687" s="613" t="s">
        <v>7474</v>
      </c>
      <c r="J2687" s="661">
        <f t="shared" si="21"/>
        <v>82500000</v>
      </c>
    </row>
    <row r="2688" spans="1:10" ht="67.5">
      <c r="A2688" s="660" t="s">
        <v>7489</v>
      </c>
      <c r="B2688" s="612" t="s">
        <v>1230</v>
      </c>
      <c r="C2688" s="613" t="s">
        <v>7490</v>
      </c>
      <c r="D2688" s="613">
        <v>17.5</v>
      </c>
      <c r="E2688" s="613">
        <v>5</v>
      </c>
      <c r="F2688" s="613" t="s">
        <v>7473</v>
      </c>
      <c r="G2688" s="614"/>
      <c r="H2688" s="613">
        <v>1</v>
      </c>
      <c r="I2688" s="613" t="s">
        <v>7474</v>
      </c>
      <c r="J2688" s="661">
        <f t="shared" si="21"/>
        <v>262500000</v>
      </c>
    </row>
    <row r="2689" spans="1:10" ht="67.5">
      <c r="A2689" s="660" t="s">
        <v>7489</v>
      </c>
      <c r="B2689" s="612" t="s">
        <v>1230</v>
      </c>
      <c r="C2689" s="613" t="s">
        <v>7491</v>
      </c>
      <c r="D2689" s="613">
        <v>5.6</v>
      </c>
      <c r="E2689" s="613">
        <v>5</v>
      </c>
      <c r="F2689" s="613" t="s">
        <v>7473</v>
      </c>
      <c r="G2689" s="614"/>
      <c r="H2689" s="613">
        <v>2</v>
      </c>
      <c r="I2689" s="613" t="s">
        <v>7474</v>
      </c>
      <c r="J2689" s="661">
        <f t="shared" si="21"/>
        <v>84000000</v>
      </c>
    </row>
    <row r="2690" spans="1:10" ht="67.5">
      <c r="A2690" s="660" t="s">
        <v>7489</v>
      </c>
      <c r="B2690" s="612" t="s">
        <v>7489</v>
      </c>
      <c r="C2690" s="613" t="s">
        <v>7492</v>
      </c>
      <c r="D2690" s="613">
        <v>26.6</v>
      </c>
      <c r="E2690" s="613">
        <v>5</v>
      </c>
      <c r="F2690" s="613" t="s">
        <v>7493</v>
      </c>
      <c r="G2690" s="614"/>
      <c r="H2690" s="613">
        <v>1</v>
      </c>
      <c r="I2690" s="613" t="s">
        <v>7474</v>
      </c>
      <c r="J2690" s="661">
        <f t="shared" si="21"/>
        <v>399000000</v>
      </c>
    </row>
    <row r="2691" spans="1:10" ht="67.5">
      <c r="A2691" s="660" t="s">
        <v>7489</v>
      </c>
      <c r="B2691" s="612" t="s">
        <v>6561</v>
      </c>
      <c r="C2691" s="613" t="s">
        <v>7494</v>
      </c>
      <c r="D2691" s="613">
        <v>5.5</v>
      </c>
      <c r="E2691" s="613">
        <v>5</v>
      </c>
      <c r="F2691" s="613" t="s">
        <v>7493</v>
      </c>
      <c r="G2691" s="614"/>
      <c r="H2691" s="613">
        <v>1</v>
      </c>
      <c r="I2691" s="613" t="s">
        <v>7474</v>
      </c>
      <c r="J2691" s="661">
        <f t="shared" si="21"/>
        <v>82500000</v>
      </c>
    </row>
    <row r="2692" spans="1:10" ht="67.5">
      <c r="A2692" s="660" t="s">
        <v>7489</v>
      </c>
      <c r="B2692" s="612" t="s">
        <v>7495</v>
      </c>
      <c r="C2692" s="613" t="s">
        <v>7496</v>
      </c>
      <c r="D2692" s="613">
        <v>2.6</v>
      </c>
      <c r="E2692" s="613">
        <v>5</v>
      </c>
      <c r="F2692" s="613" t="s">
        <v>7473</v>
      </c>
      <c r="G2692" s="614"/>
      <c r="H2692" s="613">
        <v>2</v>
      </c>
      <c r="I2692" s="613" t="s">
        <v>7474</v>
      </c>
      <c r="J2692" s="661">
        <f t="shared" si="21"/>
        <v>39000000</v>
      </c>
    </row>
    <row r="2693" spans="1:10" ht="67.5">
      <c r="A2693" s="660" t="s">
        <v>7489</v>
      </c>
      <c r="B2693" s="612" t="s">
        <v>6561</v>
      </c>
      <c r="C2693" s="613" t="s">
        <v>7497</v>
      </c>
      <c r="D2693" s="613">
        <v>3.5</v>
      </c>
      <c r="E2693" s="613">
        <v>5</v>
      </c>
      <c r="F2693" s="613" t="s">
        <v>7493</v>
      </c>
      <c r="G2693" s="614"/>
      <c r="H2693" s="613">
        <v>3</v>
      </c>
      <c r="I2693" s="613" t="s">
        <v>7474</v>
      </c>
      <c r="J2693" s="661">
        <f t="shared" si="21"/>
        <v>52500000</v>
      </c>
    </row>
    <row r="2694" spans="1:10" ht="67.5">
      <c r="A2694" s="660" t="s">
        <v>7489</v>
      </c>
      <c r="B2694" s="612" t="s">
        <v>7498</v>
      </c>
      <c r="C2694" s="613" t="s">
        <v>7499</v>
      </c>
      <c r="D2694" s="613">
        <v>6.1</v>
      </c>
      <c r="E2694" s="613">
        <v>5</v>
      </c>
      <c r="F2694" s="613" t="s">
        <v>7493</v>
      </c>
      <c r="G2694" s="614"/>
      <c r="H2694" s="613">
        <v>2</v>
      </c>
      <c r="I2694" s="613" t="s">
        <v>7474</v>
      </c>
      <c r="J2694" s="661">
        <f t="shared" si="21"/>
        <v>91500000</v>
      </c>
    </row>
    <row r="2695" spans="1:10" ht="67.5">
      <c r="A2695" s="660" t="s">
        <v>7489</v>
      </c>
      <c r="B2695" s="612" t="s">
        <v>3199</v>
      </c>
      <c r="C2695" s="613" t="s">
        <v>7500</v>
      </c>
      <c r="D2695" s="613">
        <v>9.3000000000000007</v>
      </c>
      <c r="E2695" s="613">
        <v>5</v>
      </c>
      <c r="F2695" s="613" t="s">
        <v>7473</v>
      </c>
      <c r="G2695" s="614"/>
      <c r="H2695" s="613">
        <v>2</v>
      </c>
      <c r="I2695" s="613" t="s">
        <v>7474</v>
      </c>
      <c r="J2695" s="661">
        <f t="shared" si="21"/>
        <v>139500000</v>
      </c>
    </row>
    <row r="2696" spans="1:10" ht="67.5">
      <c r="A2696" s="660" t="s">
        <v>7489</v>
      </c>
      <c r="B2696" s="612" t="s">
        <v>606</v>
      </c>
      <c r="C2696" s="613" t="s">
        <v>7501</v>
      </c>
      <c r="D2696" s="613">
        <v>7.3</v>
      </c>
      <c r="E2696" s="613">
        <v>5</v>
      </c>
      <c r="F2696" s="613" t="s">
        <v>7473</v>
      </c>
      <c r="G2696" s="614"/>
      <c r="H2696" s="613">
        <v>3</v>
      </c>
      <c r="I2696" s="613" t="s">
        <v>7474</v>
      </c>
      <c r="J2696" s="661">
        <f t="shared" si="21"/>
        <v>109500000</v>
      </c>
    </row>
    <row r="2697" spans="1:10" ht="67.5">
      <c r="A2697" s="660" t="s">
        <v>7489</v>
      </c>
      <c r="B2697" s="612" t="s">
        <v>7502</v>
      </c>
      <c r="C2697" s="613" t="s">
        <v>7503</v>
      </c>
      <c r="D2697" s="613">
        <v>9.5</v>
      </c>
      <c r="E2697" s="613">
        <v>5</v>
      </c>
      <c r="F2697" s="613" t="s">
        <v>7473</v>
      </c>
      <c r="G2697" s="614"/>
      <c r="H2697" s="613">
        <v>3</v>
      </c>
      <c r="I2697" s="613" t="s">
        <v>7474</v>
      </c>
      <c r="J2697" s="661">
        <f t="shared" si="21"/>
        <v>142500000</v>
      </c>
    </row>
    <row r="2698" spans="1:10" ht="67.5">
      <c r="A2698" s="660" t="s">
        <v>7489</v>
      </c>
      <c r="B2698" s="612" t="s">
        <v>371</v>
      </c>
      <c r="C2698" s="613" t="s">
        <v>7504</v>
      </c>
      <c r="D2698" s="613">
        <v>3.4</v>
      </c>
      <c r="E2698" s="613">
        <v>5</v>
      </c>
      <c r="F2698" s="613" t="s">
        <v>7473</v>
      </c>
      <c r="G2698" s="614"/>
      <c r="H2698" s="613">
        <v>3</v>
      </c>
      <c r="I2698" s="613" t="s">
        <v>7474</v>
      </c>
      <c r="J2698" s="661">
        <f t="shared" si="21"/>
        <v>51000000</v>
      </c>
    </row>
    <row r="2699" spans="1:10" ht="67.5">
      <c r="A2699" s="660" t="s">
        <v>3918</v>
      </c>
      <c r="B2699" s="612" t="s">
        <v>3918</v>
      </c>
      <c r="C2699" s="613" t="s">
        <v>7505</v>
      </c>
      <c r="D2699" s="613">
        <v>25.1</v>
      </c>
      <c r="E2699" s="613">
        <v>5</v>
      </c>
      <c r="F2699" s="613" t="s">
        <v>7506</v>
      </c>
      <c r="G2699" s="614"/>
      <c r="H2699" s="613">
        <v>1</v>
      </c>
      <c r="I2699" s="613" t="s">
        <v>7474</v>
      </c>
      <c r="J2699" s="661">
        <f t="shared" si="21"/>
        <v>376500000</v>
      </c>
    </row>
    <row r="2700" spans="1:10" ht="67.5">
      <c r="A2700" s="660" t="s">
        <v>3918</v>
      </c>
      <c r="B2700" s="612" t="s">
        <v>5881</v>
      </c>
      <c r="C2700" s="613" t="s">
        <v>7507</v>
      </c>
      <c r="D2700" s="613">
        <v>14.8</v>
      </c>
      <c r="E2700" s="613">
        <v>5</v>
      </c>
      <c r="F2700" s="613" t="s">
        <v>7506</v>
      </c>
      <c r="G2700" s="614"/>
      <c r="H2700" s="613">
        <v>1</v>
      </c>
      <c r="I2700" s="613" t="s">
        <v>7474</v>
      </c>
      <c r="J2700" s="661">
        <f t="shared" si="21"/>
        <v>222000000</v>
      </c>
    </row>
    <row r="2701" spans="1:10" ht="67.5">
      <c r="A2701" s="660" t="s">
        <v>3918</v>
      </c>
      <c r="B2701" s="612" t="s">
        <v>7508</v>
      </c>
      <c r="C2701" s="613" t="s">
        <v>7509</v>
      </c>
      <c r="D2701" s="613">
        <v>2.1</v>
      </c>
      <c r="E2701" s="613">
        <v>5</v>
      </c>
      <c r="F2701" s="613" t="s">
        <v>7506</v>
      </c>
      <c r="G2701" s="614"/>
      <c r="H2701" s="613">
        <v>2</v>
      </c>
      <c r="I2701" s="613" t="s">
        <v>7474</v>
      </c>
      <c r="J2701" s="661">
        <f t="shared" si="21"/>
        <v>31500000</v>
      </c>
    </row>
    <row r="2702" spans="1:10" ht="67.5">
      <c r="A2702" s="660" t="s">
        <v>3918</v>
      </c>
      <c r="B2702" s="612" t="s">
        <v>4202</v>
      </c>
      <c r="C2702" s="613" t="s">
        <v>7510</v>
      </c>
      <c r="D2702" s="613">
        <v>3.8</v>
      </c>
      <c r="E2702" s="613">
        <v>5</v>
      </c>
      <c r="F2702" s="613" t="s">
        <v>7506</v>
      </c>
      <c r="G2702" s="614"/>
      <c r="H2702" s="613">
        <v>2</v>
      </c>
      <c r="I2702" s="613" t="s">
        <v>7474</v>
      </c>
      <c r="J2702" s="661">
        <f t="shared" si="21"/>
        <v>57000000</v>
      </c>
    </row>
    <row r="2703" spans="1:10" ht="67.5">
      <c r="A2703" s="660" t="s">
        <v>3918</v>
      </c>
      <c r="B2703" s="612" t="s">
        <v>7511</v>
      </c>
      <c r="C2703" s="613" t="s">
        <v>7512</v>
      </c>
      <c r="D2703" s="613">
        <v>16.2</v>
      </c>
      <c r="E2703" s="613">
        <v>5</v>
      </c>
      <c r="F2703" s="613" t="s">
        <v>7506</v>
      </c>
      <c r="G2703" s="614"/>
      <c r="H2703" s="613">
        <v>1</v>
      </c>
      <c r="I2703" s="613" t="s">
        <v>7474</v>
      </c>
      <c r="J2703" s="661">
        <f t="shared" si="21"/>
        <v>243000000</v>
      </c>
    </row>
    <row r="2704" spans="1:10" ht="67.5">
      <c r="A2704" s="660" t="s">
        <v>3918</v>
      </c>
      <c r="B2704" s="612" t="s">
        <v>7513</v>
      </c>
      <c r="C2704" s="615" t="s">
        <v>7514</v>
      </c>
      <c r="D2704" s="613">
        <v>11.8</v>
      </c>
      <c r="E2704" s="613">
        <v>5</v>
      </c>
      <c r="F2704" s="613" t="s">
        <v>7506</v>
      </c>
      <c r="G2704" s="614"/>
      <c r="H2704" s="613">
        <v>1</v>
      </c>
      <c r="I2704" s="613" t="s">
        <v>7474</v>
      </c>
      <c r="J2704" s="661">
        <f t="shared" si="21"/>
        <v>177000000</v>
      </c>
    </row>
    <row r="2705" spans="1:10" ht="67.5">
      <c r="A2705" s="660" t="s">
        <v>3918</v>
      </c>
      <c r="B2705" s="612" t="s">
        <v>332</v>
      </c>
      <c r="C2705" s="613" t="s">
        <v>7515</v>
      </c>
      <c r="D2705" s="613">
        <v>9.6</v>
      </c>
      <c r="E2705" s="613">
        <v>5</v>
      </c>
      <c r="F2705" s="613" t="s">
        <v>7506</v>
      </c>
      <c r="G2705" s="614"/>
      <c r="H2705" s="613">
        <v>3</v>
      </c>
      <c r="I2705" s="613" t="s">
        <v>7474</v>
      </c>
      <c r="J2705" s="661">
        <f t="shared" si="21"/>
        <v>144000000</v>
      </c>
    </row>
    <row r="2706" spans="1:10" ht="67.5">
      <c r="A2706" s="660" t="s">
        <v>3918</v>
      </c>
      <c r="B2706" s="612" t="s">
        <v>1753</v>
      </c>
      <c r="C2706" s="613" t="s">
        <v>7516</v>
      </c>
      <c r="D2706" s="613">
        <v>5.3</v>
      </c>
      <c r="E2706" s="613">
        <v>5</v>
      </c>
      <c r="F2706" s="613" t="s">
        <v>7506</v>
      </c>
      <c r="G2706" s="614"/>
      <c r="H2706" s="613">
        <v>3</v>
      </c>
      <c r="I2706" s="613" t="s">
        <v>7474</v>
      </c>
      <c r="J2706" s="661">
        <f t="shared" si="21"/>
        <v>79500000</v>
      </c>
    </row>
    <row r="2707" spans="1:10" ht="67.5">
      <c r="A2707" s="660" t="s">
        <v>3918</v>
      </c>
      <c r="B2707" s="612" t="s">
        <v>1753</v>
      </c>
      <c r="C2707" s="613" t="s">
        <v>7517</v>
      </c>
      <c r="D2707" s="613">
        <v>3</v>
      </c>
      <c r="E2707" s="613">
        <v>5</v>
      </c>
      <c r="F2707" s="613" t="s">
        <v>7506</v>
      </c>
      <c r="G2707" s="614"/>
      <c r="H2707" s="613">
        <v>3</v>
      </c>
      <c r="I2707" s="613" t="s">
        <v>7474</v>
      </c>
      <c r="J2707" s="661">
        <f t="shared" si="21"/>
        <v>45000000</v>
      </c>
    </row>
    <row r="2708" spans="1:10" ht="67.5">
      <c r="A2708" s="660" t="s">
        <v>3918</v>
      </c>
      <c r="B2708" s="612" t="s">
        <v>879</v>
      </c>
      <c r="C2708" s="613" t="s">
        <v>7518</v>
      </c>
      <c r="D2708" s="613">
        <v>6.9</v>
      </c>
      <c r="E2708" s="613">
        <v>5</v>
      </c>
      <c r="F2708" s="613" t="s">
        <v>7506</v>
      </c>
      <c r="G2708" s="614"/>
      <c r="H2708" s="613">
        <v>2</v>
      </c>
      <c r="I2708" s="613" t="s">
        <v>7474</v>
      </c>
      <c r="J2708" s="661">
        <f t="shared" si="21"/>
        <v>103500000</v>
      </c>
    </row>
    <row r="2709" spans="1:10" ht="67.5">
      <c r="A2709" s="660" t="s">
        <v>3918</v>
      </c>
      <c r="B2709" s="612" t="s">
        <v>4431</v>
      </c>
      <c r="C2709" s="613" t="s">
        <v>7519</v>
      </c>
      <c r="D2709" s="613">
        <v>9</v>
      </c>
      <c r="E2709" s="613">
        <v>5</v>
      </c>
      <c r="F2709" s="613" t="s">
        <v>7506</v>
      </c>
      <c r="G2709" s="614"/>
      <c r="H2709" s="613">
        <v>2</v>
      </c>
      <c r="I2709" s="613" t="s">
        <v>7474</v>
      </c>
      <c r="J2709" s="661">
        <f t="shared" si="21"/>
        <v>135000000</v>
      </c>
    </row>
    <row r="2710" spans="1:10" ht="67.5">
      <c r="A2710" s="660" t="s">
        <v>3918</v>
      </c>
      <c r="B2710" s="612" t="s">
        <v>7520</v>
      </c>
      <c r="C2710" s="613" t="s">
        <v>7521</v>
      </c>
      <c r="D2710" s="613">
        <v>4.2</v>
      </c>
      <c r="E2710" s="613">
        <v>5</v>
      </c>
      <c r="F2710" s="613" t="s">
        <v>7506</v>
      </c>
      <c r="G2710" s="614"/>
      <c r="H2710" s="613">
        <v>2</v>
      </c>
      <c r="I2710" s="613" t="s">
        <v>7474</v>
      </c>
      <c r="J2710" s="661">
        <f t="shared" si="21"/>
        <v>63000000</v>
      </c>
    </row>
    <row r="2711" spans="1:10" ht="67.5">
      <c r="A2711" s="660" t="s">
        <v>3918</v>
      </c>
      <c r="B2711" s="612" t="s">
        <v>7511</v>
      </c>
      <c r="C2711" s="613" t="s">
        <v>7522</v>
      </c>
      <c r="D2711" s="613">
        <v>5.9</v>
      </c>
      <c r="E2711" s="613">
        <v>5</v>
      </c>
      <c r="F2711" s="613" t="s">
        <v>7506</v>
      </c>
      <c r="G2711" s="614"/>
      <c r="H2711" s="613">
        <v>3</v>
      </c>
      <c r="I2711" s="613" t="s">
        <v>7474</v>
      </c>
      <c r="J2711" s="661">
        <f t="shared" si="21"/>
        <v>88500000</v>
      </c>
    </row>
    <row r="2712" spans="1:10" ht="67.5">
      <c r="A2712" s="660" t="s">
        <v>3918</v>
      </c>
      <c r="B2712" s="612" t="s">
        <v>1191</v>
      </c>
      <c r="C2712" s="613" t="s">
        <v>7523</v>
      </c>
      <c r="D2712" s="613">
        <v>7.9</v>
      </c>
      <c r="E2712" s="613">
        <v>5</v>
      </c>
      <c r="F2712" s="613" t="s">
        <v>7506</v>
      </c>
      <c r="G2712" s="614"/>
      <c r="H2712" s="613">
        <v>1</v>
      </c>
      <c r="I2712" s="613" t="s">
        <v>7474</v>
      </c>
      <c r="J2712" s="661">
        <f t="shared" si="21"/>
        <v>118500000</v>
      </c>
    </row>
    <row r="2713" spans="1:10" ht="67.5">
      <c r="A2713" s="660" t="s">
        <v>3918</v>
      </c>
      <c r="B2713" s="612" t="s">
        <v>7524</v>
      </c>
      <c r="C2713" s="613" t="s">
        <v>7525</v>
      </c>
      <c r="D2713" s="613">
        <v>1.1000000000000001</v>
      </c>
      <c r="E2713" s="613">
        <v>5</v>
      </c>
      <c r="F2713" s="613" t="s">
        <v>7506</v>
      </c>
      <c r="G2713" s="614"/>
      <c r="H2713" s="613">
        <v>3</v>
      </c>
      <c r="I2713" s="613" t="s">
        <v>7474</v>
      </c>
      <c r="J2713" s="661">
        <f t="shared" si="21"/>
        <v>16500000.000000002</v>
      </c>
    </row>
    <row r="2714" spans="1:10" ht="67.5">
      <c r="A2714" s="660" t="s">
        <v>3918</v>
      </c>
      <c r="B2714" s="612" t="s">
        <v>130</v>
      </c>
      <c r="C2714" s="613" t="s">
        <v>7526</v>
      </c>
      <c r="D2714" s="613">
        <v>2.1</v>
      </c>
      <c r="E2714" s="613">
        <v>5</v>
      </c>
      <c r="F2714" s="613" t="s">
        <v>7506</v>
      </c>
      <c r="G2714" s="614"/>
      <c r="H2714" s="613">
        <v>3</v>
      </c>
      <c r="I2714" s="613" t="s">
        <v>7474</v>
      </c>
      <c r="J2714" s="661">
        <f t="shared" si="21"/>
        <v>31500000</v>
      </c>
    </row>
    <row r="2715" spans="1:10" ht="67.5">
      <c r="A2715" s="660" t="s">
        <v>3918</v>
      </c>
      <c r="B2715" s="612" t="s">
        <v>1658</v>
      </c>
      <c r="C2715" s="613" t="s">
        <v>7527</v>
      </c>
      <c r="D2715" s="613">
        <v>5</v>
      </c>
      <c r="E2715" s="613">
        <v>5</v>
      </c>
      <c r="F2715" s="613" t="s">
        <v>7506</v>
      </c>
      <c r="G2715" s="614"/>
      <c r="H2715" s="613">
        <v>3</v>
      </c>
      <c r="I2715" s="613" t="s">
        <v>7474</v>
      </c>
      <c r="J2715" s="661">
        <f t="shared" si="21"/>
        <v>75000000</v>
      </c>
    </row>
    <row r="2716" spans="1:10" ht="67.5">
      <c r="A2716" s="660" t="s">
        <v>3918</v>
      </c>
      <c r="B2716" s="612" t="s">
        <v>7528</v>
      </c>
      <c r="C2716" s="613" t="s">
        <v>7529</v>
      </c>
      <c r="D2716" s="613">
        <v>3.3</v>
      </c>
      <c r="E2716" s="613">
        <v>5</v>
      </c>
      <c r="F2716" s="613" t="s">
        <v>7506</v>
      </c>
      <c r="G2716" s="614"/>
      <c r="H2716" s="613">
        <v>2</v>
      </c>
      <c r="I2716" s="613" t="s">
        <v>7474</v>
      </c>
      <c r="J2716" s="661">
        <f t="shared" si="21"/>
        <v>49500000</v>
      </c>
    </row>
    <row r="2717" spans="1:10" ht="67.5">
      <c r="A2717" s="660" t="s">
        <v>3918</v>
      </c>
      <c r="B2717" s="612" t="s">
        <v>7530</v>
      </c>
      <c r="C2717" s="613" t="s">
        <v>7531</v>
      </c>
      <c r="D2717" s="613">
        <v>4.9000000000000004</v>
      </c>
      <c r="E2717" s="613">
        <v>5</v>
      </c>
      <c r="F2717" s="613" t="s">
        <v>7506</v>
      </c>
      <c r="G2717" s="614"/>
      <c r="H2717" s="613">
        <v>2</v>
      </c>
      <c r="I2717" s="613" t="s">
        <v>7474</v>
      </c>
      <c r="J2717" s="661">
        <f t="shared" si="21"/>
        <v>73500000</v>
      </c>
    </row>
    <row r="2718" spans="1:10" ht="67.5">
      <c r="A2718" s="660" t="s">
        <v>3918</v>
      </c>
      <c r="B2718" s="612" t="s">
        <v>7301</v>
      </c>
      <c r="C2718" s="613" t="s">
        <v>7532</v>
      </c>
      <c r="D2718" s="613">
        <v>4</v>
      </c>
      <c r="E2718" s="613">
        <v>5</v>
      </c>
      <c r="F2718" s="613" t="s">
        <v>7506</v>
      </c>
      <c r="G2718" s="614"/>
      <c r="H2718" s="613">
        <v>3</v>
      </c>
      <c r="I2718" s="613" t="s">
        <v>7474</v>
      </c>
      <c r="J2718" s="661">
        <f t="shared" si="21"/>
        <v>60000000</v>
      </c>
    </row>
    <row r="2719" spans="1:10" ht="67.5">
      <c r="A2719" s="660" t="s">
        <v>3918</v>
      </c>
      <c r="B2719" s="612" t="s">
        <v>7533</v>
      </c>
      <c r="C2719" s="613" t="s">
        <v>7534</v>
      </c>
      <c r="D2719" s="613">
        <v>4.9000000000000004</v>
      </c>
      <c r="E2719" s="613">
        <v>5</v>
      </c>
      <c r="F2719" s="613" t="s">
        <v>7506</v>
      </c>
      <c r="G2719" s="614"/>
      <c r="H2719" s="613">
        <v>2</v>
      </c>
      <c r="I2719" s="613" t="s">
        <v>7474</v>
      </c>
      <c r="J2719" s="661">
        <f t="shared" si="21"/>
        <v>73500000</v>
      </c>
    </row>
    <row r="2720" spans="1:10" ht="67.5">
      <c r="A2720" s="660" t="s">
        <v>3918</v>
      </c>
      <c r="B2720" s="612" t="s">
        <v>7535</v>
      </c>
      <c r="C2720" s="613" t="s">
        <v>7536</v>
      </c>
      <c r="D2720" s="613">
        <v>2.2999999999999998</v>
      </c>
      <c r="E2720" s="613">
        <v>5</v>
      </c>
      <c r="F2720" s="613" t="s">
        <v>7506</v>
      </c>
      <c r="G2720" s="614"/>
      <c r="H2720" s="613">
        <v>3</v>
      </c>
      <c r="I2720" s="613" t="s">
        <v>7474</v>
      </c>
      <c r="J2720" s="661">
        <f t="shared" si="21"/>
        <v>34500000</v>
      </c>
    </row>
    <row r="2721" spans="1:10" ht="67.5">
      <c r="A2721" s="660" t="s">
        <v>3918</v>
      </c>
      <c r="B2721" s="612" t="s">
        <v>7537</v>
      </c>
      <c r="C2721" s="613" t="s">
        <v>7538</v>
      </c>
      <c r="D2721" s="613">
        <v>0.5</v>
      </c>
      <c r="E2721" s="613">
        <v>5</v>
      </c>
      <c r="F2721" s="613" t="s">
        <v>7506</v>
      </c>
      <c r="G2721" s="614"/>
      <c r="H2721" s="613">
        <v>2</v>
      </c>
      <c r="I2721" s="613" t="s">
        <v>7474</v>
      </c>
      <c r="J2721" s="661">
        <f>D2721*15000000</f>
        <v>7500000</v>
      </c>
    </row>
    <row r="2722" spans="1:10" ht="67.5">
      <c r="A2722" s="660" t="s">
        <v>3918</v>
      </c>
      <c r="B2722" s="612" t="s">
        <v>7537</v>
      </c>
      <c r="C2722" s="613" t="s">
        <v>7539</v>
      </c>
      <c r="D2722" s="613">
        <v>0.5</v>
      </c>
      <c r="E2722" s="613">
        <v>5</v>
      </c>
      <c r="F2722" s="613" t="s">
        <v>7506</v>
      </c>
      <c r="G2722" s="614"/>
      <c r="H2722" s="613">
        <v>2</v>
      </c>
      <c r="I2722" s="613" t="s">
        <v>7474</v>
      </c>
      <c r="J2722" s="661">
        <f>D2722*15000000</f>
        <v>7500000</v>
      </c>
    </row>
    <row r="2723" spans="1:10" ht="67.5">
      <c r="A2723" s="660" t="s">
        <v>3751</v>
      </c>
      <c r="B2723" s="612" t="s">
        <v>3751</v>
      </c>
      <c r="C2723" s="613" t="s">
        <v>7540</v>
      </c>
      <c r="D2723" s="613">
        <v>40</v>
      </c>
      <c r="E2723" s="613">
        <v>5</v>
      </c>
      <c r="F2723" s="613" t="s">
        <v>7473</v>
      </c>
      <c r="G2723" s="614"/>
      <c r="H2723" s="613">
        <v>1</v>
      </c>
      <c r="I2723" s="613" t="s">
        <v>7474</v>
      </c>
      <c r="J2723" s="661">
        <f t="shared" ref="J2723:J2774" si="22">D2723*15000000</f>
        <v>600000000</v>
      </c>
    </row>
    <row r="2724" spans="1:10" ht="67.5">
      <c r="A2724" s="660" t="s">
        <v>3751</v>
      </c>
      <c r="B2724" s="612" t="s">
        <v>3929</v>
      </c>
      <c r="C2724" s="613" t="s">
        <v>7541</v>
      </c>
      <c r="D2724" s="613">
        <v>6.3</v>
      </c>
      <c r="E2724" s="613">
        <v>5</v>
      </c>
      <c r="F2724" s="613" t="s">
        <v>7473</v>
      </c>
      <c r="G2724" s="614"/>
      <c r="H2724" s="613">
        <v>2</v>
      </c>
      <c r="I2724" s="613" t="s">
        <v>7474</v>
      </c>
      <c r="J2724" s="661">
        <f t="shared" si="22"/>
        <v>94500000</v>
      </c>
    </row>
    <row r="2725" spans="1:10" ht="67.5">
      <c r="A2725" s="660" t="s">
        <v>3751</v>
      </c>
      <c r="B2725" s="612" t="s">
        <v>1697</v>
      </c>
      <c r="C2725" s="613" t="s">
        <v>7542</v>
      </c>
      <c r="D2725" s="613">
        <v>10.6</v>
      </c>
      <c r="E2725" s="613">
        <v>5</v>
      </c>
      <c r="F2725" s="613" t="s">
        <v>7473</v>
      </c>
      <c r="G2725" s="614"/>
      <c r="H2725" s="613">
        <v>1</v>
      </c>
      <c r="I2725" s="613" t="s">
        <v>7474</v>
      </c>
      <c r="J2725" s="661">
        <f t="shared" si="22"/>
        <v>159000000</v>
      </c>
    </row>
    <row r="2726" spans="1:10" ht="67.5">
      <c r="A2726" s="660" t="s">
        <v>3751</v>
      </c>
      <c r="B2726" s="612" t="s">
        <v>7543</v>
      </c>
      <c r="C2726" s="613" t="s">
        <v>7544</v>
      </c>
      <c r="D2726" s="613">
        <v>6</v>
      </c>
      <c r="E2726" s="613">
        <v>5</v>
      </c>
      <c r="F2726" s="613" t="s">
        <v>7473</v>
      </c>
      <c r="G2726" s="614"/>
      <c r="H2726" s="613">
        <v>2</v>
      </c>
      <c r="I2726" s="613" t="s">
        <v>7474</v>
      </c>
      <c r="J2726" s="661">
        <f t="shared" si="22"/>
        <v>90000000</v>
      </c>
    </row>
    <row r="2727" spans="1:10" ht="67.5">
      <c r="A2727" s="660" t="s">
        <v>3751</v>
      </c>
      <c r="B2727" s="612" t="s">
        <v>7545</v>
      </c>
      <c r="C2727" s="613" t="s">
        <v>7546</v>
      </c>
      <c r="D2727" s="613">
        <v>23.8</v>
      </c>
      <c r="E2727" s="613">
        <v>5</v>
      </c>
      <c r="F2727" s="613" t="s">
        <v>7473</v>
      </c>
      <c r="G2727" s="614"/>
      <c r="H2727" s="613">
        <v>2</v>
      </c>
      <c r="I2727" s="613" t="s">
        <v>7474</v>
      </c>
      <c r="J2727" s="661">
        <f t="shared" si="22"/>
        <v>357000000</v>
      </c>
    </row>
    <row r="2728" spans="1:10" ht="67.5">
      <c r="A2728" s="660" t="s">
        <v>3751</v>
      </c>
      <c r="B2728" s="612" t="s">
        <v>7547</v>
      </c>
      <c r="C2728" s="613" t="s">
        <v>7548</v>
      </c>
      <c r="D2728" s="613">
        <v>6.3</v>
      </c>
      <c r="E2728" s="613">
        <v>5</v>
      </c>
      <c r="F2728" s="613" t="s">
        <v>7473</v>
      </c>
      <c r="G2728" s="614"/>
      <c r="H2728" s="613">
        <v>1</v>
      </c>
      <c r="I2728" s="613" t="s">
        <v>7474</v>
      </c>
      <c r="J2728" s="661">
        <f t="shared" si="22"/>
        <v>94500000</v>
      </c>
    </row>
    <row r="2729" spans="1:10" ht="67.5">
      <c r="A2729" s="660" t="s">
        <v>3751</v>
      </c>
      <c r="B2729" s="612" t="s">
        <v>7549</v>
      </c>
      <c r="C2729" s="613" t="s">
        <v>7550</v>
      </c>
      <c r="D2729" s="613">
        <v>3.7</v>
      </c>
      <c r="E2729" s="613">
        <v>5</v>
      </c>
      <c r="F2729" s="613" t="s">
        <v>7473</v>
      </c>
      <c r="G2729" s="614"/>
      <c r="H2729" s="613">
        <v>3</v>
      </c>
      <c r="I2729" s="613" t="s">
        <v>7474</v>
      </c>
      <c r="J2729" s="661">
        <f t="shared" si="22"/>
        <v>55500000</v>
      </c>
    </row>
    <row r="2730" spans="1:10" ht="67.5">
      <c r="A2730" s="660" t="s">
        <v>3751</v>
      </c>
      <c r="B2730" s="612" t="s">
        <v>953</v>
      </c>
      <c r="C2730" s="613" t="s">
        <v>7551</v>
      </c>
      <c r="D2730" s="613">
        <v>3.1</v>
      </c>
      <c r="E2730" s="613">
        <v>5</v>
      </c>
      <c r="F2730" s="613" t="s">
        <v>7473</v>
      </c>
      <c r="G2730" s="614"/>
      <c r="H2730" s="613">
        <v>3</v>
      </c>
      <c r="I2730" s="613" t="s">
        <v>7474</v>
      </c>
      <c r="J2730" s="661">
        <f t="shared" si="22"/>
        <v>46500000</v>
      </c>
    </row>
    <row r="2731" spans="1:10" ht="67.5">
      <c r="A2731" s="660" t="s">
        <v>3751</v>
      </c>
      <c r="B2731" s="612" t="s">
        <v>2436</v>
      </c>
      <c r="C2731" s="613" t="s">
        <v>7552</v>
      </c>
      <c r="D2731" s="613">
        <v>9.3000000000000007</v>
      </c>
      <c r="E2731" s="613">
        <v>5</v>
      </c>
      <c r="F2731" s="613" t="s">
        <v>7473</v>
      </c>
      <c r="G2731" s="614"/>
      <c r="H2731" s="613">
        <v>2</v>
      </c>
      <c r="I2731" s="613" t="s">
        <v>7474</v>
      </c>
      <c r="J2731" s="661">
        <f t="shared" si="22"/>
        <v>139500000</v>
      </c>
    </row>
    <row r="2732" spans="1:10" ht="67.5">
      <c r="A2732" s="660" t="s">
        <v>3751</v>
      </c>
      <c r="B2732" s="612" t="s">
        <v>7553</v>
      </c>
      <c r="C2732" s="613" t="s">
        <v>7554</v>
      </c>
      <c r="D2732" s="613">
        <v>11.5</v>
      </c>
      <c r="E2732" s="613">
        <v>5</v>
      </c>
      <c r="F2732" s="613" t="s">
        <v>7473</v>
      </c>
      <c r="G2732" s="614"/>
      <c r="H2732" s="613">
        <v>2</v>
      </c>
      <c r="I2732" s="613" t="s">
        <v>7474</v>
      </c>
      <c r="J2732" s="661">
        <f t="shared" si="22"/>
        <v>172500000</v>
      </c>
    </row>
    <row r="2733" spans="1:10" ht="67.5">
      <c r="A2733" s="660" t="s">
        <v>3751</v>
      </c>
      <c r="B2733" s="612" t="s">
        <v>7555</v>
      </c>
      <c r="C2733" s="613" t="s">
        <v>7556</v>
      </c>
      <c r="D2733" s="613">
        <v>4.5999999999999996</v>
      </c>
      <c r="E2733" s="613">
        <v>5</v>
      </c>
      <c r="F2733" s="613" t="s">
        <v>7473</v>
      </c>
      <c r="G2733" s="614"/>
      <c r="H2733" s="613">
        <v>2</v>
      </c>
      <c r="I2733" s="613" t="s">
        <v>7474</v>
      </c>
      <c r="J2733" s="661">
        <f t="shared" si="22"/>
        <v>69000000</v>
      </c>
    </row>
    <row r="2734" spans="1:10" ht="67.5">
      <c r="A2734" s="660" t="s">
        <v>3751</v>
      </c>
      <c r="B2734" s="612" t="s">
        <v>109</v>
      </c>
      <c r="C2734" s="613" t="s">
        <v>7557</v>
      </c>
      <c r="D2734" s="613">
        <v>6.3</v>
      </c>
      <c r="E2734" s="613">
        <v>5</v>
      </c>
      <c r="F2734" s="613" t="s">
        <v>7473</v>
      </c>
      <c r="G2734" s="614"/>
      <c r="H2734" s="613">
        <v>2</v>
      </c>
      <c r="I2734" s="613" t="s">
        <v>7474</v>
      </c>
      <c r="J2734" s="661">
        <f t="shared" si="22"/>
        <v>94500000</v>
      </c>
    </row>
    <row r="2735" spans="1:10" ht="67.5">
      <c r="A2735" s="660" t="s">
        <v>3751</v>
      </c>
      <c r="B2735" s="612" t="s">
        <v>7558</v>
      </c>
      <c r="C2735" s="613" t="s">
        <v>7559</v>
      </c>
      <c r="D2735" s="613">
        <v>7.3</v>
      </c>
      <c r="E2735" s="613">
        <v>5</v>
      </c>
      <c r="F2735" s="613" t="s">
        <v>7473</v>
      </c>
      <c r="G2735" s="614"/>
      <c r="H2735" s="613">
        <v>2</v>
      </c>
      <c r="I2735" s="613" t="s">
        <v>7474</v>
      </c>
      <c r="J2735" s="661">
        <f t="shared" si="22"/>
        <v>109500000</v>
      </c>
    </row>
    <row r="2736" spans="1:10" ht="67.5">
      <c r="A2736" s="660" t="s">
        <v>3751</v>
      </c>
      <c r="B2736" s="612" t="s">
        <v>7555</v>
      </c>
      <c r="C2736" s="613" t="s">
        <v>7560</v>
      </c>
      <c r="D2736" s="613">
        <v>4.5</v>
      </c>
      <c r="E2736" s="613">
        <v>5</v>
      </c>
      <c r="F2736" s="613" t="s">
        <v>7473</v>
      </c>
      <c r="G2736" s="614"/>
      <c r="H2736" s="613">
        <v>2</v>
      </c>
      <c r="I2736" s="613" t="s">
        <v>7474</v>
      </c>
      <c r="J2736" s="661">
        <f t="shared" si="22"/>
        <v>67500000</v>
      </c>
    </row>
    <row r="2737" spans="1:10" ht="67.5">
      <c r="A2737" s="660" t="s">
        <v>3751</v>
      </c>
      <c r="B2737" s="612" t="s">
        <v>7561</v>
      </c>
      <c r="C2737" s="613" t="s">
        <v>7562</v>
      </c>
      <c r="D2737" s="613">
        <v>3</v>
      </c>
      <c r="E2737" s="613">
        <v>5</v>
      </c>
      <c r="F2737" s="613" t="s">
        <v>7473</v>
      </c>
      <c r="G2737" s="614"/>
      <c r="H2737" s="613">
        <v>2</v>
      </c>
      <c r="I2737" s="613" t="s">
        <v>7474</v>
      </c>
      <c r="J2737" s="661">
        <f t="shared" si="22"/>
        <v>45000000</v>
      </c>
    </row>
    <row r="2738" spans="1:10" ht="67.5">
      <c r="A2738" s="660" t="s">
        <v>3751</v>
      </c>
      <c r="B2738" s="612" t="s">
        <v>1230</v>
      </c>
      <c r="C2738" s="613" t="s">
        <v>7563</v>
      </c>
      <c r="D2738" s="613">
        <v>4.0999999999999996</v>
      </c>
      <c r="E2738" s="613">
        <v>5</v>
      </c>
      <c r="F2738" s="613" t="s">
        <v>7493</v>
      </c>
      <c r="G2738" s="614"/>
      <c r="H2738" s="613">
        <v>2</v>
      </c>
      <c r="I2738" s="613" t="s">
        <v>7474</v>
      </c>
      <c r="J2738" s="661">
        <f t="shared" si="22"/>
        <v>61499999.999999993</v>
      </c>
    </row>
    <row r="2739" spans="1:10" ht="67.5">
      <c r="A2739" s="660" t="s">
        <v>3751</v>
      </c>
      <c r="B2739" s="612" t="s">
        <v>7564</v>
      </c>
      <c r="C2739" s="613" t="s">
        <v>7565</v>
      </c>
      <c r="D2739" s="613">
        <v>1.7</v>
      </c>
      <c r="E2739" s="613">
        <v>5</v>
      </c>
      <c r="F2739" s="613" t="s">
        <v>7493</v>
      </c>
      <c r="G2739" s="614"/>
      <c r="H2739" s="613">
        <v>2</v>
      </c>
      <c r="I2739" s="613" t="s">
        <v>7474</v>
      </c>
      <c r="J2739" s="661">
        <f>D2739*15000000</f>
        <v>25500000</v>
      </c>
    </row>
    <row r="2740" spans="1:10" ht="67.5">
      <c r="A2740" s="660" t="s">
        <v>3751</v>
      </c>
      <c r="B2740" s="612" t="s">
        <v>7566</v>
      </c>
      <c r="C2740" s="613" t="s">
        <v>7567</v>
      </c>
      <c r="D2740" s="613">
        <v>6.8</v>
      </c>
      <c r="E2740" s="613">
        <v>5</v>
      </c>
      <c r="F2740" s="613" t="s">
        <v>7493</v>
      </c>
      <c r="G2740" s="614"/>
      <c r="H2740" s="613">
        <v>2</v>
      </c>
      <c r="I2740" s="613" t="s">
        <v>7474</v>
      </c>
      <c r="J2740" s="661">
        <f>D2740*15000000</f>
        <v>102000000</v>
      </c>
    </row>
    <row r="2741" spans="1:10" ht="67.5">
      <c r="A2741" s="660" t="s">
        <v>3751</v>
      </c>
      <c r="B2741" s="612" t="s">
        <v>7568</v>
      </c>
      <c r="C2741" s="613" t="s">
        <v>7569</v>
      </c>
      <c r="D2741" s="613">
        <v>0.9</v>
      </c>
      <c r="E2741" s="613">
        <v>5</v>
      </c>
      <c r="F2741" s="613" t="s">
        <v>7493</v>
      </c>
      <c r="G2741" s="614"/>
      <c r="H2741" s="613">
        <v>2</v>
      </c>
      <c r="I2741" s="613" t="s">
        <v>7474</v>
      </c>
      <c r="J2741" s="661">
        <f>D2741*15000000</f>
        <v>13500000</v>
      </c>
    </row>
    <row r="2742" spans="1:10" ht="67.5">
      <c r="A2742" s="660" t="s">
        <v>3913</v>
      </c>
      <c r="B2742" s="612" t="s">
        <v>621</v>
      </c>
      <c r="C2742" s="613" t="s">
        <v>7570</v>
      </c>
      <c r="D2742" s="613">
        <v>7.8</v>
      </c>
      <c r="E2742" s="613">
        <v>5</v>
      </c>
      <c r="F2742" s="613" t="s">
        <v>7506</v>
      </c>
      <c r="G2742" s="614"/>
      <c r="H2742" s="613">
        <v>1</v>
      </c>
      <c r="I2742" s="613" t="s">
        <v>7474</v>
      </c>
      <c r="J2742" s="661">
        <f t="shared" si="22"/>
        <v>117000000</v>
      </c>
    </row>
    <row r="2743" spans="1:10" ht="67.5">
      <c r="A2743" s="660" t="s">
        <v>3913</v>
      </c>
      <c r="B2743" s="612" t="s">
        <v>2621</v>
      </c>
      <c r="C2743" s="613" t="s">
        <v>7571</v>
      </c>
      <c r="D2743" s="613">
        <v>18.5</v>
      </c>
      <c r="E2743" s="613">
        <v>5</v>
      </c>
      <c r="F2743" s="613" t="s">
        <v>7506</v>
      </c>
      <c r="G2743" s="614"/>
      <c r="H2743" s="613">
        <v>1</v>
      </c>
      <c r="I2743" s="613" t="s">
        <v>7474</v>
      </c>
      <c r="J2743" s="661">
        <f t="shared" si="22"/>
        <v>277500000</v>
      </c>
    </row>
    <row r="2744" spans="1:10" ht="67.5">
      <c r="A2744" s="660" t="s">
        <v>3913</v>
      </c>
      <c r="B2744" s="612" t="s">
        <v>7543</v>
      </c>
      <c r="C2744" s="613" t="s">
        <v>7572</v>
      </c>
      <c r="D2744" s="613">
        <v>7.2</v>
      </c>
      <c r="E2744" s="613">
        <v>5</v>
      </c>
      <c r="F2744" s="613" t="s">
        <v>7506</v>
      </c>
      <c r="G2744" s="614"/>
      <c r="H2744" s="613">
        <v>2</v>
      </c>
      <c r="I2744" s="613" t="s">
        <v>7474</v>
      </c>
      <c r="J2744" s="661">
        <f t="shared" si="22"/>
        <v>108000000</v>
      </c>
    </row>
    <row r="2745" spans="1:10" ht="67.5">
      <c r="A2745" s="660" t="s">
        <v>3913</v>
      </c>
      <c r="B2745" s="612" t="s">
        <v>1658</v>
      </c>
      <c r="C2745" s="613" t="s">
        <v>7573</v>
      </c>
      <c r="D2745" s="613">
        <v>3.6</v>
      </c>
      <c r="E2745" s="613">
        <v>5</v>
      </c>
      <c r="F2745" s="613" t="s">
        <v>7506</v>
      </c>
      <c r="G2745" s="614"/>
      <c r="H2745" s="613">
        <v>2</v>
      </c>
      <c r="I2745" s="613" t="s">
        <v>7474</v>
      </c>
      <c r="J2745" s="661">
        <f t="shared" si="22"/>
        <v>54000000</v>
      </c>
    </row>
    <row r="2746" spans="1:10" ht="67.5">
      <c r="A2746" s="660" t="s">
        <v>3913</v>
      </c>
      <c r="B2746" s="612" t="s">
        <v>6049</v>
      </c>
      <c r="C2746" s="613" t="s">
        <v>7574</v>
      </c>
      <c r="D2746" s="613">
        <v>2.8</v>
      </c>
      <c r="E2746" s="613">
        <v>5</v>
      </c>
      <c r="F2746" s="613" t="s">
        <v>7473</v>
      </c>
      <c r="G2746" s="614"/>
      <c r="H2746" s="613">
        <v>2</v>
      </c>
      <c r="I2746" s="613" t="s">
        <v>7474</v>
      </c>
      <c r="J2746" s="661">
        <f t="shared" si="22"/>
        <v>42000000</v>
      </c>
    </row>
    <row r="2747" spans="1:10" ht="67.5">
      <c r="A2747" s="660" t="s">
        <v>3913</v>
      </c>
      <c r="B2747" s="612" t="s">
        <v>371</v>
      </c>
      <c r="C2747" s="613" t="s">
        <v>7575</v>
      </c>
      <c r="D2747" s="613">
        <v>6</v>
      </c>
      <c r="E2747" s="613">
        <v>5</v>
      </c>
      <c r="F2747" s="613" t="s">
        <v>7473</v>
      </c>
      <c r="G2747" s="614"/>
      <c r="H2747" s="613">
        <v>2</v>
      </c>
      <c r="I2747" s="613" t="s">
        <v>7474</v>
      </c>
      <c r="J2747" s="661">
        <f t="shared" si="22"/>
        <v>90000000</v>
      </c>
    </row>
    <row r="2748" spans="1:10" ht="67.5">
      <c r="A2748" s="660" t="s">
        <v>7576</v>
      </c>
      <c r="B2748" s="612" t="s">
        <v>7477</v>
      </c>
      <c r="C2748" s="613" t="s">
        <v>7577</v>
      </c>
      <c r="D2748" s="613">
        <v>15.4</v>
      </c>
      <c r="E2748" s="613">
        <v>5</v>
      </c>
      <c r="F2748" s="613" t="s">
        <v>7473</v>
      </c>
      <c r="G2748" s="614"/>
      <c r="H2748" s="613">
        <v>2</v>
      </c>
      <c r="I2748" s="613" t="s">
        <v>7474</v>
      </c>
      <c r="J2748" s="661">
        <f t="shared" si="22"/>
        <v>231000000</v>
      </c>
    </row>
    <row r="2749" spans="1:10" ht="67.5">
      <c r="A2749" s="660" t="s">
        <v>7576</v>
      </c>
      <c r="B2749" s="612" t="s">
        <v>7578</v>
      </c>
      <c r="C2749" s="613" t="s">
        <v>7579</v>
      </c>
      <c r="D2749" s="613">
        <v>4.0999999999999996</v>
      </c>
      <c r="E2749" s="613">
        <v>5</v>
      </c>
      <c r="F2749" s="613" t="s">
        <v>7473</v>
      </c>
      <c r="G2749" s="614"/>
      <c r="H2749" s="613">
        <v>1</v>
      </c>
      <c r="I2749" s="613" t="s">
        <v>7474</v>
      </c>
      <c r="J2749" s="661">
        <f t="shared" si="22"/>
        <v>61499999.999999993</v>
      </c>
    </row>
    <row r="2750" spans="1:10" ht="67.5">
      <c r="A2750" s="660" t="s">
        <v>7576</v>
      </c>
      <c r="B2750" s="612" t="s">
        <v>7580</v>
      </c>
      <c r="C2750" s="613" t="s">
        <v>7581</v>
      </c>
      <c r="D2750" s="613">
        <v>4.4000000000000004</v>
      </c>
      <c r="E2750" s="613">
        <v>5</v>
      </c>
      <c r="F2750" s="613" t="s">
        <v>7473</v>
      </c>
      <c r="G2750" s="614"/>
      <c r="H2750" s="613">
        <v>2</v>
      </c>
      <c r="I2750" s="613" t="s">
        <v>7474</v>
      </c>
      <c r="J2750" s="661">
        <f t="shared" si="22"/>
        <v>66000000.000000007</v>
      </c>
    </row>
    <row r="2751" spans="1:10" ht="67.5">
      <c r="A2751" s="660" t="s">
        <v>7576</v>
      </c>
      <c r="B2751" s="612" t="s">
        <v>7578</v>
      </c>
      <c r="C2751" s="613" t="s">
        <v>7582</v>
      </c>
      <c r="D2751" s="613">
        <v>6</v>
      </c>
      <c r="E2751" s="613">
        <v>5</v>
      </c>
      <c r="F2751" s="613" t="s">
        <v>7473</v>
      </c>
      <c r="G2751" s="614"/>
      <c r="H2751" s="613">
        <v>2</v>
      </c>
      <c r="I2751" s="613" t="s">
        <v>7474</v>
      </c>
      <c r="J2751" s="661">
        <f t="shared" si="22"/>
        <v>90000000</v>
      </c>
    </row>
    <row r="2752" spans="1:10" ht="67.5">
      <c r="A2752" s="660" t="s">
        <v>7576</v>
      </c>
      <c r="B2752" s="612" t="s">
        <v>7477</v>
      </c>
      <c r="C2752" s="613" t="s">
        <v>7583</v>
      </c>
      <c r="D2752" s="613">
        <v>3</v>
      </c>
      <c r="E2752" s="613">
        <v>5</v>
      </c>
      <c r="F2752" s="613" t="s">
        <v>7473</v>
      </c>
      <c r="G2752" s="614"/>
      <c r="H2752" s="613">
        <v>2</v>
      </c>
      <c r="I2752" s="613" t="s">
        <v>7474</v>
      </c>
      <c r="J2752" s="661">
        <f t="shared" si="22"/>
        <v>45000000</v>
      </c>
    </row>
    <row r="2753" spans="1:10" ht="67.5">
      <c r="A2753" s="660" t="s">
        <v>7576</v>
      </c>
      <c r="B2753" s="612" t="s">
        <v>7584</v>
      </c>
      <c r="C2753" s="613" t="s">
        <v>7585</v>
      </c>
      <c r="D2753" s="613">
        <v>5.4</v>
      </c>
      <c r="E2753" s="613">
        <v>5</v>
      </c>
      <c r="F2753" s="613" t="s">
        <v>7473</v>
      </c>
      <c r="G2753" s="614"/>
      <c r="H2753" s="613">
        <v>1</v>
      </c>
      <c r="I2753" s="613" t="s">
        <v>7474</v>
      </c>
      <c r="J2753" s="661">
        <f t="shared" si="22"/>
        <v>81000000</v>
      </c>
    </row>
    <row r="2754" spans="1:10" ht="67.5">
      <c r="A2754" s="660" t="s">
        <v>7576</v>
      </c>
      <c r="B2754" s="612" t="s">
        <v>7586</v>
      </c>
      <c r="C2754" s="613" t="s">
        <v>7587</v>
      </c>
      <c r="D2754" s="613">
        <v>1</v>
      </c>
      <c r="E2754" s="613">
        <v>5</v>
      </c>
      <c r="F2754" s="613" t="s">
        <v>7473</v>
      </c>
      <c r="G2754" s="614"/>
      <c r="H2754" s="613">
        <v>2</v>
      </c>
      <c r="I2754" s="613" t="s">
        <v>7474</v>
      </c>
      <c r="J2754" s="661">
        <f t="shared" si="22"/>
        <v>15000000</v>
      </c>
    </row>
    <row r="2755" spans="1:10" ht="67.5">
      <c r="A2755" s="660" t="s">
        <v>7576</v>
      </c>
      <c r="B2755" s="612" t="s">
        <v>7588</v>
      </c>
      <c r="C2755" s="613" t="s">
        <v>7589</v>
      </c>
      <c r="D2755" s="613">
        <v>0.7</v>
      </c>
      <c r="E2755" s="613">
        <v>5</v>
      </c>
      <c r="F2755" s="613" t="s">
        <v>7473</v>
      </c>
      <c r="G2755" s="614"/>
      <c r="H2755" s="613">
        <v>2</v>
      </c>
      <c r="I2755" s="613" t="s">
        <v>7474</v>
      </c>
      <c r="J2755" s="661">
        <f t="shared" si="22"/>
        <v>10500000</v>
      </c>
    </row>
    <row r="2756" spans="1:10" ht="67.5">
      <c r="A2756" s="660" t="s">
        <v>7576</v>
      </c>
      <c r="B2756" s="612" t="s">
        <v>7590</v>
      </c>
      <c r="C2756" s="613" t="s">
        <v>7591</v>
      </c>
      <c r="D2756" s="613">
        <v>10.6</v>
      </c>
      <c r="E2756" s="613">
        <v>5</v>
      </c>
      <c r="F2756" s="613" t="s">
        <v>7473</v>
      </c>
      <c r="G2756" s="614"/>
      <c r="H2756" s="613">
        <v>1</v>
      </c>
      <c r="I2756" s="613" t="s">
        <v>7474</v>
      </c>
      <c r="J2756" s="661">
        <f t="shared" si="22"/>
        <v>159000000</v>
      </c>
    </row>
    <row r="2757" spans="1:10" ht="67.5">
      <c r="A2757" s="660" t="s">
        <v>7576</v>
      </c>
      <c r="B2757" s="612" t="s">
        <v>7590</v>
      </c>
      <c r="C2757" s="613" t="s">
        <v>7592</v>
      </c>
      <c r="D2757" s="613">
        <v>3.6</v>
      </c>
      <c r="E2757" s="613">
        <v>5</v>
      </c>
      <c r="F2757" s="613" t="s">
        <v>7473</v>
      </c>
      <c r="G2757" s="614"/>
      <c r="H2757" s="613">
        <v>2</v>
      </c>
      <c r="I2757" s="613" t="s">
        <v>7474</v>
      </c>
      <c r="J2757" s="661">
        <f t="shared" si="22"/>
        <v>54000000</v>
      </c>
    </row>
    <row r="2758" spans="1:10" ht="67.5">
      <c r="A2758" s="660" t="s">
        <v>7576</v>
      </c>
      <c r="B2758" s="612" t="s">
        <v>7593</v>
      </c>
      <c r="C2758" s="613" t="s">
        <v>7594</v>
      </c>
      <c r="D2758" s="613">
        <v>2.2000000000000002</v>
      </c>
      <c r="E2758" s="613">
        <v>5</v>
      </c>
      <c r="F2758" s="613" t="s">
        <v>7473</v>
      </c>
      <c r="G2758" s="614"/>
      <c r="H2758" s="613">
        <v>2</v>
      </c>
      <c r="I2758" s="613" t="s">
        <v>7474</v>
      </c>
      <c r="J2758" s="661">
        <f t="shared" si="22"/>
        <v>33000000.000000004</v>
      </c>
    </row>
    <row r="2759" spans="1:10" ht="67.5">
      <c r="A2759" s="660" t="s">
        <v>7576</v>
      </c>
      <c r="B2759" s="612" t="s">
        <v>7590</v>
      </c>
      <c r="C2759" s="615" t="s">
        <v>7595</v>
      </c>
      <c r="D2759" s="613">
        <v>2.6</v>
      </c>
      <c r="E2759" s="613">
        <v>5</v>
      </c>
      <c r="F2759" s="613" t="s">
        <v>7473</v>
      </c>
      <c r="G2759" s="614"/>
      <c r="H2759" s="613">
        <v>2</v>
      </c>
      <c r="I2759" s="613" t="s">
        <v>7474</v>
      </c>
      <c r="J2759" s="661">
        <f t="shared" si="22"/>
        <v>39000000</v>
      </c>
    </row>
    <row r="2760" spans="1:10" ht="67.5">
      <c r="A2760" s="660" t="s">
        <v>7576</v>
      </c>
      <c r="B2760" s="612" t="s">
        <v>7596</v>
      </c>
      <c r="C2760" s="615" t="s">
        <v>7597</v>
      </c>
      <c r="D2760" s="613">
        <v>3.2</v>
      </c>
      <c r="E2760" s="613">
        <v>5</v>
      </c>
      <c r="F2760" s="613" t="s">
        <v>7473</v>
      </c>
      <c r="G2760" s="614"/>
      <c r="H2760" s="613">
        <v>2</v>
      </c>
      <c r="I2760" s="613" t="s">
        <v>7474</v>
      </c>
      <c r="J2760" s="661">
        <f t="shared" si="22"/>
        <v>48000000</v>
      </c>
    </row>
    <row r="2761" spans="1:10" ht="67.5">
      <c r="A2761" s="660" t="s">
        <v>7576</v>
      </c>
      <c r="B2761" s="612" t="s">
        <v>7593</v>
      </c>
      <c r="C2761" s="615" t="s">
        <v>7598</v>
      </c>
      <c r="D2761" s="613">
        <v>3</v>
      </c>
      <c r="E2761" s="613">
        <v>5</v>
      </c>
      <c r="F2761" s="613" t="s">
        <v>7473</v>
      </c>
      <c r="G2761" s="614"/>
      <c r="H2761" s="613">
        <v>2</v>
      </c>
      <c r="I2761" s="613" t="s">
        <v>7474</v>
      </c>
      <c r="J2761" s="661">
        <f t="shared" si="22"/>
        <v>45000000</v>
      </c>
    </row>
    <row r="2762" spans="1:10" ht="67.5">
      <c r="A2762" s="660" t="s">
        <v>7599</v>
      </c>
      <c r="B2762" s="612" t="s">
        <v>7599</v>
      </c>
      <c r="C2762" s="615" t="s">
        <v>7600</v>
      </c>
      <c r="D2762" s="613">
        <v>30.6</v>
      </c>
      <c r="E2762" s="613">
        <v>5</v>
      </c>
      <c r="F2762" s="613" t="s">
        <v>7473</v>
      </c>
      <c r="G2762" s="614"/>
      <c r="H2762" s="613">
        <v>1</v>
      </c>
      <c r="I2762" s="613" t="s">
        <v>7474</v>
      </c>
      <c r="J2762" s="661">
        <f t="shared" si="22"/>
        <v>459000000</v>
      </c>
    </row>
    <row r="2763" spans="1:10" ht="67.5">
      <c r="A2763" s="660" t="s">
        <v>7599</v>
      </c>
      <c r="B2763" s="612" t="s">
        <v>7599</v>
      </c>
      <c r="C2763" s="615" t="s">
        <v>7601</v>
      </c>
      <c r="D2763" s="613">
        <v>4.5999999999999996</v>
      </c>
      <c r="E2763" s="613">
        <v>5</v>
      </c>
      <c r="F2763" s="613" t="s">
        <v>7473</v>
      </c>
      <c r="G2763" s="614"/>
      <c r="H2763" s="613">
        <v>2</v>
      </c>
      <c r="I2763" s="613" t="s">
        <v>7474</v>
      </c>
      <c r="J2763" s="661">
        <f t="shared" si="22"/>
        <v>69000000</v>
      </c>
    </row>
    <row r="2764" spans="1:10" ht="67.5">
      <c r="A2764" s="660" t="s">
        <v>7599</v>
      </c>
      <c r="B2764" s="612" t="s">
        <v>7602</v>
      </c>
      <c r="C2764" s="615" t="s">
        <v>7603</v>
      </c>
      <c r="D2764" s="613">
        <v>3.1</v>
      </c>
      <c r="E2764" s="613">
        <v>5</v>
      </c>
      <c r="F2764" s="613" t="s">
        <v>7473</v>
      </c>
      <c r="G2764" s="614"/>
      <c r="H2764" s="613">
        <v>2</v>
      </c>
      <c r="I2764" s="613" t="s">
        <v>7474</v>
      </c>
      <c r="J2764" s="661">
        <f t="shared" si="22"/>
        <v>46500000</v>
      </c>
    </row>
    <row r="2765" spans="1:10" ht="67.5">
      <c r="A2765" s="660" t="s">
        <v>7599</v>
      </c>
      <c r="B2765" s="612" t="s">
        <v>7604</v>
      </c>
      <c r="C2765" s="615" t="s">
        <v>7605</v>
      </c>
      <c r="D2765" s="613">
        <v>10.5</v>
      </c>
      <c r="E2765" s="613">
        <v>5</v>
      </c>
      <c r="F2765" s="613" t="s">
        <v>7473</v>
      </c>
      <c r="G2765" s="614"/>
      <c r="H2765" s="613">
        <v>2</v>
      </c>
      <c r="I2765" s="613" t="s">
        <v>7474</v>
      </c>
      <c r="J2765" s="661">
        <f t="shared" si="22"/>
        <v>157500000</v>
      </c>
    </row>
    <row r="2766" spans="1:10" ht="67.5">
      <c r="A2766" s="660" t="s">
        <v>7599</v>
      </c>
      <c r="B2766" s="612" t="s">
        <v>7604</v>
      </c>
      <c r="C2766" s="615" t="s">
        <v>7606</v>
      </c>
      <c r="D2766" s="613">
        <v>8.1</v>
      </c>
      <c r="E2766" s="613">
        <v>5</v>
      </c>
      <c r="F2766" s="613" t="s">
        <v>7473</v>
      </c>
      <c r="G2766" s="614"/>
      <c r="H2766" s="613">
        <v>3</v>
      </c>
      <c r="I2766" s="613" t="s">
        <v>7474</v>
      </c>
      <c r="J2766" s="661">
        <f t="shared" si="22"/>
        <v>121500000</v>
      </c>
    </row>
    <row r="2767" spans="1:10" ht="67.5">
      <c r="A2767" s="660" t="s">
        <v>7599</v>
      </c>
      <c r="B2767" s="612" t="s">
        <v>7607</v>
      </c>
      <c r="C2767" s="615" t="s">
        <v>7608</v>
      </c>
      <c r="D2767" s="613">
        <v>5.68</v>
      </c>
      <c r="E2767" s="613">
        <v>5</v>
      </c>
      <c r="F2767" s="613" t="s">
        <v>7473</v>
      </c>
      <c r="G2767" s="614"/>
      <c r="H2767" s="613">
        <v>3</v>
      </c>
      <c r="I2767" s="613" t="s">
        <v>7474</v>
      </c>
      <c r="J2767" s="661">
        <f>D2767*15000000</f>
        <v>85200000</v>
      </c>
    </row>
    <row r="2768" spans="1:10" ht="67.5">
      <c r="A2768" s="660" t="s">
        <v>1147</v>
      </c>
      <c r="B2768" s="612" t="s">
        <v>7609</v>
      </c>
      <c r="C2768" s="615" t="s">
        <v>7610</v>
      </c>
      <c r="D2768" s="613">
        <v>13</v>
      </c>
      <c r="E2768" s="613">
        <v>5</v>
      </c>
      <c r="F2768" s="613" t="s">
        <v>7473</v>
      </c>
      <c r="G2768" s="614"/>
      <c r="H2768" s="613">
        <v>1</v>
      </c>
      <c r="I2768" s="613" t="s">
        <v>7474</v>
      </c>
      <c r="J2768" s="661">
        <f t="shared" si="22"/>
        <v>195000000</v>
      </c>
    </row>
    <row r="2769" spans="1:10" ht="67.5">
      <c r="A2769" s="660" t="s">
        <v>1147</v>
      </c>
      <c r="B2769" s="612" t="s">
        <v>891</v>
      </c>
      <c r="C2769" s="615" t="s">
        <v>7611</v>
      </c>
      <c r="D2769" s="613">
        <v>2.4</v>
      </c>
      <c r="E2769" s="613">
        <v>5</v>
      </c>
      <c r="F2769" s="613" t="s">
        <v>7473</v>
      </c>
      <c r="G2769" s="614"/>
      <c r="H2769" s="613">
        <v>2</v>
      </c>
      <c r="I2769" s="613" t="s">
        <v>7474</v>
      </c>
      <c r="J2769" s="661">
        <f t="shared" si="22"/>
        <v>36000000</v>
      </c>
    </row>
    <row r="2770" spans="1:10" ht="67.5">
      <c r="A2770" s="660" t="s">
        <v>1147</v>
      </c>
      <c r="B2770" s="612" t="s">
        <v>7612</v>
      </c>
      <c r="C2770" s="615" t="s">
        <v>7613</v>
      </c>
      <c r="D2770" s="613">
        <v>8.5</v>
      </c>
      <c r="E2770" s="613">
        <v>5</v>
      </c>
      <c r="F2770" s="613" t="s">
        <v>7473</v>
      </c>
      <c r="G2770" s="614"/>
      <c r="H2770" s="613">
        <v>2</v>
      </c>
      <c r="I2770" s="613" t="s">
        <v>7474</v>
      </c>
      <c r="J2770" s="661">
        <f t="shared" si="22"/>
        <v>127500000</v>
      </c>
    </row>
    <row r="2771" spans="1:10" ht="67.5">
      <c r="A2771" s="660" t="s">
        <v>1147</v>
      </c>
      <c r="B2771" s="612" t="s">
        <v>7614</v>
      </c>
      <c r="C2771" s="615" t="s">
        <v>7615</v>
      </c>
      <c r="D2771" s="613">
        <v>3.6</v>
      </c>
      <c r="E2771" s="613">
        <v>5</v>
      </c>
      <c r="F2771" s="613" t="s">
        <v>7473</v>
      </c>
      <c r="G2771" s="614"/>
      <c r="H2771" s="613">
        <v>2</v>
      </c>
      <c r="I2771" s="613" t="s">
        <v>7474</v>
      </c>
      <c r="J2771" s="661">
        <f t="shared" si="22"/>
        <v>54000000</v>
      </c>
    </row>
    <row r="2772" spans="1:10" ht="67.5">
      <c r="A2772" s="660" t="s">
        <v>1147</v>
      </c>
      <c r="B2772" s="612" t="s">
        <v>2037</v>
      </c>
      <c r="C2772" s="615" t="s">
        <v>7616</v>
      </c>
      <c r="D2772" s="613">
        <v>6</v>
      </c>
      <c r="E2772" s="613">
        <v>5</v>
      </c>
      <c r="F2772" s="613" t="s">
        <v>7473</v>
      </c>
      <c r="G2772" s="614"/>
      <c r="H2772" s="613">
        <v>2</v>
      </c>
      <c r="I2772" s="613" t="s">
        <v>7474</v>
      </c>
      <c r="J2772" s="661">
        <f t="shared" si="22"/>
        <v>90000000</v>
      </c>
    </row>
    <row r="2773" spans="1:10" ht="67.5">
      <c r="A2773" s="660" t="s">
        <v>1147</v>
      </c>
      <c r="B2773" s="612" t="s">
        <v>2042</v>
      </c>
      <c r="C2773" s="615" t="s">
        <v>7617</v>
      </c>
      <c r="D2773" s="613">
        <v>3.7</v>
      </c>
      <c r="E2773" s="613">
        <v>5</v>
      </c>
      <c r="F2773" s="613" t="s">
        <v>7473</v>
      </c>
      <c r="G2773" s="614"/>
      <c r="H2773" s="613">
        <v>2</v>
      </c>
      <c r="I2773" s="613" t="s">
        <v>7474</v>
      </c>
      <c r="J2773" s="661">
        <f t="shared" si="22"/>
        <v>55500000</v>
      </c>
    </row>
    <row r="2774" spans="1:10" ht="67.5">
      <c r="A2774" s="660" t="s">
        <v>1147</v>
      </c>
      <c r="B2774" s="612" t="s">
        <v>7618</v>
      </c>
      <c r="C2774" s="615" t="s">
        <v>7619</v>
      </c>
      <c r="D2774" s="613">
        <v>3</v>
      </c>
      <c r="E2774" s="613">
        <v>5</v>
      </c>
      <c r="F2774" s="613" t="s">
        <v>7473</v>
      </c>
      <c r="G2774" s="614"/>
      <c r="H2774" s="613">
        <v>3</v>
      </c>
      <c r="I2774" s="613" t="s">
        <v>7474</v>
      </c>
      <c r="J2774" s="661">
        <f t="shared" si="22"/>
        <v>45000000</v>
      </c>
    </row>
    <row r="2775" spans="1:10" ht="67.5">
      <c r="A2775" s="660" t="s">
        <v>3893</v>
      </c>
      <c r="B2775" s="612" t="s">
        <v>3893</v>
      </c>
      <c r="C2775" s="615" t="s">
        <v>7620</v>
      </c>
      <c r="D2775" s="613">
        <v>8.1999999999999993</v>
      </c>
      <c r="E2775" s="613">
        <v>5</v>
      </c>
      <c r="F2775" s="613" t="s">
        <v>7473</v>
      </c>
      <c r="G2775" s="614"/>
      <c r="H2775" s="613">
        <v>2</v>
      </c>
      <c r="I2775" s="613" t="s">
        <v>7474</v>
      </c>
      <c r="J2775" s="661">
        <f>D2775*15000000</f>
        <v>122999999.99999999</v>
      </c>
    </row>
    <row r="2776" spans="1:10" ht="67.5">
      <c r="A2776" s="660" t="s">
        <v>3893</v>
      </c>
      <c r="B2776" s="612" t="s">
        <v>3893</v>
      </c>
      <c r="C2776" s="615" t="s">
        <v>7621</v>
      </c>
      <c r="D2776" s="613">
        <v>7.7</v>
      </c>
      <c r="E2776" s="613">
        <v>5</v>
      </c>
      <c r="F2776" s="613" t="s">
        <v>7473</v>
      </c>
      <c r="G2776" s="614"/>
      <c r="H2776" s="613">
        <v>2</v>
      </c>
      <c r="I2776" s="613" t="s">
        <v>7474</v>
      </c>
      <c r="J2776" s="661">
        <f t="shared" ref="J2776:J2783" si="23">D2776*15000000</f>
        <v>115500000</v>
      </c>
    </row>
    <row r="2777" spans="1:10" ht="67.5">
      <c r="A2777" s="660" t="s">
        <v>3893</v>
      </c>
      <c r="B2777" s="612" t="s">
        <v>7622</v>
      </c>
      <c r="C2777" s="615" t="s">
        <v>7623</v>
      </c>
      <c r="D2777" s="613">
        <v>9.5</v>
      </c>
      <c r="E2777" s="613">
        <v>5</v>
      </c>
      <c r="F2777" s="613" t="s">
        <v>7473</v>
      </c>
      <c r="G2777" s="614"/>
      <c r="H2777" s="613">
        <v>2</v>
      </c>
      <c r="I2777" s="613" t="s">
        <v>7474</v>
      </c>
      <c r="J2777" s="661">
        <f t="shared" si="23"/>
        <v>142500000</v>
      </c>
    </row>
    <row r="2778" spans="1:10" ht="67.5">
      <c r="A2778" s="660" t="s">
        <v>3893</v>
      </c>
      <c r="B2778" s="612" t="s">
        <v>1866</v>
      </c>
      <c r="C2778" s="615" t="s">
        <v>7624</v>
      </c>
      <c r="D2778" s="613">
        <v>3.7</v>
      </c>
      <c r="E2778" s="613">
        <v>5</v>
      </c>
      <c r="F2778" s="613" t="s">
        <v>7473</v>
      </c>
      <c r="G2778" s="614"/>
      <c r="H2778" s="613">
        <v>2</v>
      </c>
      <c r="I2778" s="613" t="s">
        <v>7474</v>
      </c>
      <c r="J2778" s="661">
        <f t="shared" si="23"/>
        <v>55500000</v>
      </c>
    </row>
    <row r="2779" spans="1:10" ht="67.5">
      <c r="A2779" s="660" t="s">
        <v>3893</v>
      </c>
      <c r="B2779" s="612" t="s">
        <v>7625</v>
      </c>
      <c r="C2779" s="615" t="s">
        <v>7626</v>
      </c>
      <c r="D2779" s="613">
        <v>4.8</v>
      </c>
      <c r="E2779" s="613">
        <v>5</v>
      </c>
      <c r="F2779" s="613" t="s">
        <v>7473</v>
      </c>
      <c r="G2779" s="614"/>
      <c r="H2779" s="613">
        <v>1</v>
      </c>
      <c r="I2779" s="613" t="s">
        <v>7474</v>
      </c>
      <c r="J2779" s="661">
        <f t="shared" si="23"/>
        <v>72000000</v>
      </c>
    </row>
    <row r="2780" spans="1:10" ht="67.5">
      <c r="A2780" s="660" t="s">
        <v>3893</v>
      </c>
      <c r="B2780" s="612" t="s">
        <v>2037</v>
      </c>
      <c r="C2780" s="615" t="s">
        <v>7627</v>
      </c>
      <c r="D2780" s="613">
        <v>3</v>
      </c>
      <c r="E2780" s="613">
        <v>5</v>
      </c>
      <c r="F2780" s="613" t="s">
        <v>7473</v>
      </c>
      <c r="G2780" s="614"/>
      <c r="H2780" s="613">
        <v>2</v>
      </c>
      <c r="I2780" s="613" t="s">
        <v>7474</v>
      </c>
      <c r="J2780" s="661">
        <f t="shared" si="23"/>
        <v>45000000</v>
      </c>
    </row>
    <row r="2781" spans="1:10" ht="67.5">
      <c r="A2781" s="660" t="s">
        <v>3893</v>
      </c>
      <c r="B2781" s="612" t="s">
        <v>1672</v>
      </c>
      <c r="C2781" s="615" t="s">
        <v>7628</v>
      </c>
      <c r="D2781" s="613">
        <v>9.5</v>
      </c>
      <c r="E2781" s="613">
        <v>5</v>
      </c>
      <c r="F2781" s="613" t="s">
        <v>7473</v>
      </c>
      <c r="G2781" s="614"/>
      <c r="H2781" s="613">
        <v>2</v>
      </c>
      <c r="I2781" s="613" t="s">
        <v>7474</v>
      </c>
      <c r="J2781" s="661">
        <f t="shared" si="23"/>
        <v>142500000</v>
      </c>
    </row>
    <row r="2782" spans="1:10" ht="67.5">
      <c r="A2782" s="660" t="s">
        <v>3893</v>
      </c>
      <c r="B2782" s="612" t="s">
        <v>7584</v>
      </c>
      <c r="C2782" s="615" t="s">
        <v>7629</v>
      </c>
      <c r="D2782" s="613">
        <v>1.2</v>
      </c>
      <c r="E2782" s="613">
        <v>5</v>
      </c>
      <c r="F2782" s="613" t="s">
        <v>7473</v>
      </c>
      <c r="G2782" s="614"/>
      <c r="H2782" s="613">
        <v>2</v>
      </c>
      <c r="I2782" s="613" t="s">
        <v>7474</v>
      </c>
      <c r="J2782" s="661">
        <f>D2782*15000000</f>
        <v>18000000</v>
      </c>
    </row>
    <row r="2783" spans="1:10" ht="67.5">
      <c r="A2783" s="660" t="s">
        <v>3893</v>
      </c>
      <c r="B2783" s="612" t="s">
        <v>3893</v>
      </c>
      <c r="C2783" s="615" t="s">
        <v>7630</v>
      </c>
      <c r="D2783" s="613">
        <v>2.4</v>
      </c>
      <c r="E2783" s="613">
        <v>5</v>
      </c>
      <c r="F2783" s="613" t="s">
        <v>7473</v>
      </c>
      <c r="G2783" s="614"/>
      <c r="H2783" s="613">
        <v>1</v>
      </c>
      <c r="I2783" s="613" t="s">
        <v>7474</v>
      </c>
      <c r="J2783" s="661">
        <f t="shared" si="23"/>
        <v>36000000</v>
      </c>
    </row>
    <row r="2784" spans="1:10" ht="22.5">
      <c r="A2784" s="22" t="s">
        <v>3893</v>
      </c>
      <c r="B2784" s="26" t="s">
        <v>1672</v>
      </c>
      <c r="C2784" s="569" t="s">
        <v>23662</v>
      </c>
      <c r="D2784" s="569">
        <v>9.6850000000000005</v>
      </c>
      <c r="E2784" s="569">
        <v>6.5</v>
      </c>
      <c r="F2784" s="569" t="s">
        <v>23663</v>
      </c>
      <c r="G2784" s="73">
        <v>5000000</v>
      </c>
      <c r="H2784" s="569">
        <v>1</v>
      </c>
      <c r="I2784" s="569" t="s">
        <v>23664</v>
      </c>
      <c r="J2784" s="531">
        <v>150000000</v>
      </c>
    </row>
    <row r="2785" spans="1:10" ht="33.75">
      <c r="A2785" s="22" t="s">
        <v>7599</v>
      </c>
      <c r="B2785" s="26" t="s">
        <v>1147</v>
      </c>
      <c r="C2785" s="569" t="s">
        <v>23665</v>
      </c>
      <c r="D2785" s="569">
        <v>19.375</v>
      </c>
      <c r="E2785" s="569">
        <v>6.5</v>
      </c>
      <c r="F2785" s="569" t="s">
        <v>23666</v>
      </c>
      <c r="G2785" s="73">
        <v>8000000</v>
      </c>
      <c r="H2785" s="569">
        <v>1</v>
      </c>
      <c r="I2785" s="569" t="s">
        <v>23667</v>
      </c>
      <c r="J2785" s="531">
        <v>168000000</v>
      </c>
    </row>
    <row r="2786" spans="1:10" ht="33.75">
      <c r="A2786" s="22" t="s">
        <v>7599</v>
      </c>
      <c r="B2786" s="26" t="s">
        <v>7599</v>
      </c>
      <c r="C2786" s="569" t="s">
        <v>23668</v>
      </c>
      <c r="D2786" s="569">
        <v>8.4350000000000005</v>
      </c>
      <c r="E2786" s="569">
        <v>9</v>
      </c>
      <c r="F2786" s="569" t="s">
        <v>23666</v>
      </c>
      <c r="G2786" s="73">
        <v>8000000</v>
      </c>
      <c r="H2786" s="569">
        <v>1</v>
      </c>
      <c r="I2786" s="569" t="s">
        <v>23667</v>
      </c>
      <c r="J2786" s="531">
        <v>150000000</v>
      </c>
    </row>
    <row r="2787" spans="1:10" ht="22.5">
      <c r="A2787" s="22" t="s">
        <v>3918</v>
      </c>
      <c r="B2787" s="26" t="s">
        <v>7301</v>
      </c>
      <c r="C2787" s="569" t="s">
        <v>23669</v>
      </c>
      <c r="D2787" s="569">
        <v>8.69</v>
      </c>
      <c r="E2787" s="569">
        <v>9</v>
      </c>
      <c r="F2787" s="569" t="s">
        <v>23666</v>
      </c>
      <c r="G2787" s="73">
        <v>5000000</v>
      </c>
      <c r="H2787" s="569">
        <v>1</v>
      </c>
      <c r="I2787" s="569" t="s">
        <v>23670</v>
      </c>
      <c r="J2787" s="531">
        <v>5000000</v>
      </c>
    </row>
    <row r="2788" spans="1:10" ht="22.5">
      <c r="A2788" s="22" t="s">
        <v>3751</v>
      </c>
      <c r="B2788" s="26" t="s">
        <v>3751</v>
      </c>
      <c r="C2788" s="569" t="s">
        <v>23671</v>
      </c>
      <c r="D2788" s="569">
        <v>24.184999999999999</v>
      </c>
      <c r="E2788" s="569">
        <v>7.5</v>
      </c>
      <c r="F2788" s="569" t="s">
        <v>23666</v>
      </c>
      <c r="G2788" s="73">
        <v>10000000</v>
      </c>
      <c r="H2788" s="569">
        <v>1</v>
      </c>
      <c r="I2788" s="569" t="s">
        <v>23670</v>
      </c>
      <c r="J2788" s="531">
        <v>20000000</v>
      </c>
    </row>
    <row r="2789" spans="1:10" ht="22.5">
      <c r="A2789" s="22" t="s">
        <v>3918</v>
      </c>
      <c r="B2789" s="26" t="s">
        <v>4941</v>
      </c>
      <c r="C2789" s="569" t="s">
        <v>23672</v>
      </c>
      <c r="D2789" s="569">
        <v>25.015000000000001</v>
      </c>
      <c r="E2789" s="569">
        <v>7.5</v>
      </c>
      <c r="F2789" s="569" t="s">
        <v>23666</v>
      </c>
      <c r="G2789" s="73">
        <v>10000000</v>
      </c>
      <c r="H2789" s="569">
        <v>1</v>
      </c>
      <c r="I2789" s="569" t="s">
        <v>23670</v>
      </c>
      <c r="J2789" s="531">
        <v>30000000</v>
      </c>
    </row>
    <row r="2790" spans="1:10" ht="22.5">
      <c r="A2790" s="22" t="s">
        <v>3918</v>
      </c>
      <c r="B2790" s="26" t="s">
        <v>4941</v>
      </c>
      <c r="C2790" s="569" t="s">
        <v>23673</v>
      </c>
      <c r="D2790" s="569">
        <v>25.015000000000001</v>
      </c>
      <c r="E2790" s="569">
        <v>7</v>
      </c>
      <c r="F2790" s="569" t="s">
        <v>23674</v>
      </c>
      <c r="G2790" s="73">
        <v>250000000</v>
      </c>
      <c r="H2790" s="569">
        <v>1</v>
      </c>
      <c r="I2790" s="569" t="s">
        <v>23675</v>
      </c>
      <c r="J2790" s="531">
        <v>1100000000</v>
      </c>
    </row>
    <row r="2791" spans="1:10" ht="67.5">
      <c r="A2791" s="22" t="s">
        <v>3751</v>
      </c>
      <c r="B2791" s="26" t="s">
        <v>7576</v>
      </c>
      <c r="C2791" s="569" t="s">
        <v>23676</v>
      </c>
      <c r="D2791" s="569">
        <v>2.8149999999999999</v>
      </c>
      <c r="E2791" s="569">
        <v>6.5</v>
      </c>
      <c r="F2791" s="569" t="s">
        <v>23677</v>
      </c>
      <c r="G2791" s="73">
        <v>40000000</v>
      </c>
      <c r="H2791" s="569">
        <v>1</v>
      </c>
      <c r="I2791" s="569" t="s">
        <v>23678</v>
      </c>
      <c r="J2791" s="531">
        <v>150000000</v>
      </c>
    </row>
    <row r="2792" spans="1:10" ht="67.5">
      <c r="A2792" s="22" t="s">
        <v>3751</v>
      </c>
      <c r="B2792" s="26" t="s">
        <v>4591</v>
      </c>
      <c r="C2792" s="569" t="s">
        <v>23679</v>
      </c>
      <c r="D2792" s="569">
        <v>10.935</v>
      </c>
      <c r="E2792" s="569">
        <v>7</v>
      </c>
      <c r="F2792" s="569" t="s">
        <v>23677</v>
      </c>
      <c r="G2792" s="73">
        <v>100000000</v>
      </c>
      <c r="H2792" s="569">
        <v>1</v>
      </c>
      <c r="I2792" s="569" t="s">
        <v>23678</v>
      </c>
      <c r="J2792" s="531">
        <v>300000000</v>
      </c>
    </row>
    <row r="2793" spans="1:10" ht="67.5">
      <c r="A2793" s="22" t="s">
        <v>3918</v>
      </c>
      <c r="B2793" s="26" t="s">
        <v>23680</v>
      </c>
      <c r="C2793" s="569" t="s">
        <v>23681</v>
      </c>
      <c r="D2793" s="569">
        <v>3.6949999999999998</v>
      </c>
      <c r="E2793" s="569">
        <v>6</v>
      </c>
      <c r="F2793" s="569" t="s">
        <v>23677</v>
      </c>
      <c r="G2793" s="73">
        <v>50000000</v>
      </c>
      <c r="H2793" s="569">
        <v>1</v>
      </c>
      <c r="I2793" s="569" t="s">
        <v>23678</v>
      </c>
      <c r="J2793" s="531">
        <v>100000000</v>
      </c>
    </row>
    <row r="2794" spans="1:10" ht="67.5">
      <c r="A2794" s="22" t="s">
        <v>23682</v>
      </c>
      <c r="B2794" s="26" t="s">
        <v>23682</v>
      </c>
      <c r="C2794" s="569" t="s">
        <v>23683</v>
      </c>
      <c r="D2794" s="569">
        <v>3.4649999999999999</v>
      </c>
      <c r="E2794" s="569">
        <v>10</v>
      </c>
      <c r="F2794" s="569" t="s">
        <v>23677</v>
      </c>
      <c r="G2794" s="73">
        <v>65000000</v>
      </c>
      <c r="H2794" s="569">
        <v>1</v>
      </c>
      <c r="I2794" s="569" t="s">
        <v>23678</v>
      </c>
      <c r="J2794" s="531">
        <v>65000000</v>
      </c>
    </row>
    <row r="2795" spans="1:10" ht="22.5">
      <c r="A2795" s="22" t="s">
        <v>3751</v>
      </c>
      <c r="B2795" s="26" t="s">
        <v>23684</v>
      </c>
      <c r="C2795" s="569" t="s">
        <v>23685</v>
      </c>
      <c r="D2795" s="569">
        <v>29.32</v>
      </c>
      <c r="E2795" s="569">
        <v>0</v>
      </c>
      <c r="F2795" s="569" t="s">
        <v>23686</v>
      </c>
      <c r="G2795" s="73">
        <v>0</v>
      </c>
      <c r="H2795" s="569" t="s">
        <v>125</v>
      </c>
      <c r="I2795" s="569" t="s">
        <v>23687</v>
      </c>
      <c r="J2795" s="531">
        <v>280000</v>
      </c>
    </row>
    <row r="2796" spans="1:10" ht="22.5">
      <c r="A2796" s="22" t="s">
        <v>3751</v>
      </c>
      <c r="B2796" s="26" t="s">
        <v>23684</v>
      </c>
      <c r="C2796" s="569" t="s">
        <v>23688</v>
      </c>
      <c r="D2796" s="569">
        <v>29.32</v>
      </c>
      <c r="E2796" s="569">
        <v>0</v>
      </c>
      <c r="F2796" s="569" t="s">
        <v>23686</v>
      </c>
      <c r="G2796" s="73">
        <v>0</v>
      </c>
      <c r="H2796" s="569" t="s">
        <v>125</v>
      </c>
      <c r="I2796" s="569" t="s">
        <v>23687</v>
      </c>
      <c r="J2796" s="531">
        <v>82360000</v>
      </c>
    </row>
    <row r="2797" spans="1:10" ht="22.5">
      <c r="A2797" s="22" t="s">
        <v>3751</v>
      </c>
      <c r="B2797" s="26" t="s">
        <v>23684</v>
      </c>
      <c r="C2797" s="569" t="s">
        <v>23689</v>
      </c>
      <c r="D2797" s="569">
        <v>29.32</v>
      </c>
      <c r="E2797" s="569">
        <v>0</v>
      </c>
      <c r="F2797" s="569" t="s">
        <v>23686</v>
      </c>
      <c r="G2797" s="73">
        <v>0</v>
      </c>
      <c r="H2797" s="569" t="s">
        <v>125</v>
      </c>
      <c r="I2797" s="569" t="s">
        <v>23687</v>
      </c>
      <c r="J2797" s="531">
        <v>800000</v>
      </c>
    </row>
    <row r="2798" spans="1:10" ht="22.5">
      <c r="A2798" s="22" t="s">
        <v>3751</v>
      </c>
      <c r="B2798" s="26" t="s">
        <v>23684</v>
      </c>
      <c r="C2798" s="569" t="s">
        <v>23690</v>
      </c>
      <c r="D2798" s="569">
        <v>29.32</v>
      </c>
      <c r="E2798" s="569">
        <v>0</v>
      </c>
      <c r="F2798" s="569" t="s">
        <v>23686</v>
      </c>
      <c r="G2798" s="73">
        <v>0</v>
      </c>
      <c r="H2798" s="569" t="s">
        <v>125</v>
      </c>
      <c r="I2798" s="569" t="s">
        <v>23687</v>
      </c>
      <c r="J2798" s="531">
        <v>1020000</v>
      </c>
    </row>
    <row r="2799" spans="1:10" ht="22.5">
      <c r="A2799" s="22" t="s">
        <v>3751</v>
      </c>
      <c r="B2799" s="26" t="s">
        <v>23684</v>
      </c>
      <c r="C2799" s="569" t="s">
        <v>23691</v>
      </c>
      <c r="D2799" s="569">
        <v>29.32</v>
      </c>
      <c r="E2799" s="569">
        <v>0</v>
      </c>
      <c r="F2799" s="569" t="s">
        <v>5921</v>
      </c>
      <c r="G2799" s="73">
        <v>0</v>
      </c>
      <c r="H2799" s="569" t="s">
        <v>226</v>
      </c>
      <c r="I2799" s="569" t="s">
        <v>23629</v>
      </c>
      <c r="J2799" s="531">
        <v>160000</v>
      </c>
    </row>
    <row r="2800" spans="1:10" ht="105">
      <c r="A2800" s="634" t="s">
        <v>3913</v>
      </c>
      <c r="B2800" s="375" t="s">
        <v>8085</v>
      </c>
      <c r="C2800" s="375" t="s">
        <v>25171</v>
      </c>
      <c r="D2800" s="375" t="s">
        <v>25172</v>
      </c>
      <c r="E2800" s="375">
        <v>6</v>
      </c>
      <c r="F2800" s="375" t="s">
        <v>25173</v>
      </c>
      <c r="G2800" s="551" t="s">
        <v>25174</v>
      </c>
      <c r="H2800" s="375">
        <v>1</v>
      </c>
      <c r="I2800" s="375" t="s">
        <v>25175</v>
      </c>
      <c r="J2800" s="508"/>
    </row>
    <row r="2801" spans="1:10" ht="15.75">
      <c r="A2801" s="658"/>
      <c r="B2801" s="301"/>
      <c r="C2801" s="301"/>
      <c r="D2801" s="301"/>
      <c r="E2801" s="302"/>
      <c r="F2801" s="303"/>
      <c r="G2801" s="489"/>
      <c r="H2801" s="301"/>
      <c r="I2801" s="303"/>
      <c r="J2801" s="659"/>
    </row>
    <row r="2802" spans="1:10" ht="15.75">
      <c r="A2802" s="1013" t="s">
        <v>6444</v>
      </c>
      <c r="B2802" s="1014"/>
      <c r="C2802" s="1014"/>
      <c r="D2802" s="1014"/>
      <c r="E2802" s="1014"/>
      <c r="F2802" s="1014"/>
      <c r="G2802" s="550">
        <f>SUM(G2677:G2801)</f>
        <v>551000000</v>
      </c>
      <c r="H2802" s="564"/>
      <c r="I2802" s="564"/>
      <c r="J2802" s="626">
        <f>SUM(J2677:J2801)</f>
        <v>13819820000</v>
      </c>
    </row>
    <row r="2803" spans="1:10" ht="15.75">
      <c r="A2803" s="1013" t="s">
        <v>7631</v>
      </c>
      <c r="B2803" s="1014"/>
      <c r="C2803" s="1014"/>
      <c r="D2803" s="1014"/>
      <c r="E2803" s="1014"/>
      <c r="F2803" s="1014"/>
      <c r="G2803" s="1014"/>
      <c r="H2803" s="1014"/>
      <c r="I2803" s="1014"/>
      <c r="J2803" s="1015"/>
    </row>
    <row r="2804" spans="1:10" ht="67.5">
      <c r="A2804" s="1016" t="s">
        <v>3848</v>
      </c>
      <c r="B2804" s="1017" t="s">
        <v>7632</v>
      </c>
      <c r="C2804" s="1018" t="s">
        <v>7633</v>
      </c>
      <c r="D2804" s="1018">
        <v>21.46</v>
      </c>
      <c r="E2804" s="1018">
        <v>4.5</v>
      </c>
      <c r="F2804" s="35" t="s">
        <v>7634</v>
      </c>
      <c r="G2804" s="73">
        <f>3500000+840000</f>
        <v>4340000</v>
      </c>
      <c r="H2804" s="569">
        <v>2</v>
      </c>
      <c r="I2804" s="35" t="s">
        <v>7635</v>
      </c>
      <c r="J2804" s="531">
        <f>150*50000</f>
        <v>7500000</v>
      </c>
    </row>
    <row r="2805" spans="1:10" ht="112.5">
      <c r="A2805" s="1016"/>
      <c r="B2805" s="1017"/>
      <c r="C2805" s="1018"/>
      <c r="D2805" s="1018"/>
      <c r="E2805" s="1018"/>
      <c r="F2805" s="35" t="s">
        <v>7636</v>
      </c>
      <c r="G2805" s="73">
        <f>(18*6000)+(500*3500)</f>
        <v>1858000</v>
      </c>
      <c r="H2805" s="569">
        <v>2</v>
      </c>
      <c r="I2805" s="35" t="s">
        <v>7637</v>
      </c>
      <c r="J2805" s="531">
        <f>(18*6000)+(500*3500)+300000000</f>
        <v>301858000</v>
      </c>
    </row>
    <row r="2806" spans="1:10" ht="101.25">
      <c r="A2806" s="1016"/>
      <c r="B2806" s="1017"/>
      <c r="C2806" s="1018"/>
      <c r="D2806" s="1018"/>
      <c r="E2806" s="1018"/>
      <c r="F2806" s="35" t="s">
        <v>7638</v>
      </c>
      <c r="G2806" s="73">
        <f>(75*5*3500)</f>
        <v>1312500</v>
      </c>
      <c r="H2806" s="569">
        <v>2</v>
      </c>
      <c r="I2806" s="35" t="s">
        <v>7639</v>
      </c>
      <c r="J2806" s="531">
        <v>150000000</v>
      </c>
    </row>
    <row r="2807" spans="1:10" ht="67.5">
      <c r="A2807" s="1016"/>
      <c r="B2807" s="1017"/>
      <c r="C2807" s="1018"/>
      <c r="D2807" s="1018"/>
      <c r="E2807" s="1018"/>
      <c r="F2807" s="35" t="s">
        <v>7640</v>
      </c>
      <c r="G2807" s="73">
        <f>(200*5*3500)+(200*5*0.12*7000)+(18*6000)</f>
        <v>4448000</v>
      </c>
      <c r="H2807" s="569">
        <v>2</v>
      </c>
      <c r="I2807" s="35" t="s">
        <v>7641</v>
      </c>
      <c r="J2807" s="531">
        <v>300000000</v>
      </c>
    </row>
    <row r="2808" spans="1:10" ht="135">
      <c r="A2808" s="1016"/>
      <c r="B2808" s="1017"/>
      <c r="C2808" s="1018"/>
      <c r="D2808" s="1018"/>
      <c r="E2808" s="1018"/>
      <c r="F2808" s="35" t="s">
        <v>7642</v>
      </c>
      <c r="G2808" s="73">
        <f>(300*5*3500)</f>
        <v>5250000</v>
      </c>
      <c r="H2808" s="569">
        <v>2</v>
      </c>
      <c r="I2808" s="35" t="s">
        <v>7643</v>
      </c>
      <c r="J2808" s="531">
        <f>(150*50000)+(150*20000)+(16.2*8*6000)</f>
        <v>11277600</v>
      </c>
    </row>
    <row r="2809" spans="1:10" ht="90">
      <c r="A2809" s="1016"/>
      <c r="B2809" s="1017"/>
      <c r="C2809" s="1018"/>
      <c r="D2809" s="1018"/>
      <c r="E2809" s="1018"/>
      <c r="F2809" s="35" t="s">
        <v>7644</v>
      </c>
      <c r="G2809" s="73">
        <f>(150*5*3500)+(150*5*0.12*7000)</f>
        <v>3255000</v>
      </c>
      <c r="H2809" s="569">
        <v>2</v>
      </c>
      <c r="I2809" s="35" t="s">
        <v>7645</v>
      </c>
      <c r="J2809" s="531">
        <v>300000000</v>
      </c>
    </row>
    <row r="2810" spans="1:10" ht="101.25">
      <c r="A2810" s="1016"/>
      <c r="B2810" s="1017"/>
      <c r="C2810" s="1018"/>
      <c r="D2810" s="1018"/>
      <c r="E2810" s="1018"/>
      <c r="F2810" s="35" t="s">
        <v>7646</v>
      </c>
      <c r="G2810" s="73">
        <f>(1000*5*0.12*7000)</f>
        <v>4200000</v>
      </c>
      <c r="H2810" s="569">
        <v>2</v>
      </c>
      <c r="I2810" s="35" t="s">
        <v>7647</v>
      </c>
      <c r="J2810" s="531">
        <f>(200*50000)+(200*20000)+(1000*5*7000*0.12)</f>
        <v>18200000</v>
      </c>
    </row>
    <row r="2811" spans="1:10" ht="67.5">
      <c r="A2811" s="1016"/>
      <c r="B2811" s="1017"/>
      <c r="C2811" s="1018"/>
      <c r="D2811" s="1018"/>
      <c r="E2811" s="1018"/>
      <c r="F2811" s="35" t="s">
        <v>7648</v>
      </c>
      <c r="G2811" s="73">
        <f>(20*6000)+(30*5*0.12*7000)</f>
        <v>246000</v>
      </c>
      <c r="H2811" s="569">
        <v>2</v>
      </c>
      <c r="I2811" s="35" t="s">
        <v>7649</v>
      </c>
      <c r="J2811" s="531">
        <f>(20*6000)+(100000000)</f>
        <v>100120000</v>
      </c>
    </row>
    <row r="2812" spans="1:10" ht="90">
      <c r="A2812" s="1016"/>
      <c r="B2812" s="1017"/>
      <c r="C2812" s="1018"/>
      <c r="D2812" s="1018"/>
      <c r="E2812" s="1018"/>
      <c r="F2812" s="35" t="s">
        <v>7650</v>
      </c>
      <c r="G2812" s="73">
        <f>(2800*5*3500)</f>
        <v>49000000</v>
      </c>
      <c r="H2812" s="569">
        <v>2</v>
      </c>
      <c r="I2812" s="35" t="s">
        <v>7651</v>
      </c>
      <c r="J2812" s="531">
        <f>100000000</f>
        <v>100000000</v>
      </c>
    </row>
    <row r="2813" spans="1:10" ht="112.5">
      <c r="A2813" s="1016"/>
      <c r="B2813" s="1017" t="s">
        <v>7652</v>
      </c>
      <c r="C2813" s="1018" t="s">
        <v>7653</v>
      </c>
      <c r="D2813" s="1018">
        <v>6.6</v>
      </c>
      <c r="E2813" s="1018">
        <v>4.7</v>
      </c>
      <c r="F2813" s="35" t="s">
        <v>7654</v>
      </c>
      <c r="G2813" s="73">
        <f>(1*90000)+(2.25*8*6000)+(40*55000)</f>
        <v>2398000</v>
      </c>
      <c r="H2813" s="569">
        <v>1</v>
      </c>
      <c r="I2813" s="35" t="s">
        <v>7655</v>
      </c>
      <c r="J2813" s="531">
        <f>(2.25*8*6000)+100000000</f>
        <v>100108000</v>
      </c>
    </row>
    <row r="2814" spans="1:10" ht="78.75">
      <c r="A2814" s="1016"/>
      <c r="B2814" s="1017"/>
      <c r="C2814" s="1018"/>
      <c r="D2814" s="1018"/>
      <c r="E2814" s="1018"/>
      <c r="F2814" s="35" t="s">
        <v>7656</v>
      </c>
      <c r="G2814" s="73">
        <f>(40*55000)</f>
        <v>2200000</v>
      </c>
      <c r="H2814" s="569">
        <v>1</v>
      </c>
      <c r="I2814" s="35" t="s">
        <v>7657</v>
      </c>
      <c r="J2814" s="531">
        <v>100000000</v>
      </c>
    </row>
    <row r="2815" spans="1:10" ht="78.75">
      <c r="A2815" s="1016"/>
      <c r="B2815" s="1017"/>
      <c r="C2815" s="1018"/>
      <c r="D2815" s="1018"/>
      <c r="E2815" s="1018"/>
      <c r="F2815" s="35" t="s">
        <v>7658</v>
      </c>
      <c r="G2815" s="73">
        <f>75000000</f>
        <v>75000000</v>
      </c>
      <c r="H2815" s="569">
        <v>2</v>
      </c>
      <c r="I2815" s="35" t="s">
        <v>7659</v>
      </c>
      <c r="J2815" s="531">
        <v>80000000</v>
      </c>
    </row>
    <row r="2816" spans="1:10" ht="90">
      <c r="A2816" s="1016"/>
      <c r="B2816" s="1017" t="s">
        <v>7660</v>
      </c>
      <c r="C2816" s="1018" t="s">
        <v>7661</v>
      </c>
      <c r="D2816" s="1018">
        <v>12.1</v>
      </c>
      <c r="E2816" s="1018">
        <v>5.5</v>
      </c>
      <c r="F2816" s="35" t="s">
        <v>7662</v>
      </c>
      <c r="G2816" s="73">
        <f>(100*5.5*3500)+(16.2*8*6000)</f>
        <v>2702600</v>
      </c>
      <c r="H2816" s="569">
        <v>1</v>
      </c>
      <c r="I2816" s="35" t="s">
        <v>7663</v>
      </c>
      <c r="J2816" s="531">
        <f>(16.2*8*6000)+(70*50000)</f>
        <v>4277600</v>
      </c>
    </row>
    <row r="2817" spans="1:10" ht="101.25">
      <c r="A2817" s="1016"/>
      <c r="B2817" s="1017"/>
      <c r="C2817" s="1018"/>
      <c r="D2817" s="1018"/>
      <c r="E2817" s="1018"/>
      <c r="F2817" s="35" t="s">
        <v>7664</v>
      </c>
      <c r="G2817" s="73">
        <f>(3.3*8*6000)+(70*5*3500)</f>
        <v>1383400</v>
      </c>
      <c r="H2817" s="569">
        <v>1</v>
      </c>
      <c r="I2817" s="616" t="s">
        <v>7665</v>
      </c>
      <c r="J2817" s="531">
        <f>(3.3*8*6000)+(70*50000)+(70*20000)</f>
        <v>5058400</v>
      </c>
    </row>
    <row r="2818" spans="1:10" ht="101.25">
      <c r="A2818" s="1016"/>
      <c r="B2818" s="1017"/>
      <c r="C2818" s="1018"/>
      <c r="D2818" s="1018"/>
      <c r="E2818" s="1018"/>
      <c r="F2818" s="35" t="s">
        <v>7666</v>
      </c>
      <c r="G2818" s="73">
        <f>(60*5*3500)+(16.2*8*6000)</f>
        <v>1827600</v>
      </c>
      <c r="H2818" s="569">
        <v>1</v>
      </c>
      <c r="I2818" s="35" t="s">
        <v>7667</v>
      </c>
      <c r="J2818" s="531">
        <f>(70*50000)+(70*20000)+(16.2*8*6000)</f>
        <v>5677600</v>
      </c>
    </row>
    <row r="2819" spans="1:10" ht="67.5">
      <c r="A2819" s="1016"/>
      <c r="B2819" s="1017"/>
      <c r="C2819" s="1018"/>
      <c r="D2819" s="1018"/>
      <c r="E2819" s="1018"/>
      <c r="F2819" s="35" t="s">
        <v>7668</v>
      </c>
      <c r="G2819" s="73">
        <f>(50*5*3500)+(50*5*0.12*7000)</f>
        <v>1085000</v>
      </c>
      <c r="H2819" s="569">
        <v>1</v>
      </c>
      <c r="I2819" s="35" t="s">
        <v>7669</v>
      </c>
      <c r="J2819" s="531">
        <f>(5050*580)+(80000000)</f>
        <v>82929000</v>
      </c>
    </row>
    <row r="2820" spans="1:10" ht="78.75">
      <c r="A2820" s="1016"/>
      <c r="B2820" s="1017"/>
      <c r="C2820" s="1018"/>
      <c r="D2820" s="1018"/>
      <c r="E2820" s="1018"/>
      <c r="F2820" s="35" t="s">
        <v>7670</v>
      </c>
      <c r="G2820" s="73">
        <f>(50*5*3500)+(50*5*0.12*7000)</f>
        <v>1085000</v>
      </c>
      <c r="H2820" s="569">
        <v>1</v>
      </c>
      <c r="I2820" s="35" t="s">
        <v>7669</v>
      </c>
      <c r="J2820" s="531">
        <f>(5050*580)+(80000000)</f>
        <v>82929000</v>
      </c>
    </row>
    <row r="2821" spans="1:10" ht="56.25">
      <c r="A2821" s="1016"/>
      <c r="B2821" s="1017"/>
      <c r="C2821" s="1018"/>
      <c r="D2821" s="1018"/>
      <c r="E2821" s="1018"/>
      <c r="F2821" s="35" t="s">
        <v>7671</v>
      </c>
      <c r="G2821" s="73">
        <f>(2.25*8*6000)</f>
        <v>108000</v>
      </c>
      <c r="H2821" s="569">
        <v>1</v>
      </c>
      <c r="I2821" s="35" t="s">
        <v>7672</v>
      </c>
      <c r="J2821" s="531">
        <f>G2821</f>
        <v>108000</v>
      </c>
    </row>
    <row r="2822" spans="1:10" ht="202.5">
      <c r="A2822" s="1016"/>
      <c r="B2822" s="1017"/>
      <c r="C2822" s="1018"/>
      <c r="D2822" s="1018"/>
      <c r="E2822" s="1018"/>
      <c r="F2822" s="35" t="s">
        <v>7673</v>
      </c>
      <c r="G2822" s="73">
        <f>(12100*5.5*3500)</f>
        <v>232925000</v>
      </c>
      <c r="H2822" s="569">
        <v>1</v>
      </c>
      <c r="I2822" s="35" t="s">
        <v>7674</v>
      </c>
      <c r="J2822" s="531">
        <v>450000000</v>
      </c>
    </row>
    <row r="2823" spans="1:10" ht="112.5">
      <c r="A2823" s="1016"/>
      <c r="B2823" s="300" t="s">
        <v>7675</v>
      </c>
      <c r="C2823" s="569" t="s">
        <v>7676</v>
      </c>
      <c r="D2823" s="569">
        <v>1.2</v>
      </c>
      <c r="E2823" s="569">
        <v>3.3</v>
      </c>
      <c r="F2823" s="35" t="s">
        <v>7677</v>
      </c>
      <c r="G2823" s="73">
        <f>(150*4*0.15*7000)</f>
        <v>630000</v>
      </c>
      <c r="H2823" s="569">
        <v>1</v>
      </c>
      <c r="I2823" s="35" t="s">
        <v>7678</v>
      </c>
      <c r="J2823" s="531">
        <f>150*50000</f>
        <v>7500000</v>
      </c>
    </row>
    <row r="2824" spans="1:10" ht="67.5">
      <c r="A2824" s="1016"/>
      <c r="B2824" s="300" t="s">
        <v>7679</v>
      </c>
      <c r="C2824" s="569" t="s">
        <v>7680</v>
      </c>
      <c r="D2824" s="569">
        <v>7.1</v>
      </c>
      <c r="E2824" s="569">
        <v>4</v>
      </c>
      <c r="F2824" s="35" t="s">
        <v>7681</v>
      </c>
      <c r="G2824" s="73">
        <f>200*0.15*7000</f>
        <v>210000</v>
      </c>
      <c r="H2824" s="569">
        <v>2</v>
      </c>
      <c r="I2824" s="35" t="s">
        <v>7669</v>
      </c>
      <c r="J2824" s="531">
        <f>(5050*580)+(80000000)</f>
        <v>82929000</v>
      </c>
    </row>
    <row r="2825" spans="1:10" ht="33.75">
      <c r="A2825" s="22" t="s">
        <v>9981</v>
      </c>
      <c r="B2825" s="26" t="s">
        <v>23948</v>
      </c>
      <c r="C2825" s="569" t="s">
        <v>23949</v>
      </c>
      <c r="D2825" s="569">
        <v>11.08</v>
      </c>
      <c r="E2825" s="569">
        <v>0</v>
      </c>
      <c r="F2825" s="569" t="s">
        <v>23874</v>
      </c>
      <c r="G2825" s="73">
        <v>0</v>
      </c>
      <c r="H2825" s="569">
        <v>1</v>
      </c>
      <c r="I2825" s="569" t="s">
        <v>23875</v>
      </c>
      <c r="J2825" s="531">
        <v>450000</v>
      </c>
    </row>
    <row r="2826" spans="1:10" ht="33.75">
      <c r="A2826" s="22" t="s">
        <v>23950</v>
      </c>
      <c r="B2826" s="26" t="s">
        <v>23950</v>
      </c>
      <c r="C2826" s="569" t="s">
        <v>23951</v>
      </c>
      <c r="D2826" s="569">
        <v>11.08</v>
      </c>
      <c r="E2826" s="569">
        <v>0</v>
      </c>
      <c r="F2826" s="569" t="s">
        <v>23874</v>
      </c>
      <c r="G2826" s="73">
        <v>0</v>
      </c>
      <c r="H2826" s="569">
        <v>1</v>
      </c>
      <c r="I2826" s="569" t="s">
        <v>23875</v>
      </c>
      <c r="J2826" s="531">
        <v>750000</v>
      </c>
    </row>
    <row r="2827" spans="1:10" ht="33.75">
      <c r="A2827" s="22" t="s">
        <v>9981</v>
      </c>
      <c r="B2827" s="26" t="s">
        <v>23952</v>
      </c>
      <c r="C2827" s="569" t="s">
        <v>23953</v>
      </c>
      <c r="D2827" s="569">
        <v>11.08</v>
      </c>
      <c r="E2827" s="569">
        <v>0</v>
      </c>
      <c r="F2827" s="569" t="s">
        <v>23954</v>
      </c>
      <c r="G2827" s="73">
        <v>0</v>
      </c>
      <c r="H2827" s="569">
        <v>1</v>
      </c>
      <c r="I2827" s="569" t="s">
        <v>23955</v>
      </c>
      <c r="J2827" s="531">
        <v>31500000</v>
      </c>
    </row>
    <row r="2828" spans="1:10" ht="45">
      <c r="A2828" s="22" t="s">
        <v>23950</v>
      </c>
      <c r="B2828" s="26" t="s">
        <v>23956</v>
      </c>
      <c r="C2828" s="569" t="s">
        <v>23957</v>
      </c>
      <c r="D2828" s="569">
        <v>11.08</v>
      </c>
      <c r="E2828" s="569">
        <v>0</v>
      </c>
      <c r="F2828" s="569" t="s">
        <v>23958</v>
      </c>
      <c r="G2828" s="73">
        <v>0</v>
      </c>
      <c r="H2828" s="569">
        <v>1</v>
      </c>
      <c r="I2828" s="569" t="s">
        <v>23959</v>
      </c>
      <c r="J2828" s="531">
        <v>37500000</v>
      </c>
    </row>
    <row r="2829" spans="1:10" ht="15.75">
      <c r="A2829" s="658"/>
      <c r="B2829" s="301"/>
      <c r="C2829" s="301"/>
      <c r="D2829" s="301"/>
      <c r="E2829" s="302"/>
      <c r="F2829" s="303"/>
      <c r="G2829" s="489"/>
      <c r="H2829" s="301"/>
      <c r="I2829" s="303"/>
      <c r="J2829" s="659"/>
    </row>
    <row r="2830" spans="1:10" ht="15.75">
      <c r="A2830" s="1013" t="s">
        <v>6444</v>
      </c>
      <c r="B2830" s="1014"/>
      <c r="C2830" s="1014"/>
      <c r="D2830" s="1014"/>
      <c r="E2830" s="1014"/>
      <c r="F2830" s="1014"/>
      <c r="G2830" s="550">
        <f>SUM(G2804:G2829)</f>
        <v>395464100</v>
      </c>
      <c r="H2830" s="564"/>
      <c r="I2830" s="564"/>
      <c r="J2830" s="626">
        <f>SUM(J2804:J2829)</f>
        <v>2360672200</v>
      </c>
    </row>
    <row r="2831" spans="1:10" ht="15.75">
      <c r="A2831" s="1013" t="s">
        <v>7682</v>
      </c>
      <c r="B2831" s="1014"/>
      <c r="C2831" s="1014"/>
      <c r="D2831" s="1014"/>
      <c r="E2831" s="1014"/>
      <c r="F2831" s="1014"/>
      <c r="G2831" s="1014"/>
      <c r="H2831" s="1014"/>
      <c r="I2831" s="1014"/>
      <c r="J2831" s="1015"/>
    </row>
    <row r="2832" spans="1:10" ht="141.75">
      <c r="A2832" s="658" t="s">
        <v>7683</v>
      </c>
      <c r="B2832" s="301" t="s">
        <v>7684</v>
      </c>
      <c r="C2832" s="301" t="s">
        <v>7685</v>
      </c>
      <c r="D2832" s="301">
        <v>10</v>
      </c>
      <c r="E2832" s="302">
        <v>5</v>
      </c>
      <c r="F2832" s="303" t="s">
        <v>7686</v>
      </c>
      <c r="G2832" s="489">
        <v>75800000</v>
      </c>
      <c r="H2832" s="301">
        <v>27</v>
      </c>
      <c r="I2832" s="303" t="s">
        <v>7687</v>
      </c>
      <c r="J2832" s="659">
        <v>311300000</v>
      </c>
    </row>
    <row r="2833" spans="1:10" ht="94.5">
      <c r="A2833" s="658" t="s">
        <v>7683</v>
      </c>
      <c r="B2833" s="301" t="s">
        <v>7688</v>
      </c>
      <c r="C2833" s="301" t="s">
        <v>7689</v>
      </c>
      <c r="D2833" s="301">
        <v>7.1</v>
      </c>
      <c r="E2833" s="302">
        <v>5</v>
      </c>
      <c r="F2833" s="303" t="s">
        <v>7690</v>
      </c>
      <c r="G2833" s="489">
        <v>48102500</v>
      </c>
      <c r="H2833" s="301">
        <v>35</v>
      </c>
      <c r="I2833" s="303" t="s">
        <v>7691</v>
      </c>
      <c r="J2833" s="659">
        <v>90134500</v>
      </c>
    </row>
    <row r="2834" spans="1:10" ht="94.5">
      <c r="A2834" s="658" t="s">
        <v>7683</v>
      </c>
      <c r="B2834" s="301" t="s">
        <v>7692</v>
      </c>
      <c r="C2834" s="301" t="s">
        <v>7693</v>
      </c>
      <c r="D2834" s="301">
        <v>2.6</v>
      </c>
      <c r="E2834" s="302">
        <v>6</v>
      </c>
      <c r="F2834" s="303" t="s">
        <v>7690</v>
      </c>
      <c r="G2834" s="489">
        <v>19708000</v>
      </c>
      <c r="H2834" s="301">
        <v>34</v>
      </c>
      <c r="I2834" s="303" t="s">
        <v>7691</v>
      </c>
      <c r="J2834" s="659">
        <v>91260000</v>
      </c>
    </row>
    <row r="2835" spans="1:10" ht="110.25">
      <c r="A2835" s="658" t="s">
        <v>7683</v>
      </c>
      <c r="B2835" s="301" t="s">
        <v>7694</v>
      </c>
      <c r="C2835" s="301" t="s">
        <v>7695</v>
      </c>
      <c r="D2835" s="301">
        <v>4.5999999999999996</v>
      </c>
      <c r="E2835" s="302">
        <v>6</v>
      </c>
      <c r="F2835" s="303" t="s">
        <v>7690</v>
      </c>
      <c r="G2835" s="489">
        <v>33016500</v>
      </c>
      <c r="H2835" s="301">
        <v>33</v>
      </c>
      <c r="I2835" s="303" t="s">
        <v>7696</v>
      </c>
      <c r="J2835" s="659">
        <v>143048500</v>
      </c>
    </row>
    <row r="2836" spans="1:10" ht="110.25">
      <c r="A2836" s="658" t="s">
        <v>7683</v>
      </c>
      <c r="B2836" s="301" t="s">
        <v>7697</v>
      </c>
      <c r="C2836" s="301" t="s">
        <v>7698</v>
      </c>
      <c r="D2836" s="301">
        <v>4.8</v>
      </c>
      <c r="E2836" s="302">
        <v>5.5</v>
      </c>
      <c r="F2836" s="303" t="s">
        <v>7690</v>
      </c>
      <c r="G2836" s="489">
        <v>34452000</v>
      </c>
      <c r="H2836" s="301">
        <v>28</v>
      </c>
      <c r="I2836" s="303" t="s">
        <v>7699</v>
      </c>
      <c r="J2836" s="659">
        <v>157908000</v>
      </c>
    </row>
    <row r="2837" spans="1:10" ht="110.25">
      <c r="A2837" s="658" t="s">
        <v>7683</v>
      </c>
      <c r="B2837" s="301" t="s">
        <v>7700</v>
      </c>
      <c r="C2837" s="301" t="s">
        <v>7701</v>
      </c>
      <c r="D2837" s="301">
        <v>4.9000000000000004</v>
      </c>
      <c r="E2837" s="302">
        <v>6</v>
      </c>
      <c r="F2837" s="303" t="s">
        <v>7690</v>
      </c>
      <c r="G2837" s="489">
        <v>34055000</v>
      </c>
      <c r="H2837" s="301">
        <v>29</v>
      </c>
      <c r="I2837" s="303" t="s">
        <v>7696</v>
      </c>
      <c r="J2837" s="659">
        <v>151263000</v>
      </c>
    </row>
    <row r="2838" spans="1:10" ht="110.25">
      <c r="A2838" s="658" t="s">
        <v>7683</v>
      </c>
      <c r="B2838" s="301" t="s">
        <v>7702</v>
      </c>
      <c r="C2838" s="301" t="s">
        <v>7703</v>
      </c>
      <c r="D2838" s="301">
        <v>4.9000000000000004</v>
      </c>
      <c r="E2838" s="302">
        <v>5</v>
      </c>
      <c r="F2838" s="303" t="s">
        <v>7690</v>
      </c>
      <c r="G2838" s="489">
        <v>33197500</v>
      </c>
      <c r="H2838" s="301">
        <v>30</v>
      </c>
      <c r="I2838" s="303" t="s">
        <v>7696</v>
      </c>
      <c r="J2838" s="659">
        <v>150405500</v>
      </c>
    </row>
    <row r="2839" spans="1:10" ht="110.25">
      <c r="A2839" s="658" t="s">
        <v>7683</v>
      </c>
      <c r="B2839" s="301" t="s">
        <v>7704</v>
      </c>
      <c r="C2839" s="301" t="s">
        <v>7705</v>
      </c>
      <c r="D2839" s="301">
        <v>4.9000000000000004</v>
      </c>
      <c r="E2839" s="302">
        <v>5</v>
      </c>
      <c r="F2839" s="303" t="s">
        <v>7690</v>
      </c>
      <c r="G2839" s="489">
        <v>111989500</v>
      </c>
      <c r="H2839" s="301">
        <v>31</v>
      </c>
      <c r="I2839" s="303" t="s">
        <v>7696</v>
      </c>
      <c r="J2839" s="659">
        <v>150405500</v>
      </c>
    </row>
    <row r="2840" spans="1:10" ht="110.25">
      <c r="A2840" s="658" t="s">
        <v>7683</v>
      </c>
      <c r="B2840" s="301" t="s">
        <v>7706</v>
      </c>
      <c r="C2840" s="301" t="s">
        <v>7707</v>
      </c>
      <c r="D2840" s="301">
        <v>4.8</v>
      </c>
      <c r="E2840" s="302">
        <v>5</v>
      </c>
      <c r="F2840" s="303" t="s">
        <v>7690</v>
      </c>
      <c r="G2840" s="489">
        <v>103200000</v>
      </c>
      <c r="H2840" s="301">
        <v>32</v>
      </c>
      <c r="I2840" s="303" t="s">
        <v>7696</v>
      </c>
      <c r="J2840" s="659">
        <v>144816000</v>
      </c>
    </row>
    <row r="2841" spans="1:10" ht="63">
      <c r="A2841" s="658" t="s">
        <v>4950</v>
      </c>
      <c r="B2841" s="301" t="s">
        <v>7708</v>
      </c>
      <c r="C2841" s="301" t="s">
        <v>7709</v>
      </c>
      <c r="D2841" s="301">
        <v>11.2</v>
      </c>
      <c r="E2841" s="302">
        <v>5.5</v>
      </c>
      <c r="F2841" s="303" t="s">
        <v>7690</v>
      </c>
      <c r="G2841" s="489">
        <v>80388000</v>
      </c>
      <c r="H2841" s="301">
        <v>11</v>
      </c>
      <c r="I2841" s="303" t="s">
        <v>7710</v>
      </c>
      <c r="J2841" s="659">
        <v>401716000</v>
      </c>
    </row>
    <row r="2842" spans="1:10" ht="78.75">
      <c r="A2842" s="658" t="s">
        <v>4950</v>
      </c>
      <c r="B2842" s="301" t="s">
        <v>7711</v>
      </c>
      <c r="C2842" s="301" t="s">
        <v>7712</v>
      </c>
      <c r="D2842" s="301">
        <v>5.2</v>
      </c>
      <c r="E2842" s="302">
        <v>5.5</v>
      </c>
      <c r="F2842" s="303" t="s">
        <v>7690</v>
      </c>
      <c r="G2842" s="489">
        <v>37323000</v>
      </c>
      <c r="H2842" s="301">
        <v>12</v>
      </c>
      <c r="I2842" s="303" t="s">
        <v>7713</v>
      </c>
      <c r="J2842" s="659">
        <v>171067000</v>
      </c>
    </row>
    <row r="2843" spans="1:10" ht="94.5">
      <c r="A2843" s="658" t="s">
        <v>4950</v>
      </c>
      <c r="B2843" s="301" t="s">
        <v>7714</v>
      </c>
      <c r="C2843" s="301" t="s">
        <v>7715</v>
      </c>
      <c r="D2843" s="301">
        <v>2</v>
      </c>
      <c r="E2843" s="302">
        <v>5</v>
      </c>
      <c r="F2843" s="303" t="s">
        <v>7690</v>
      </c>
      <c r="G2843" s="489">
        <v>12500000</v>
      </c>
      <c r="H2843" s="301">
        <v>20</v>
      </c>
      <c r="I2843" s="303" t="s">
        <v>7691</v>
      </c>
      <c r="J2843" s="659">
        <v>24340000</v>
      </c>
    </row>
    <row r="2844" spans="1:10" ht="110.25">
      <c r="A2844" s="658" t="s">
        <v>4950</v>
      </c>
      <c r="B2844" s="301" t="s">
        <v>7716</v>
      </c>
      <c r="C2844" s="301" t="s">
        <v>7717</v>
      </c>
      <c r="D2844" s="301">
        <v>5.0999999999999996</v>
      </c>
      <c r="E2844" s="302">
        <v>5.5</v>
      </c>
      <c r="F2844" s="303" t="s">
        <v>7690</v>
      </c>
      <c r="G2844" s="489">
        <v>36605250</v>
      </c>
      <c r="H2844" s="301">
        <v>13</v>
      </c>
      <c r="I2844" s="303" t="s">
        <v>7696</v>
      </c>
      <c r="J2844" s="659">
        <v>167777250</v>
      </c>
    </row>
    <row r="2845" spans="1:10" ht="110.25">
      <c r="A2845" s="658" t="s">
        <v>4950</v>
      </c>
      <c r="B2845" s="301" t="s">
        <v>7718</v>
      </c>
      <c r="C2845" s="301" t="s">
        <v>7719</v>
      </c>
      <c r="D2845" s="301">
        <v>15</v>
      </c>
      <c r="E2845" s="302">
        <v>5.5</v>
      </c>
      <c r="F2845" s="303" t="s">
        <v>7690</v>
      </c>
      <c r="G2845" s="489">
        <v>107662500</v>
      </c>
      <c r="H2845" s="301">
        <v>10</v>
      </c>
      <c r="I2845" s="303" t="s">
        <v>7696</v>
      </c>
      <c r="J2845" s="659">
        <v>466462500</v>
      </c>
    </row>
    <row r="2846" spans="1:10" ht="94.5">
      <c r="A2846" s="658" t="s">
        <v>4950</v>
      </c>
      <c r="B2846" s="301" t="s">
        <v>7720</v>
      </c>
      <c r="C2846" s="301" t="s">
        <v>7721</v>
      </c>
      <c r="D2846" s="301">
        <v>3</v>
      </c>
      <c r="E2846" s="302">
        <v>5.5</v>
      </c>
      <c r="F2846" s="303" t="s">
        <v>7690</v>
      </c>
      <c r="G2846" s="489">
        <v>21532500</v>
      </c>
      <c r="H2846" s="301">
        <v>17</v>
      </c>
      <c r="I2846" s="303" t="s">
        <v>7691</v>
      </c>
      <c r="J2846" s="659">
        <v>39292500</v>
      </c>
    </row>
    <row r="2847" spans="1:10" ht="110.25">
      <c r="A2847" s="658" t="s">
        <v>4950</v>
      </c>
      <c r="B2847" s="301" t="s">
        <v>7722</v>
      </c>
      <c r="C2847" s="301" t="s">
        <v>7723</v>
      </c>
      <c r="D2847" s="301">
        <v>2.4</v>
      </c>
      <c r="E2847" s="302">
        <v>5.5</v>
      </c>
      <c r="F2847" s="303" t="s">
        <v>7690</v>
      </c>
      <c r="G2847" s="489">
        <v>17226000</v>
      </c>
      <c r="H2847" s="301">
        <v>14</v>
      </c>
      <c r="I2847" s="303" t="s">
        <v>7699</v>
      </c>
      <c r="J2847" s="659">
        <v>78954000</v>
      </c>
    </row>
    <row r="2848" spans="1:10" ht="110.25">
      <c r="A2848" s="658" t="s">
        <v>4950</v>
      </c>
      <c r="B2848" s="301" t="s">
        <v>7724</v>
      </c>
      <c r="C2848" s="301" t="s">
        <v>7725</v>
      </c>
      <c r="D2848" s="301">
        <v>1.6</v>
      </c>
      <c r="E2848" s="302">
        <v>5.5</v>
      </c>
      <c r="F2848" s="303" t="s">
        <v>7690</v>
      </c>
      <c r="G2848" s="489">
        <v>11484000</v>
      </c>
      <c r="H2848" s="301">
        <v>21</v>
      </c>
      <c r="I2848" s="303" t="s">
        <v>7699</v>
      </c>
      <c r="J2848" s="659">
        <v>20956000</v>
      </c>
    </row>
    <row r="2849" spans="1:10" ht="110.25">
      <c r="A2849" s="658" t="s">
        <v>4950</v>
      </c>
      <c r="B2849" s="301" t="s">
        <v>7726</v>
      </c>
      <c r="C2849" s="301" t="s">
        <v>7727</v>
      </c>
      <c r="D2849" s="301">
        <v>2.2000000000000002</v>
      </c>
      <c r="E2849" s="302">
        <v>5.5</v>
      </c>
      <c r="F2849" s="303" t="s">
        <v>7690</v>
      </c>
      <c r="G2849" s="489">
        <v>15790500</v>
      </c>
      <c r="H2849" s="301">
        <v>16</v>
      </c>
      <c r="I2849" s="303" t="s">
        <v>7699</v>
      </c>
      <c r="J2849" s="659">
        <v>48350500</v>
      </c>
    </row>
    <row r="2850" spans="1:10" ht="110.25">
      <c r="A2850" s="658" t="s">
        <v>4950</v>
      </c>
      <c r="B2850" s="301" t="s">
        <v>7728</v>
      </c>
      <c r="C2850" s="301" t="s">
        <v>7729</v>
      </c>
      <c r="D2850" s="301">
        <v>1.77</v>
      </c>
      <c r="E2850" s="302">
        <v>5.5</v>
      </c>
      <c r="F2850" s="303" t="s">
        <v>7690</v>
      </c>
      <c r="G2850" s="489">
        <v>12704175</v>
      </c>
      <c r="H2850" s="301">
        <v>18</v>
      </c>
      <c r="I2850" s="303" t="s">
        <v>7699</v>
      </c>
      <c r="J2850" s="659">
        <v>38900175</v>
      </c>
    </row>
    <row r="2851" spans="1:10" ht="110.25">
      <c r="A2851" s="658" t="s">
        <v>4950</v>
      </c>
      <c r="B2851" s="301" t="s">
        <v>7730</v>
      </c>
      <c r="C2851" s="301" t="s">
        <v>7731</v>
      </c>
      <c r="D2851" s="301">
        <v>1.5</v>
      </c>
      <c r="E2851" s="302">
        <v>5.5</v>
      </c>
      <c r="F2851" s="303" t="s">
        <v>7690</v>
      </c>
      <c r="G2851" s="489">
        <v>10766250</v>
      </c>
      <c r="H2851" s="301">
        <v>19</v>
      </c>
      <c r="I2851" s="303" t="s">
        <v>7699</v>
      </c>
      <c r="J2851" s="659">
        <v>32966250</v>
      </c>
    </row>
    <row r="2852" spans="1:10" ht="110.25">
      <c r="A2852" s="658" t="s">
        <v>4950</v>
      </c>
      <c r="B2852" s="301" t="s">
        <v>7732</v>
      </c>
      <c r="C2852" s="301" t="s">
        <v>7733</v>
      </c>
      <c r="D2852" s="301">
        <v>0.5</v>
      </c>
      <c r="E2852" s="302">
        <v>5.5</v>
      </c>
      <c r="F2852" s="303" t="s">
        <v>7690</v>
      </c>
      <c r="G2852" s="489">
        <v>3588750</v>
      </c>
      <c r="H2852" s="301">
        <v>22</v>
      </c>
      <c r="I2852" s="303" t="s">
        <v>7699</v>
      </c>
      <c r="J2852" s="659">
        <v>10988750</v>
      </c>
    </row>
    <row r="2853" spans="1:10" ht="110.25">
      <c r="A2853" s="658" t="s">
        <v>4950</v>
      </c>
      <c r="B2853" s="301" t="s">
        <v>7734</v>
      </c>
      <c r="C2853" s="301" t="s">
        <v>7735</v>
      </c>
      <c r="D2853" s="301">
        <v>0.4</v>
      </c>
      <c r="E2853" s="302">
        <v>5.5</v>
      </c>
      <c r="F2853" s="303" t="s">
        <v>7690</v>
      </c>
      <c r="G2853" s="489">
        <v>2871000</v>
      </c>
      <c r="H2853" s="301">
        <v>23</v>
      </c>
      <c r="I2853" s="303" t="s">
        <v>7699</v>
      </c>
      <c r="J2853" s="659">
        <v>8791000</v>
      </c>
    </row>
    <row r="2854" spans="1:10" ht="110.25">
      <c r="A2854" s="658" t="s">
        <v>4950</v>
      </c>
      <c r="B2854" s="301" t="s">
        <v>7736</v>
      </c>
      <c r="C2854" s="301" t="s">
        <v>7737</v>
      </c>
      <c r="D2854" s="301">
        <v>2.2999999999999998</v>
      </c>
      <c r="E2854" s="302">
        <v>5.5</v>
      </c>
      <c r="F2854" s="303" t="s">
        <v>7690</v>
      </c>
      <c r="G2854" s="489">
        <v>16508250</v>
      </c>
      <c r="H2854" s="301">
        <v>15</v>
      </c>
      <c r="I2854" s="303" t="s">
        <v>7699</v>
      </c>
      <c r="J2854" s="659">
        <v>50548250</v>
      </c>
    </row>
    <row r="2855" spans="1:10" ht="110.25">
      <c r="A2855" s="658" t="s">
        <v>7738</v>
      </c>
      <c r="B2855" s="301" t="s">
        <v>7739</v>
      </c>
      <c r="C2855" s="301" t="s">
        <v>7740</v>
      </c>
      <c r="D2855" s="301">
        <v>6.3</v>
      </c>
      <c r="E2855" s="302">
        <v>5</v>
      </c>
      <c r="F2855" s="303" t="s">
        <v>7690</v>
      </c>
      <c r="G2855" s="489">
        <v>39375000</v>
      </c>
      <c r="H2855" s="301">
        <v>2</v>
      </c>
      <c r="I2855" s="303" t="s">
        <v>7699</v>
      </c>
      <c r="J2855" s="659">
        <v>318087000</v>
      </c>
    </row>
    <row r="2856" spans="1:10" ht="110.25">
      <c r="A2856" s="658" t="s">
        <v>7738</v>
      </c>
      <c r="B2856" s="301" t="s">
        <v>7741</v>
      </c>
      <c r="C2856" s="301" t="s">
        <v>7742</v>
      </c>
      <c r="D2856" s="301">
        <v>2.5</v>
      </c>
      <c r="E2856" s="302">
        <v>5.5</v>
      </c>
      <c r="F2856" s="303" t="s">
        <v>7690</v>
      </c>
      <c r="G2856" s="489">
        <v>17943750</v>
      </c>
      <c r="H2856" s="301">
        <v>4</v>
      </c>
      <c r="I2856" s="303" t="s">
        <v>7696</v>
      </c>
      <c r="J2856" s="659">
        <v>99943750</v>
      </c>
    </row>
    <row r="2857" spans="1:10" ht="110.25">
      <c r="A2857" s="658" t="s">
        <v>7738</v>
      </c>
      <c r="B2857" s="301" t="s">
        <v>7743</v>
      </c>
      <c r="C2857" s="301" t="s">
        <v>7744</v>
      </c>
      <c r="D2857" s="301">
        <v>10.9</v>
      </c>
      <c r="E2857" s="302">
        <v>5.5</v>
      </c>
      <c r="F2857" s="303" t="s">
        <v>7690</v>
      </c>
      <c r="G2857" s="489">
        <v>78234750</v>
      </c>
      <c r="H2857" s="301">
        <v>1</v>
      </c>
      <c r="I2857" s="303" t="s">
        <v>7696</v>
      </c>
      <c r="J2857" s="659">
        <v>435754750</v>
      </c>
    </row>
    <row r="2858" spans="1:10" ht="110.25">
      <c r="A2858" s="658" t="s">
        <v>7738</v>
      </c>
      <c r="B2858" s="301" t="s">
        <v>7745</v>
      </c>
      <c r="C2858" s="301" t="s">
        <v>7746</v>
      </c>
      <c r="D2858" s="301">
        <v>3.1</v>
      </c>
      <c r="E2858" s="302">
        <v>5.5</v>
      </c>
      <c r="F2858" s="303" t="s">
        <v>7690</v>
      </c>
      <c r="G2858" s="489">
        <v>22250250</v>
      </c>
      <c r="H2858" s="301">
        <v>3</v>
      </c>
      <c r="I2858" s="303" t="s">
        <v>7696</v>
      </c>
      <c r="J2858" s="659">
        <v>157410250</v>
      </c>
    </row>
    <row r="2859" spans="1:10" ht="110.25">
      <c r="A2859" s="658" t="s">
        <v>7747</v>
      </c>
      <c r="B2859" s="301" t="s">
        <v>7748</v>
      </c>
      <c r="C2859" s="301" t="s">
        <v>7749</v>
      </c>
      <c r="D2859" s="301">
        <v>2.1</v>
      </c>
      <c r="E2859" s="302">
        <v>5</v>
      </c>
      <c r="F2859" s="303" t="s">
        <v>7750</v>
      </c>
      <c r="G2859" s="489">
        <v>15072750</v>
      </c>
      <c r="H2859" s="301">
        <v>40</v>
      </c>
      <c r="I2859" s="303" t="s">
        <v>7696</v>
      </c>
      <c r="J2859" s="659">
        <v>121752750</v>
      </c>
    </row>
    <row r="2860" spans="1:10" ht="78.75">
      <c r="A2860" s="658" t="s">
        <v>7747</v>
      </c>
      <c r="B2860" s="301" t="s">
        <v>7751</v>
      </c>
      <c r="C2860" s="301" t="s">
        <v>7752</v>
      </c>
      <c r="D2860" s="301">
        <v>2.4</v>
      </c>
      <c r="E2860" s="302">
        <v>5.5</v>
      </c>
      <c r="F2860" s="303" t="s">
        <v>7750</v>
      </c>
      <c r="G2860" s="489">
        <v>7986000</v>
      </c>
      <c r="H2860" s="301">
        <v>38</v>
      </c>
      <c r="I2860" s="303" t="s">
        <v>7713</v>
      </c>
      <c r="J2860" s="659">
        <v>129906000</v>
      </c>
    </row>
    <row r="2861" spans="1:10" ht="78.75">
      <c r="A2861" s="658" t="s">
        <v>7747</v>
      </c>
      <c r="B2861" s="301" t="s">
        <v>7753</v>
      </c>
      <c r="C2861" s="301" t="s">
        <v>7754</v>
      </c>
      <c r="D2861" s="301">
        <v>9.4</v>
      </c>
      <c r="E2861" s="302">
        <v>5.5</v>
      </c>
      <c r="F2861" s="303" t="s">
        <v>7750</v>
      </c>
      <c r="G2861" s="489">
        <v>67468500</v>
      </c>
      <c r="H2861" s="301">
        <v>36</v>
      </c>
      <c r="I2861" s="303" t="s">
        <v>7713</v>
      </c>
      <c r="J2861" s="659">
        <v>387820500</v>
      </c>
    </row>
    <row r="2862" spans="1:10" ht="78.75">
      <c r="A2862" s="658" t="s">
        <v>7747</v>
      </c>
      <c r="B2862" s="301" t="s">
        <v>7755</v>
      </c>
      <c r="C2862" s="301" t="s">
        <v>7756</v>
      </c>
      <c r="D2862" s="301">
        <v>3</v>
      </c>
      <c r="E2862" s="302">
        <v>5.5</v>
      </c>
      <c r="F2862" s="303" t="s">
        <v>7750</v>
      </c>
      <c r="G2862" s="489">
        <v>21532500</v>
      </c>
      <c r="H2862" s="301">
        <v>39</v>
      </c>
      <c r="I2862" s="303" t="s">
        <v>7713</v>
      </c>
      <c r="J2862" s="659">
        <v>129532500</v>
      </c>
    </row>
    <row r="2863" spans="1:10" ht="110.25">
      <c r="A2863" s="658" t="s">
        <v>7747</v>
      </c>
      <c r="B2863" s="301" t="s">
        <v>7757</v>
      </c>
      <c r="C2863" s="301" t="s">
        <v>7758</v>
      </c>
      <c r="D2863" s="301">
        <v>1.4</v>
      </c>
      <c r="E2863" s="302">
        <v>5</v>
      </c>
      <c r="F2863" s="303" t="s">
        <v>7690</v>
      </c>
      <c r="G2863" s="489">
        <v>9485000</v>
      </c>
      <c r="H2863" s="301">
        <v>41</v>
      </c>
      <c r="I2863" s="303" t="s">
        <v>7696</v>
      </c>
      <c r="J2863" s="659">
        <v>93037000</v>
      </c>
    </row>
    <row r="2864" spans="1:10" ht="110.25">
      <c r="A2864" s="658" t="s">
        <v>7747</v>
      </c>
      <c r="B2864" s="301" t="s">
        <v>7759</v>
      </c>
      <c r="C2864" s="301" t="s">
        <v>7760</v>
      </c>
      <c r="D2864" s="301">
        <v>6.6</v>
      </c>
      <c r="E2864" s="302">
        <v>5.5</v>
      </c>
      <c r="F2864" s="303" t="s">
        <v>7690</v>
      </c>
      <c r="G2864" s="489">
        <v>47371500</v>
      </c>
      <c r="H2864" s="301">
        <v>37</v>
      </c>
      <c r="I2864" s="303" t="s">
        <v>7696</v>
      </c>
      <c r="J2864" s="659">
        <v>213691499.99999997</v>
      </c>
    </row>
    <row r="2865" spans="1:10" ht="110.25">
      <c r="A2865" s="658" t="s">
        <v>6269</v>
      </c>
      <c r="B2865" s="301" t="s">
        <v>7761</v>
      </c>
      <c r="C2865" s="301" t="s">
        <v>7762</v>
      </c>
      <c r="D2865" s="301">
        <v>3.1</v>
      </c>
      <c r="E2865" s="302">
        <v>5.5</v>
      </c>
      <c r="F2865" s="303" t="s">
        <v>7690</v>
      </c>
      <c r="G2865" s="489">
        <v>7986000</v>
      </c>
      <c r="H2865" s="301">
        <v>25</v>
      </c>
      <c r="I2865" s="303" t="s">
        <v>7696</v>
      </c>
      <c r="J2865" s="659">
        <v>123930250</v>
      </c>
    </row>
    <row r="2866" spans="1:10" ht="110.25">
      <c r="A2866" s="658" t="s">
        <v>6269</v>
      </c>
      <c r="B2866" s="301" t="s">
        <v>7763</v>
      </c>
      <c r="C2866" s="301" t="s">
        <v>7764</v>
      </c>
      <c r="D2866" s="301">
        <v>3.6</v>
      </c>
      <c r="E2866" s="302">
        <v>5.5</v>
      </c>
      <c r="F2866" s="303" t="s">
        <v>7690</v>
      </c>
      <c r="G2866" s="489">
        <v>25839000</v>
      </c>
      <c r="H2866" s="301">
        <v>26</v>
      </c>
      <c r="I2866" s="303" t="s">
        <v>7696</v>
      </c>
      <c r="J2866" s="659">
        <v>122607000</v>
      </c>
    </row>
    <row r="2867" spans="1:10" ht="110.25">
      <c r="A2867" s="658" t="s">
        <v>6269</v>
      </c>
      <c r="B2867" s="301" t="s">
        <v>7765</v>
      </c>
      <c r="C2867" s="301" t="s">
        <v>7766</v>
      </c>
      <c r="D2867" s="301">
        <v>8</v>
      </c>
      <c r="E2867" s="302">
        <v>5.5</v>
      </c>
      <c r="F2867" s="303" t="s">
        <v>7690</v>
      </c>
      <c r="G2867" s="489">
        <v>57420000</v>
      </c>
      <c r="H2867" s="301">
        <v>24</v>
      </c>
      <c r="I2867" s="303" t="s">
        <v>7696</v>
      </c>
      <c r="J2867" s="659">
        <v>319820000</v>
      </c>
    </row>
    <row r="2868" spans="1:10" ht="110.25">
      <c r="A2868" s="658" t="s">
        <v>3773</v>
      </c>
      <c r="B2868" s="301" t="s">
        <v>7767</v>
      </c>
      <c r="C2868" s="301" t="s">
        <v>7768</v>
      </c>
      <c r="D2868" s="301">
        <v>2.2000000000000002</v>
      </c>
      <c r="E2868" s="302">
        <v>5.5</v>
      </c>
      <c r="F2868" s="303" t="s">
        <v>7769</v>
      </c>
      <c r="G2868" s="489">
        <v>15790500</v>
      </c>
      <c r="H2868" s="301">
        <v>9</v>
      </c>
      <c r="I2868" s="303" t="s">
        <v>7696</v>
      </c>
      <c r="J2868" s="659">
        <v>87950500</v>
      </c>
    </row>
    <row r="2869" spans="1:10" ht="110.25">
      <c r="A2869" s="658" t="s">
        <v>3773</v>
      </c>
      <c r="B2869" s="301" t="s">
        <v>7770</v>
      </c>
      <c r="C2869" s="301" t="s">
        <v>7771</v>
      </c>
      <c r="D2869" s="301">
        <v>5.3</v>
      </c>
      <c r="E2869" s="302">
        <v>5.5</v>
      </c>
      <c r="F2869" s="303" t="s">
        <v>7769</v>
      </c>
      <c r="G2869" s="489">
        <v>38040750</v>
      </c>
      <c r="H2869" s="301">
        <v>6</v>
      </c>
      <c r="I2869" s="303" t="s">
        <v>7696</v>
      </c>
      <c r="J2869" s="659">
        <v>269120750</v>
      </c>
    </row>
    <row r="2870" spans="1:10" ht="110.25">
      <c r="A2870" s="658" t="s">
        <v>3773</v>
      </c>
      <c r="B2870" s="301" t="s">
        <v>7772</v>
      </c>
      <c r="C2870" s="301" t="s">
        <v>7773</v>
      </c>
      <c r="D2870" s="301">
        <v>12.5</v>
      </c>
      <c r="E2870" s="302">
        <v>5.5</v>
      </c>
      <c r="F2870" s="303" t="s">
        <v>7690</v>
      </c>
      <c r="G2870" s="489">
        <v>89718750</v>
      </c>
      <c r="H2870" s="301">
        <v>5</v>
      </c>
      <c r="I2870" s="303" t="s">
        <v>7696</v>
      </c>
      <c r="J2870" s="659">
        <v>493218750</v>
      </c>
    </row>
    <row r="2871" spans="1:10" ht="110.25">
      <c r="A2871" s="658" t="s">
        <v>3773</v>
      </c>
      <c r="B2871" s="301" t="s">
        <v>7774</v>
      </c>
      <c r="C2871" s="301" t="s">
        <v>7775</v>
      </c>
      <c r="D2871" s="301">
        <v>5.3</v>
      </c>
      <c r="E2871" s="302">
        <v>5.5</v>
      </c>
      <c r="F2871" s="303" t="s">
        <v>7690</v>
      </c>
      <c r="G2871" s="489">
        <v>38040750</v>
      </c>
      <c r="H2871" s="301">
        <v>7</v>
      </c>
      <c r="I2871" s="303" t="s">
        <v>7696</v>
      </c>
      <c r="J2871" s="659">
        <v>211880750</v>
      </c>
    </row>
    <row r="2872" spans="1:10" ht="110.25">
      <c r="A2872" s="658" t="s">
        <v>3773</v>
      </c>
      <c r="B2872" s="301" t="s">
        <v>7776</v>
      </c>
      <c r="C2872" s="301" t="s">
        <v>7777</v>
      </c>
      <c r="D2872" s="301">
        <v>2.7</v>
      </c>
      <c r="E2872" s="302">
        <v>5.5</v>
      </c>
      <c r="F2872" s="303" t="s">
        <v>7690</v>
      </c>
      <c r="G2872" s="489">
        <v>19379250</v>
      </c>
      <c r="H2872" s="301">
        <v>8</v>
      </c>
      <c r="I2872" s="303" t="s">
        <v>7696</v>
      </c>
      <c r="J2872" s="659">
        <v>145091250</v>
      </c>
    </row>
    <row r="2873" spans="1:10" ht="45">
      <c r="A2873" s="22" t="s">
        <v>9992</v>
      </c>
      <c r="B2873" s="26" t="s">
        <v>8558</v>
      </c>
      <c r="C2873" s="569" t="s">
        <v>24034</v>
      </c>
      <c r="D2873" s="569">
        <v>32.29</v>
      </c>
      <c r="E2873" s="569">
        <v>40</v>
      </c>
      <c r="F2873" s="569" t="s">
        <v>23907</v>
      </c>
      <c r="G2873" s="73">
        <v>0</v>
      </c>
      <c r="H2873" s="569" t="s">
        <v>31</v>
      </c>
      <c r="I2873" s="569" t="s">
        <v>23908</v>
      </c>
      <c r="J2873" s="531">
        <v>6000000</v>
      </c>
    </row>
    <row r="2874" spans="1:10" ht="45">
      <c r="A2874" s="22" t="s">
        <v>38</v>
      </c>
      <c r="B2874" s="26" t="s">
        <v>4123</v>
      </c>
      <c r="C2874" s="569" t="s">
        <v>24035</v>
      </c>
      <c r="D2874" s="569">
        <v>14.99</v>
      </c>
      <c r="E2874" s="569">
        <v>30</v>
      </c>
      <c r="F2874" s="569" t="s">
        <v>23902</v>
      </c>
      <c r="G2874" s="73">
        <v>0</v>
      </c>
      <c r="H2874" s="569" t="s">
        <v>31</v>
      </c>
      <c r="I2874" s="569" t="s">
        <v>23904</v>
      </c>
      <c r="J2874" s="531">
        <v>225796620.41</v>
      </c>
    </row>
    <row r="2875" spans="1:10" ht="45">
      <c r="A2875" s="22" t="s">
        <v>38</v>
      </c>
      <c r="B2875" s="26" t="s">
        <v>24036</v>
      </c>
      <c r="C2875" s="569" t="s">
        <v>24037</v>
      </c>
      <c r="D2875" s="569">
        <v>29.84</v>
      </c>
      <c r="E2875" s="569">
        <v>40</v>
      </c>
      <c r="F2875" s="569" t="s">
        <v>23902</v>
      </c>
      <c r="G2875" s="73">
        <v>0</v>
      </c>
      <c r="H2875" s="569" t="s">
        <v>31</v>
      </c>
      <c r="I2875" s="569" t="s">
        <v>23904</v>
      </c>
      <c r="J2875" s="531">
        <v>115777872.64399999</v>
      </c>
    </row>
    <row r="2876" spans="1:10" ht="45">
      <c r="A2876" s="22" t="s">
        <v>38</v>
      </c>
      <c r="B2876" s="26" t="s">
        <v>24038</v>
      </c>
      <c r="C2876" s="569" t="s">
        <v>24039</v>
      </c>
      <c r="D2876" s="569">
        <v>29.84</v>
      </c>
      <c r="E2876" s="569">
        <v>40</v>
      </c>
      <c r="F2876" s="569" t="s">
        <v>23902</v>
      </c>
      <c r="G2876" s="73">
        <v>0</v>
      </c>
      <c r="H2876" s="569" t="s">
        <v>31</v>
      </c>
      <c r="I2876" s="569" t="s">
        <v>23904</v>
      </c>
      <c r="J2876" s="531">
        <v>104204239.413</v>
      </c>
    </row>
    <row r="2877" spans="1:10" ht="45">
      <c r="A2877" s="22" t="s">
        <v>38</v>
      </c>
      <c r="B2877" s="26" t="s">
        <v>24040</v>
      </c>
      <c r="C2877" s="569" t="s">
        <v>24041</v>
      </c>
      <c r="D2877" s="569">
        <v>29.84</v>
      </c>
      <c r="E2877" s="569">
        <v>15</v>
      </c>
      <c r="F2877" s="569" t="s">
        <v>23902</v>
      </c>
      <c r="G2877" s="73">
        <v>0</v>
      </c>
      <c r="H2877" s="569" t="s">
        <v>31</v>
      </c>
      <c r="I2877" s="569" t="s">
        <v>23904</v>
      </c>
      <c r="J2877" s="531">
        <v>39375095.884999998</v>
      </c>
    </row>
    <row r="2878" spans="1:10" ht="45">
      <c r="A2878" s="22" t="s">
        <v>38</v>
      </c>
      <c r="B2878" s="26" t="s">
        <v>24042</v>
      </c>
      <c r="C2878" s="569" t="s">
        <v>24043</v>
      </c>
      <c r="D2878" s="569">
        <v>29.84</v>
      </c>
      <c r="E2878" s="569">
        <v>40</v>
      </c>
      <c r="F2878" s="569" t="s">
        <v>23902</v>
      </c>
      <c r="G2878" s="73">
        <v>0</v>
      </c>
      <c r="H2878" s="569" t="s">
        <v>31</v>
      </c>
      <c r="I2878" s="569" t="s">
        <v>23904</v>
      </c>
      <c r="J2878" s="531">
        <v>106445128.74600001</v>
      </c>
    </row>
    <row r="2879" spans="1:10" ht="45">
      <c r="A2879" s="22" t="s">
        <v>38</v>
      </c>
      <c r="B2879" s="26" t="s">
        <v>24044</v>
      </c>
      <c r="C2879" s="569" t="s">
        <v>24045</v>
      </c>
      <c r="D2879" s="569">
        <v>29.84</v>
      </c>
      <c r="E2879" s="569">
        <v>40</v>
      </c>
      <c r="F2879" s="569" t="s">
        <v>23902</v>
      </c>
      <c r="G2879" s="73">
        <v>0</v>
      </c>
      <c r="H2879" s="569" t="s">
        <v>31</v>
      </c>
      <c r="I2879" s="569" t="s">
        <v>23904</v>
      </c>
      <c r="J2879" s="531">
        <v>106445128.74600001</v>
      </c>
    </row>
    <row r="2880" spans="1:10" ht="45">
      <c r="A2880" s="22" t="s">
        <v>38</v>
      </c>
      <c r="B2880" s="26" t="s">
        <v>24046</v>
      </c>
      <c r="C2880" s="569" t="s">
        <v>24047</v>
      </c>
      <c r="D2880" s="569">
        <v>29.84</v>
      </c>
      <c r="E2880" s="569">
        <v>15</v>
      </c>
      <c r="F2880" s="569" t="s">
        <v>23902</v>
      </c>
      <c r="G2880" s="73">
        <v>0</v>
      </c>
      <c r="H2880" s="569" t="s">
        <v>31</v>
      </c>
      <c r="I2880" s="569" t="s">
        <v>23904</v>
      </c>
      <c r="J2880" s="531">
        <v>62127271.534000002</v>
      </c>
    </row>
    <row r="2881" spans="1:10" ht="45">
      <c r="A2881" s="22" t="s">
        <v>38</v>
      </c>
      <c r="B2881" s="26">
        <v>0</v>
      </c>
      <c r="C2881" s="569" t="s">
        <v>24048</v>
      </c>
      <c r="D2881" s="569">
        <v>14.99</v>
      </c>
      <c r="E2881" s="569">
        <v>55</v>
      </c>
      <c r="F2881" s="569" t="s">
        <v>23902</v>
      </c>
      <c r="G2881" s="73">
        <v>0</v>
      </c>
      <c r="H2881" s="569" t="s">
        <v>31</v>
      </c>
      <c r="I2881" s="569" t="s">
        <v>23904</v>
      </c>
      <c r="J2881" s="531">
        <v>404814674.32099998</v>
      </c>
    </row>
    <row r="2882" spans="1:10" ht="22.5">
      <c r="A2882" s="22" t="s">
        <v>38</v>
      </c>
      <c r="B2882" s="26" t="s">
        <v>3785</v>
      </c>
      <c r="C2882" s="569" t="s">
        <v>24049</v>
      </c>
      <c r="D2882" s="569">
        <v>32.29</v>
      </c>
      <c r="E2882" s="569">
        <v>50</v>
      </c>
      <c r="F2882" s="569" t="s">
        <v>23874</v>
      </c>
      <c r="G2882" s="73">
        <v>0</v>
      </c>
      <c r="H2882" s="569" t="s">
        <v>31</v>
      </c>
      <c r="I2882" s="569" t="s">
        <v>24050</v>
      </c>
      <c r="J2882" s="531">
        <v>11000000</v>
      </c>
    </row>
    <row r="2883" spans="1:10" ht="33.75">
      <c r="A2883" s="22" t="s">
        <v>9992</v>
      </c>
      <c r="B2883" s="26" t="s">
        <v>24051</v>
      </c>
      <c r="C2883" s="569" t="s">
        <v>24052</v>
      </c>
      <c r="D2883" s="569">
        <v>7.21</v>
      </c>
      <c r="E2883" s="569">
        <v>7.21</v>
      </c>
      <c r="F2883" s="569" t="s">
        <v>23761</v>
      </c>
      <c r="G2883" s="73">
        <v>0</v>
      </c>
      <c r="H2883" s="569" t="s">
        <v>31</v>
      </c>
      <c r="I2883" s="569" t="s">
        <v>23762</v>
      </c>
      <c r="J2883" s="531">
        <v>400485445.83600003</v>
      </c>
    </row>
    <row r="2884" spans="1:10" ht="33.75">
      <c r="A2884" s="22" t="s">
        <v>9992</v>
      </c>
      <c r="B2884" s="26" t="s">
        <v>24053</v>
      </c>
      <c r="C2884" s="569" t="s">
        <v>24054</v>
      </c>
      <c r="D2884" s="569">
        <v>8.08</v>
      </c>
      <c r="E2884" s="569">
        <v>8.08</v>
      </c>
      <c r="F2884" s="569" t="s">
        <v>23761</v>
      </c>
      <c r="G2884" s="73">
        <v>0</v>
      </c>
      <c r="H2884" s="569" t="s">
        <v>31</v>
      </c>
      <c r="I2884" s="569" t="s">
        <v>23762</v>
      </c>
      <c r="J2884" s="531">
        <v>67321547.899199992</v>
      </c>
    </row>
    <row r="2885" spans="1:10" ht="33.75">
      <c r="A2885" s="22" t="s">
        <v>38</v>
      </c>
      <c r="B2885" s="26" t="s">
        <v>24055</v>
      </c>
      <c r="C2885" s="569" t="s">
        <v>24056</v>
      </c>
      <c r="D2885" s="569">
        <v>29.84</v>
      </c>
      <c r="E2885" s="569">
        <v>29.84</v>
      </c>
      <c r="F2885" s="569" t="s">
        <v>23761</v>
      </c>
      <c r="G2885" s="73">
        <v>0</v>
      </c>
      <c r="H2885" s="569" t="s">
        <v>31</v>
      </c>
      <c r="I2885" s="569" t="s">
        <v>23762</v>
      </c>
      <c r="J2885" s="531">
        <v>444366652.80000001</v>
      </c>
    </row>
    <row r="2886" spans="1:10" ht="45">
      <c r="A2886" s="22" t="s">
        <v>3893</v>
      </c>
      <c r="B2886" s="26" t="s">
        <v>3907</v>
      </c>
      <c r="C2886" s="569" t="s">
        <v>24057</v>
      </c>
      <c r="D2886" s="569">
        <v>10.515000000000001</v>
      </c>
      <c r="E2886" s="569">
        <v>7.5</v>
      </c>
      <c r="F2886" s="569" t="s">
        <v>24058</v>
      </c>
      <c r="G2886" s="73">
        <v>150000000</v>
      </c>
      <c r="H2886" s="569">
        <v>1</v>
      </c>
      <c r="I2886" s="569" t="s">
        <v>24059</v>
      </c>
      <c r="J2886" s="531">
        <v>250000000</v>
      </c>
    </row>
    <row r="2887" spans="1:10" ht="33.75">
      <c r="A2887" s="22" t="s">
        <v>24060</v>
      </c>
      <c r="B2887" s="26" t="s">
        <v>24061</v>
      </c>
      <c r="C2887" s="569" t="s">
        <v>24062</v>
      </c>
      <c r="D2887" s="569">
        <v>18.170000000000002</v>
      </c>
      <c r="E2887" s="569">
        <v>9</v>
      </c>
      <c r="F2887" s="569" t="s">
        <v>24063</v>
      </c>
      <c r="G2887" s="73">
        <v>2000000</v>
      </c>
      <c r="H2887" s="569">
        <v>1</v>
      </c>
      <c r="I2887" s="569" t="s">
        <v>24064</v>
      </c>
      <c r="J2887" s="531">
        <v>2000000</v>
      </c>
    </row>
    <row r="2888" spans="1:10" ht="33.75">
      <c r="A2888" s="22" t="s">
        <v>24060</v>
      </c>
      <c r="B2888" s="26" t="s">
        <v>24065</v>
      </c>
      <c r="C2888" s="569" t="s">
        <v>24066</v>
      </c>
      <c r="D2888" s="569">
        <v>17.844999999999999</v>
      </c>
      <c r="E2888" s="569">
        <v>9</v>
      </c>
      <c r="F2888" s="569" t="s">
        <v>24063</v>
      </c>
      <c r="G2888" s="73">
        <v>2000000</v>
      </c>
      <c r="H2888" s="569">
        <v>1</v>
      </c>
      <c r="I2888" s="569" t="s">
        <v>24064</v>
      </c>
      <c r="J2888" s="531">
        <v>2000000</v>
      </c>
    </row>
    <row r="2889" spans="1:10" ht="22.5">
      <c r="A2889" s="22" t="s">
        <v>3893</v>
      </c>
      <c r="B2889" s="26" t="s">
        <v>3907</v>
      </c>
      <c r="C2889" s="569" t="s">
        <v>24067</v>
      </c>
      <c r="D2889" s="569">
        <v>10.515000000000001</v>
      </c>
      <c r="E2889" s="569">
        <v>7</v>
      </c>
      <c r="F2889" s="569" t="s">
        <v>23674</v>
      </c>
      <c r="G2889" s="73">
        <v>250000000</v>
      </c>
      <c r="H2889" s="569">
        <v>1</v>
      </c>
      <c r="I2889" s="569" t="s">
        <v>23675</v>
      </c>
      <c r="J2889" s="531">
        <v>610000000</v>
      </c>
    </row>
    <row r="2890" spans="1:10" ht="15.75">
      <c r="A2890" s="658"/>
      <c r="B2890" s="301"/>
      <c r="C2890" s="301"/>
      <c r="D2890" s="301"/>
      <c r="E2890" s="302"/>
      <c r="F2890" s="303"/>
      <c r="G2890" s="489"/>
      <c r="H2890" s="301"/>
      <c r="I2890" s="303"/>
      <c r="J2890" s="659"/>
    </row>
    <row r="2891" spans="1:10" ht="15.75">
      <c r="A2891" s="1013" t="s">
        <v>6444</v>
      </c>
      <c r="B2891" s="1014"/>
      <c r="C2891" s="1014"/>
      <c r="D2891" s="1014"/>
      <c r="E2891" s="1014"/>
      <c r="F2891" s="1014"/>
      <c r="G2891" s="550">
        <f>SUM(G2832:G2890)</f>
        <v>1903406175</v>
      </c>
      <c r="H2891" s="564"/>
      <c r="I2891" s="564"/>
      <c r="J2891" s="626">
        <f>SUM(J2832:J2890)</f>
        <v>9770366103.2342014</v>
      </c>
    </row>
    <row r="2892" spans="1:10" ht="15.75">
      <c r="A2892" s="1013" t="s">
        <v>7778</v>
      </c>
      <c r="B2892" s="1014"/>
      <c r="C2892" s="1014"/>
      <c r="D2892" s="1014"/>
      <c r="E2892" s="1014"/>
      <c r="F2892" s="1014"/>
      <c r="G2892" s="1014"/>
      <c r="H2892" s="1014"/>
      <c r="I2892" s="1014"/>
      <c r="J2892" s="1015"/>
    </row>
    <row r="2893" spans="1:10" ht="78.75">
      <c r="A2893" s="23" t="s">
        <v>5326</v>
      </c>
      <c r="B2893" s="569" t="s">
        <v>7779</v>
      </c>
      <c r="C2893" s="569" t="s">
        <v>7780</v>
      </c>
      <c r="D2893" s="569">
        <v>5</v>
      </c>
      <c r="E2893" s="569" t="s">
        <v>7781</v>
      </c>
      <c r="F2893" s="569" t="s">
        <v>7782</v>
      </c>
      <c r="G2893" s="73">
        <v>150000000</v>
      </c>
      <c r="H2893" s="569">
        <v>1</v>
      </c>
      <c r="I2893" s="569" t="s">
        <v>7783</v>
      </c>
      <c r="J2893" s="531">
        <v>222422500</v>
      </c>
    </row>
    <row r="2894" spans="1:10" ht="78.75">
      <c r="A2894" s="23" t="s">
        <v>5326</v>
      </c>
      <c r="B2894" s="569" t="s">
        <v>912</v>
      </c>
      <c r="C2894" s="569" t="s">
        <v>7784</v>
      </c>
      <c r="D2894" s="569">
        <v>9</v>
      </c>
      <c r="E2894" s="569" t="s">
        <v>7781</v>
      </c>
      <c r="F2894" s="569" t="s">
        <v>7785</v>
      </c>
      <c r="G2894" s="73">
        <v>270000000</v>
      </c>
      <c r="H2894" s="569">
        <v>1</v>
      </c>
      <c r="I2894" s="569" t="s">
        <v>7783</v>
      </c>
      <c r="J2894" s="531">
        <v>400360500</v>
      </c>
    </row>
    <row r="2895" spans="1:10" ht="67.5">
      <c r="A2895" s="23" t="s">
        <v>5326</v>
      </c>
      <c r="B2895" s="569" t="s">
        <v>7786</v>
      </c>
      <c r="C2895" s="569" t="s">
        <v>7787</v>
      </c>
      <c r="D2895" s="569" t="s">
        <v>7788</v>
      </c>
      <c r="E2895" s="569" t="s">
        <v>7781</v>
      </c>
      <c r="F2895" s="569" t="s">
        <v>7782</v>
      </c>
      <c r="G2895" s="73">
        <v>55000000</v>
      </c>
      <c r="H2895" s="569">
        <v>3</v>
      </c>
      <c r="I2895" s="569" t="s">
        <v>7789</v>
      </c>
      <c r="J2895" s="531">
        <v>80000000</v>
      </c>
    </row>
    <row r="2896" spans="1:10" ht="78.75">
      <c r="A2896" s="23" t="s">
        <v>5326</v>
      </c>
      <c r="B2896" s="569" t="s">
        <v>7790</v>
      </c>
      <c r="C2896" s="569" t="s">
        <v>7791</v>
      </c>
      <c r="D2896" s="569">
        <v>8</v>
      </c>
      <c r="E2896" s="569" t="s">
        <v>7781</v>
      </c>
      <c r="F2896" s="569" t="s">
        <v>7785</v>
      </c>
      <c r="G2896" s="73">
        <v>240000000</v>
      </c>
      <c r="H2896" s="569">
        <v>2</v>
      </c>
      <c r="I2896" s="569" t="s">
        <v>7792</v>
      </c>
      <c r="J2896" s="531">
        <v>355876000</v>
      </c>
    </row>
    <row r="2897" spans="1:10" ht="78.75">
      <c r="A2897" s="23" t="s">
        <v>5326</v>
      </c>
      <c r="B2897" s="569" t="s">
        <v>1187</v>
      </c>
      <c r="C2897" s="569" t="s">
        <v>7793</v>
      </c>
      <c r="D2897" s="569">
        <v>4</v>
      </c>
      <c r="E2897" s="569" t="s">
        <v>7781</v>
      </c>
      <c r="F2897" s="569" t="s">
        <v>7785</v>
      </c>
      <c r="G2897" s="73">
        <v>100000000</v>
      </c>
      <c r="H2897" s="569">
        <v>3</v>
      </c>
      <c r="I2897" s="569" t="s">
        <v>7792</v>
      </c>
      <c r="J2897" s="531">
        <v>177938000</v>
      </c>
    </row>
    <row r="2898" spans="1:10" ht="67.5">
      <c r="A2898" s="23" t="s">
        <v>5326</v>
      </c>
      <c r="B2898" s="569" t="s">
        <v>7794</v>
      </c>
      <c r="C2898" s="569" t="s">
        <v>7795</v>
      </c>
      <c r="D2898" s="569" t="s">
        <v>7796</v>
      </c>
      <c r="E2898" s="569" t="s">
        <v>7781</v>
      </c>
      <c r="F2898" s="569" t="s">
        <v>7782</v>
      </c>
      <c r="G2898" s="73">
        <v>65000000</v>
      </c>
      <c r="H2898" s="569">
        <v>3</v>
      </c>
      <c r="I2898" s="569" t="s">
        <v>7797</v>
      </c>
      <c r="J2898" s="531">
        <v>88969000</v>
      </c>
    </row>
    <row r="2899" spans="1:10" ht="67.5">
      <c r="A2899" s="23" t="s">
        <v>5326</v>
      </c>
      <c r="B2899" s="569" t="s">
        <v>2885</v>
      </c>
      <c r="C2899" s="569" t="s">
        <v>7798</v>
      </c>
      <c r="D2899" s="569" t="s">
        <v>7799</v>
      </c>
      <c r="E2899" s="569" t="s">
        <v>7781</v>
      </c>
      <c r="F2899" s="569" t="s">
        <v>7785</v>
      </c>
      <c r="G2899" s="73">
        <v>180000000</v>
      </c>
      <c r="H2899" s="569">
        <v>2</v>
      </c>
      <c r="I2899" s="569" t="s">
        <v>7797</v>
      </c>
      <c r="J2899" s="531">
        <v>311391500</v>
      </c>
    </row>
    <row r="2900" spans="1:10" ht="101.25">
      <c r="A2900" s="23" t="s">
        <v>5326</v>
      </c>
      <c r="B2900" s="569" t="s">
        <v>5247</v>
      </c>
      <c r="C2900" s="569" t="s">
        <v>7800</v>
      </c>
      <c r="D2900" s="569">
        <v>19</v>
      </c>
      <c r="E2900" s="569" t="s">
        <v>7781</v>
      </c>
      <c r="F2900" s="569" t="s">
        <v>7785</v>
      </c>
      <c r="G2900" s="73">
        <v>450000000</v>
      </c>
      <c r="H2900" s="569">
        <v>1</v>
      </c>
      <c r="I2900" s="569" t="s">
        <v>7801</v>
      </c>
      <c r="J2900" s="531">
        <v>845000000</v>
      </c>
    </row>
    <row r="2901" spans="1:10" ht="67.5">
      <c r="A2901" s="23" t="s">
        <v>5326</v>
      </c>
      <c r="B2901" s="569" t="s">
        <v>7802</v>
      </c>
      <c r="C2901" s="569" t="s">
        <v>7803</v>
      </c>
      <c r="D2901" s="569" t="s">
        <v>7804</v>
      </c>
      <c r="E2901" s="569" t="s">
        <v>7781</v>
      </c>
      <c r="F2901" s="569" t="s">
        <v>7785</v>
      </c>
      <c r="G2901" s="73">
        <v>247500000</v>
      </c>
      <c r="H2901" s="569">
        <v>2</v>
      </c>
      <c r="I2901" s="569" t="s">
        <v>7797</v>
      </c>
      <c r="J2901" s="531">
        <v>400000000</v>
      </c>
    </row>
    <row r="2902" spans="1:10" ht="67.5">
      <c r="A2902" s="23" t="s">
        <v>5326</v>
      </c>
      <c r="B2902" s="569" t="s">
        <v>7805</v>
      </c>
      <c r="C2902" s="569" t="s">
        <v>7806</v>
      </c>
      <c r="D2902" s="569">
        <v>13</v>
      </c>
      <c r="E2902" s="569" t="s">
        <v>7781</v>
      </c>
      <c r="F2902" s="569" t="s">
        <v>7807</v>
      </c>
      <c r="G2902" s="73">
        <v>212500000</v>
      </c>
      <c r="H2902" s="569">
        <v>1</v>
      </c>
      <c r="I2902" s="569" t="s">
        <v>7797</v>
      </c>
      <c r="J2902" s="531">
        <v>578298500</v>
      </c>
    </row>
    <row r="2903" spans="1:10" ht="78.75">
      <c r="A2903" s="23" t="s">
        <v>4849</v>
      </c>
      <c r="B2903" s="569" t="s">
        <v>7808</v>
      </c>
      <c r="C2903" s="569" t="s">
        <v>7809</v>
      </c>
      <c r="D2903" s="569">
        <v>3</v>
      </c>
      <c r="E2903" s="569" t="s">
        <v>7781</v>
      </c>
      <c r="F2903" s="569" t="s">
        <v>7785</v>
      </c>
      <c r="G2903" s="73">
        <v>75000000</v>
      </c>
      <c r="H2903" s="569">
        <v>3</v>
      </c>
      <c r="I2903" s="569" t="s">
        <v>7792</v>
      </c>
      <c r="J2903" s="531">
        <v>133453500</v>
      </c>
    </row>
    <row r="2904" spans="1:10" ht="78.75">
      <c r="A2904" s="23" t="s">
        <v>4849</v>
      </c>
      <c r="B2904" s="569" t="s">
        <v>7810</v>
      </c>
      <c r="C2904" s="569" t="s">
        <v>7811</v>
      </c>
      <c r="D2904" s="569" t="s">
        <v>7812</v>
      </c>
      <c r="E2904" s="569" t="s">
        <v>7781</v>
      </c>
      <c r="F2904" s="569" t="s">
        <v>7785</v>
      </c>
      <c r="G2904" s="73">
        <v>90000000</v>
      </c>
      <c r="H2904" s="569">
        <v>2</v>
      </c>
      <c r="I2904" s="569" t="s">
        <v>7792</v>
      </c>
      <c r="J2904" s="531">
        <v>150000000</v>
      </c>
    </row>
    <row r="2905" spans="1:10" ht="78.75">
      <c r="A2905" s="23" t="s">
        <v>4849</v>
      </c>
      <c r="B2905" s="569" t="s">
        <v>7813</v>
      </c>
      <c r="C2905" s="569" t="s">
        <v>7814</v>
      </c>
      <c r="D2905" s="569" t="s">
        <v>7076</v>
      </c>
      <c r="E2905" s="569" t="s">
        <v>7781</v>
      </c>
      <c r="F2905" s="569" t="s">
        <v>7782</v>
      </c>
      <c r="G2905" s="73">
        <v>170000000</v>
      </c>
      <c r="H2905" s="569">
        <v>1</v>
      </c>
      <c r="I2905" s="569" t="s">
        <v>7792</v>
      </c>
      <c r="J2905" s="531">
        <v>266907000</v>
      </c>
    </row>
    <row r="2906" spans="1:10" ht="78.75">
      <c r="A2906" s="23" t="s">
        <v>4849</v>
      </c>
      <c r="B2906" s="569" t="s">
        <v>7815</v>
      </c>
      <c r="C2906" s="569" t="s">
        <v>7816</v>
      </c>
      <c r="D2906" s="569" t="s">
        <v>7817</v>
      </c>
      <c r="E2906" s="569" t="s">
        <v>7781</v>
      </c>
      <c r="F2906" s="569" t="s">
        <v>7782</v>
      </c>
      <c r="G2906" s="73">
        <v>110000000</v>
      </c>
      <c r="H2906" s="569">
        <v>3</v>
      </c>
      <c r="I2906" s="569" t="s">
        <v>7792</v>
      </c>
      <c r="J2906" s="531">
        <v>177930000</v>
      </c>
    </row>
    <row r="2907" spans="1:10" ht="78.75">
      <c r="A2907" s="23" t="s">
        <v>4849</v>
      </c>
      <c r="B2907" s="569" t="s">
        <v>3751</v>
      </c>
      <c r="C2907" s="569" t="s">
        <v>7818</v>
      </c>
      <c r="D2907" s="569">
        <v>4</v>
      </c>
      <c r="E2907" s="569" t="s">
        <v>7781</v>
      </c>
      <c r="F2907" s="569" t="s">
        <v>7819</v>
      </c>
      <c r="G2907" s="73">
        <v>100000000</v>
      </c>
      <c r="H2907" s="569">
        <v>3</v>
      </c>
      <c r="I2907" s="569" t="s">
        <v>7792</v>
      </c>
      <c r="J2907" s="531">
        <v>177938000</v>
      </c>
    </row>
    <row r="2908" spans="1:10" ht="78.75">
      <c r="A2908" s="23" t="s">
        <v>4849</v>
      </c>
      <c r="B2908" s="569" t="s">
        <v>7820</v>
      </c>
      <c r="C2908" s="569" t="s">
        <v>7821</v>
      </c>
      <c r="D2908" s="569" t="s">
        <v>7822</v>
      </c>
      <c r="E2908" s="569" t="s">
        <v>7781</v>
      </c>
      <c r="F2908" s="569" t="s">
        <v>7823</v>
      </c>
      <c r="G2908" s="73">
        <v>45000000</v>
      </c>
      <c r="H2908" s="569">
        <v>2</v>
      </c>
      <c r="I2908" s="569" t="s">
        <v>7792</v>
      </c>
      <c r="J2908" s="531">
        <v>88969500</v>
      </c>
    </row>
    <row r="2909" spans="1:10" ht="78.75">
      <c r="A2909" s="23" t="s">
        <v>4849</v>
      </c>
      <c r="B2909" s="569" t="s">
        <v>7824</v>
      </c>
      <c r="C2909" s="569" t="s">
        <v>7825</v>
      </c>
      <c r="D2909" s="569" t="s">
        <v>7826</v>
      </c>
      <c r="E2909" s="569" t="s">
        <v>7781</v>
      </c>
      <c r="F2909" s="569" t="s">
        <v>7819</v>
      </c>
      <c r="G2909" s="73">
        <v>160000000</v>
      </c>
      <c r="H2909" s="569">
        <v>2</v>
      </c>
      <c r="I2909" s="569" t="s">
        <v>7792</v>
      </c>
      <c r="J2909" s="531">
        <v>266907000</v>
      </c>
    </row>
    <row r="2910" spans="1:10" ht="78.75">
      <c r="A2910" s="23" t="s">
        <v>4849</v>
      </c>
      <c r="B2910" s="569" t="s">
        <v>7827</v>
      </c>
      <c r="C2910" s="569" t="s">
        <v>7828</v>
      </c>
      <c r="D2910" s="569" t="s">
        <v>7829</v>
      </c>
      <c r="E2910" s="569" t="s">
        <v>7781</v>
      </c>
      <c r="F2910" s="569" t="s">
        <v>7819</v>
      </c>
      <c r="G2910" s="73">
        <v>86000000</v>
      </c>
      <c r="H2910" s="569">
        <v>2</v>
      </c>
      <c r="I2910" s="569" t="s">
        <v>7792</v>
      </c>
      <c r="J2910" s="531">
        <v>133453000</v>
      </c>
    </row>
    <row r="2911" spans="1:10" ht="78.75">
      <c r="A2911" s="23" t="s">
        <v>4849</v>
      </c>
      <c r="B2911" s="569" t="s">
        <v>7830</v>
      </c>
      <c r="C2911" s="569" t="s">
        <v>7831</v>
      </c>
      <c r="D2911" s="569">
        <v>7</v>
      </c>
      <c r="E2911" s="569" t="s">
        <v>7781</v>
      </c>
      <c r="F2911" s="569" t="s">
        <v>7819</v>
      </c>
      <c r="G2911" s="73">
        <v>160000000</v>
      </c>
      <c r="H2911" s="569">
        <v>2</v>
      </c>
      <c r="I2911" s="569" t="s">
        <v>7792</v>
      </c>
      <c r="J2911" s="531">
        <v>311391500</v>
      </c>
    </row>
    <row r="2912" spans="1:10" ht="67.5">
      <c r="A2912" s="23" t="s">
        <v>4849</v>
      </c>
      <c r="B2912" s="569" t="s">
        <v>7832</v>
      </c>
      <c r="C2912" s="569" t="s">
        <v>7833</v>
      </c>
      <c r="D2912" s="569" t="s">
        <v>7834</v>
      </c>
      <c r="E2912" s="569" t="s">
        <v>7781</v>
      </c>
      <c r="F2912" s="569" t="s">
        <v>7819</v>
      </c>
      <c r="G2912" s="73">
        <v>27000000</v>
      </c>
      <c r="H2912" s="569">
        <v>3</v>
      </c>
      <c r="I2912" s="569" t="s">
        <v>7797</v>
      </c>
      <c r="J2912" s="531">
        <v>45000000</v>
      </c>
    </row>
    <row r="2913" spans="1:10" ht="78.75">
      <c r="A2913" s="23" t="s">
        <v>4849</v>
      </c>
      <c r="B2913" s="569" t="s">
        <v>19</v>
      </c>
      <c r="C2913" s="569" t="s">
        <v>7835</v>
      </c>
      <c r="D2913" s="569" t="s">
        <v>7836</v>
      </c>
      <c r="E2913" s="569" t="s">
        <v>7781</v>
      </c>
      <c r="F2913" s="569" t="s">
        <v>7823</v>
      </c>
      <c r="G2913" s="73">
        <v>90000000</v>
      </c>
      <c r="H2913" s="569">
        <v>1</v>
      </c>
      <c r="I2913" s="569" t="s">
        <v>7792</v>
      </c>
      <c r="J2913" s="531">
        <v>133453000</v>
      </c>
    </row>
    <row r="2914" spans="1:10" ht="67.5">
      <c r="A2914" s="23" t="s">
        <v>4848</v>
      </c>
      <c r="B2914" s="569" t="s">
        <v>7837</v>
      </c>
      <c r="C2914" s="569" t="s">
        <v>7838</v>
      </c>
      <c r="D2914" s="569" t="s">
        <v>7839</v>
      </c>
      <c r="E2914" s="569" t="s">
        <v>7781</v>
      </c>
      <c r="F2914" s="569" t="s">
        <v>7819</v>
      </c>
      <c r="G2914" s="73">
        <v>90000000</v>
      </c>
      <c r="H2914" s="569">
        <v>1</v>
      </c>
      <c r="I2914" s="569" t="s">
        <v>7789</v>
      </c>
      <c r="J2914" s="531">
        <v>133453000</v>
      </c>
    </row>
    <row r="2915" spans="1:10" ht="78.75">
      <c r="A2915" s="23" t="s">
        <v>4848</v>
      </c>
      <c r="B2915" s="569" t="s">
        <v>7840</v>
      </c>
      <c r="C2915" s="569" t="s">
        <v>7841</v>
      </c>
      <c r="D2915" s="569" t="s">
        <v>7842</v>
      </c>
      <c r="E2915" s="569" t="s">
        <v>7781</v>
      </c>
      <c r="F2915" s="569" t="s">
        <v>7819</v>
      </c>
      <c r="G2915" s="73">
        <v>37500000</v>
      </c>
      <c r="H2915" s="569">
        <v>1</v>
      </c>
      <c r="I2915" s="569" t="s">
        <v>7792</v>
      </c>
      <c r="J2915" s="531">
        <v>88969000</v>
      </c>
    </row>
    <row r="2916" spans="1:10" ht="101.25">
      <c r="A2916" s="23" t="s">
        <v>4848</v>
      </c>
      <c r="B2916" s="569" t="s">
        <v>1864</v>
      </c>
      <c r="C2916" s="569" t="s">
        <v>7843</v>
      </c>
      <c r="D2916" s="569" t="s">
        <v>7844</v>
      </c>
      <c r="E2916" s="569" t="s">
        <v>7781</v>
      </c>
      <c r="F2916" s="569" t="s">
        <v>7819</v>
      </c>
      <c r="G2916" s="73">
        <v>18000000</v>
      </c>
      <c r="H2916" s="569">
        <v>1</v>
      </c>
      <c r="I2916" s="569" t="s">
        <v>7845</v>
      </c>
      <c r="J2916" s="531">
        <v>100000000</v>
      </c>
    </row>
    <row r="2917" spans="1:10" ht="78.75">
      <c r="A2917" s="23" t="s">
        <v>4848</v>
      </c>
      <c r="B2917" s="569" t="s">
        <v>7846</v>
      </c>
      <c r="C2917" s="569" t="s">
        <v>7847</v>
      </c>
      <c r="D2917" s="569" t="s">
        <v>7848</v>
      </c>
      <c r="E2917" s="569" t="s">
        <v>7781</v>
      </c>
      <c r="F2917" s="569" t="s">
        <v>7819</v>
      </c>
      <c r="G2917" s="73">
        <v>140000000</v>
      </c>
      <c r="H2917" s="569">
        <v>2</v>
      </c>
      <c r="I2917" s="569" t="s">
        <v>7792</v>
      </c>
      <c r="J2917" s="531">
        <v>266000000</v>
      </c>
    </row>
    <row r="2918" spans="1:10" ht="78.75">
      <c r="A2918" s="23" t="s">
        <v>4848</v>
      </c>
      <c r="B2918" s="569" t="s">
        <v>7849</v>
      </c>
      <c r="C2918" s="569" t="s">
        <v>7850</v>
      </c>
      <c r="D2918" s="569" t="s">
        <v>7851</v>
      </c>
      <c r="E2918" s="569" t="s">
        <v>7781</v>
      </c>
      <c r="F2918" s="569" t="s">
        <v>7852</v>
      </c>
      <c r="G2918" s="73">
        <v>300000000</v>
      </c>
      <c r="H2918" s="569">
        <v>1</v>
      </c>
      <c r="I2918" s="569" t="s">
        <v>7792</v>
      </c>
      <c r="J2918" s="531">
        <v>534000000</v>
      </c>
    </row>
    <row r="2919" spans="1:10" ht="78.75">
      <c r="A2919" s="23" t="s">
        <v>4848</v>
      </c>
      <c r="B2919" s="569" t="s">
        <v>1694</v>
      </c>
      <c r="C2919" s="569" t="s">
        <v>7853</v>
      </c>
      <c r="D2919" s="569" t="s">
        <v>337</v>
      </c>
      <c r="E2919" s="569" t="s">
        <v>7781</v>
      </c>
      <c r="F2919" s="569" t="s">
        <v>7819</v>
      </c>
      <c r="G2919" s="73">
        <v>18000000</v>
      </c>
      <c r="H2919" s="569">
        <v>2</v>
      </c>
      <c r="I2919" s="569" t="s">
        <v>7792</v>
      </c>
      <c r="J2919" s="531">
        <v>45000000</v>
      </c>
    </row>
    <row r="2920" spans="1:10" ht="78.75">
      <c r="A2920" s="23" t="s">
        <v>4848</v>
      </c>
      <c r="B2920" s="569" t="s">
        <v>7854</v>
      </c>
      <c r="C2920" s="569" t="s">
        <v>7855</v>
      </c>
      <c r="D2920" s="569">
        <v>6</v>
      </c>
      <c r="E2920" s="569" t="s">
        <v>7781</v>
      </c>
      <c r="F2920" s="569" t="s">
        <v>7819</v>
      </c>
      <c r="G2920" s="73">
        <v>130000000</v>
      </c>
      <c r="H2920" s="569">
        <v>3</v>
      </c>
      <c r="I2920" s="569" t="s">
        <v>7792</v>
      </c>
      <c r="J2920" s="531">
        <v>263000000</v>
      </c>
    </row>
    <row r="2921" spans="1:10" ht="22.5">
      <c r="A2921" s="22" t="s">
        <v>9779</v>
      </c>
      <c r="B2921" s="26" t="s">
        <v>23571</v>
      </c>
      <c r="C2921" s="569" t="s">
        <v>23572</v>
      </c>
      <c r="D2921" s="569">
        <v>3.4049999999999998</v>
      </c>
      <c r="E2921" s="569">
        <v>6</v>
      </c>
      <c r="F2921" s="569" t="s">
        <v>23573</v>
      </c>
      <c r="G2921" s="73">
        <v>0</v>
      </c>
      <c r="H2921" s="569" t="s">
        <v>31</v>
      </c>
      <c r="I2921" s="569" t="s">
        <v>23574</v>
      </c>
      <c r="J2921" s="531">
        <v>200000</v>
      </c>
    </row>
    <row r="2922" spans="1:10" ht="30">
      <c r="A2922" s="634" t="s">
        <v>4849</v>
      </c>
      <c r="B2922" s="375" t="s">
        <v>5326</v>
      </c>
      <c r="C2922" s="375" t="s">
        <v>25161</v>
      </c>
      <c r="D2922" s="375" t="s">
        <v>25162</v>
      </c>
      <c r="E2922" s="375"/>
      <c r="F2922" s="375" t="s">
        <v>25163</v>
      </c>
      <c r="G2922" s="551"/>
      <c r="H2922" s="375">
        <v>1</v>
      </c>
      <c r="I2922" s="375" t="s">
        <v>25164</v>
      </c>
      <c r="J2922" s="508"/>
    </row>
    <row r="2923" spans="1:10" ht="15.75">
      <c r="A2923" s="658"/>
      <c r="B2923" s="301"/>
      <c r="C2923" s="301"/>
      <c r="D2923" s="301"/>
      <c r="E2923" s="302"/>
      <c r="F2923" s="303"/>
      <c r="G2923" s="489"/>
      <c r="H2923" s="301"/>
      <c r="I2923" s="303"/>
      <c r="J2923" s="659"/>
    </row>
    <row r="2924" spans="1:10" ht="15.75">
      <c r="A2924" s="1013" t="s">
        <v>6444</v>
      </c>
      <c r="B2924" s="1014"/>
      <c r="C2924" s="1014"/>
      <c r="D2924" s="1014"/>
      <c r="E2924" s="1014"/>
      <c r="F2924" s="1014"/>
      <c r="G2924" s="550">
        <f>SUM(G2893:G2923)</f>
        <v>3816500000</v>
      </c>
      <c r="H2924" s="564"/>
      <c r="I2924" s="564"/>
      <c r="J2924" s="626">
        <f>SUM(J2893:J2923)</f>
        <v>6776280500</v>
      </c>
    </row>
    <row r="2925" spans="1:10" ht="15.75">
      <c r="A2925" s="1013" t="s">
        <v>7856</v>
      </c>
      <c r="B2925" s="1014"/>
      <c r="C2925" s="1014"/>
      <c r="D2925" s="1014"/>
      <c r="E2925" s="1014"/>
      <c r="F2925" s="1014"/>
      <c r="G2925" s="1014"/>
      <c r="H2925" s="1014"/>
      <c r="I2925" s="1014"/>
      <c r="J2925" s="1015"/>
    </row>
    <row r="2926" spans="1:10" ht="33.75">
      <c r="A2926" s="22" t="s">
        <v>7857</v>
      </c>
      <c r="B2926" s="26" t="s">
        <v>7858</v>
      </c>
      <c r="C2926" s="569" t="s">
        <v>7859</v>
      </c>
      <c r="D2926" s="569">
        <v>2.1</v>
      </c>
      <c r="E2926" s="569">
        <v>13</v>
      </c>
      <c r="F2926" s="569" t="s">
        <v>7860</v>
      </c>
      <c r="G2926" s="73">
        <v>8501000</v>
      </c>
      <c r="H2926" s="569">
        <v>1</v>
      </c>
      <c r="I2926" s="569" t="s">
        <v>7861</v>
      </c>
      <c r="J2926" s="531">
        <v>29070000</v>
      </c>
    </row>
    <row r="2927" spans="1:10" ht="45">
      <c r="A2927" s="22" t="s">
        <v>7857</v>
      </c>
      <c r="B2927" s="26" t="s">
        <v>7862</v>
      </c>
      <c r="C2927" s="569" t="s">
        <v>7863</v>
      </c>
      <c r="D2927" s="569">
        <v>10</v>
      </c>
      <c r="E2927" s="569">
        <v>13</v>
      </c>
      <c r="F2927" s="569" t="s">
        <v>7860</v>
      </c>
      <c r="G2927" s="73">
        <v>37800000</v>
      </c>
      <c r="H2927" s="569">
        <v>1</v>
      </c>
      <c r="I2927" s="569" t="s">
        <v>7864</v>
      </c>
      <c r="J2927" s="531">
        <v>112400000</v>
      </c>
    </row>
    <row r="2928" spans="1:10" ht="33.75">
      <c r="A2928" s="22" t="s">
        <v>7857</v>
      </c>
      <c r="B2928" s="26" t="s">
        <v>7865</v>
      </c>
      <c r="C2928" s="569" t="s">
        <v>7866</v>
      </c>
      <c r="D2928" s="569">
        <v>2.1</v>
      </c>
      <c r="E2928" s="569">
        <v>11</v>
      </c>
      <c r="F2928" s="569" t="s">
        <v>7860</v>
      </c>
      <c r="G2928" s="73">
        <v>8724000</v>
      </c>
      <c r="H2928" s="569">
        <v>1</v>
      </c>
      <c r="I2928" s="569" t="s">
        <v>7861</v>
      </c>
      <c r="J2928" s="531">
        <v>13938000</v>
      </c>
    </row>
    <row r="2929" spans="1:10" ht="45">
      <c r="A2929" s="22" t="s">
        <v>7857</v>
      </c>
      <c r="B2929" s="26" t="s">
        <v>6334</v>
      </c>
      <c r="C2929" s="569" t="s">
        <v>7867</v>
      </c>
      <c r="D2929" s="569">
        <v>11</v>
      </c>
      <c r="E2929" s="569">
        <v>9</v>
      </c>
      <c r="F2929" s="569" t="s">
        <v>7868</v>
      </c>
      <c r="G2929" s="73">
        <v>56490000</v>
      </c>
      <c r="H2929" s="569">
        <v>1</v>
      </c>
      <c r="I2929" s="569" t="s">
        <v>7864</v>
      </c>
      <c r="J2929" s="531">
        <v>60230000</v>
      </c>
    </row>
    <row r="2930" spans="1:10" ht="33.75">
      <c r="A2930" s="22" t="s">
        <v>7857</v>
      </c>
      <c r="B2930" s="26" t="s">
        <v>7869</v>
      </c>
      <c r="C2930" s="569" t="s">
        <v>7870</v>
      </c>
      <c r="D2930" s="569">
        <v>2.1</v>
      </c>
      <c r="E2930" s="569">
        <v>14</v>
      </c>
      <c r="F2930" s="569" t="s">
        <v>7860</v>
      </c>
      <c r="G2930" s="73">
        <v>7324000</v>
      </c>
      <c r="H2930" s="569">
        <v>1</v>
      </c>
      <c r="I2930" s="569" t="s">
        <v>7861</v>
      </c>
      <c r="J2930" s="531">
        <v>55834000</v>
      </c>
    </row>
    <row r="2931" spans="1:10" ht="45">
      <c r="A2931" s="22" t="s">
        <v>7871</v>
      </c>
      <c r="B2931" s="26" t="s">
        <v>7872</v>
      </c>
      <c r="C2931" s="569" t="s">
        <v>7873</v>
      </c>
      <c r="D2931" s="569">
        <v>8.6</v>
      </c>
      <c r="E2931" s="569">
        <v>13</v>
      </c>
      <c r="F2931" s="569" t="s">
        <v>7868</v>
      </c>
      <c r="G2931" s="73">
        <v>54484000</v>
      </c>
      <c r="H2931" s="569">
        <v>1</v>
      </c>
      <c r="I2931" s="569" t="s">
        <v>7874</v>
      </c>
      <c r="J2931" s="531">
        <v>62660000</v>
      </c>
    </row>
    <row r="2932" spans="1:10" ht="45">
      <c r="A2932" s="22" t="s">
        <v>7871</v>
      </c>
      <c r="B2932" s="26" t="s">
        <v>7875</v>
      </c>
      <c r="C2932" s="569" t="s">
        <v>7876</v>
      </c>
      <c r="D2932" s="569">
        <v>3.2</v>
      </c>
      <c r="E2932" s="569">
        <v>12</v>
      </c>
      <c r="F2932" s="569" t="s">
        <v>7868</v>
      </c>
      <c r="G2932" s="73">
        <v>25308000</v>
      </c>
      <c r="H2932" s="569">
        <v>1</v>
      </c>
      <c r="I2932" s="569" t="s">
        <v>7874</v>
      </c>
      <c r="J2932" s="531">
        <v>35996000</v>
      </c>
    </row>
    <row r="2933" spans="1:10" ht="45">
      <c r="A2933" s="22" t="s">
        <v>7877</v>
      </c>
      <c r="B2933" s="26" t="s">
        <v>7878</v>
      </c>
      <c r="C2933" s="569" t="s">
        <v>7879</v>
      </c>
      <c r="D2933" s="569">
        <v>13.6</v>
      </c>
      <c r="E2933" s="569">
        <v>11</v>
      </c>
      <c r="F2933" s="569" t="s">
        <v>7868</v>
      </c>
      <c r="G2933" s="73">
        <v>63552000</v>
      </c>
      <c r="H2933" s="569">
        <v>1</v>
      </c>
      <c r="I2933" s="569" t="s">
        <v>7864</v>
      </c>
      <c r="J2933" s="531">
        <v>99592000</v>
      </c>
    </row>
    <row r="2934" spans="1:10" ht="45">
      <c r="A2934" s="22" t="s">
        <v>7877</v>
      </c>
      <c r="B2934" s="26" t="s">
        <v>4617</v>
      </c>
      <c r="C2934" s="569" t="s">
        <v>7880</v>
      </c>
      <c r="D2934" s="569">
        <v>1.8</v>
      </c>
      <c r="E2934" s="569">
        <v>10</v>
      </c>
      <c r="F2934" s="569" t="s">
        <v>7868</v>
      </c>
      <c r="G2934" s="73">
        <v>23652000</v>
      </c>
      <c r="H2934" s="569">
        <v>1</v>
      </c>
      <c r="I2934" s="569" t="s">
        <v>7864</v>
      </c>
      <c r="J2934" s="531">
        <v>42264000</v>
      </c>
    </row>
    <row r="2935" spans="1:10" ht="45">
      <c r="A2935" s="22" t="s">
        <v>7877</v>
      </c>
      <c r="B2935" s="26" t="s">
        <v>7881</v>
      </c>
      <c r="C2935" s="569" t="s">
        <v>7882</v>
      </c>
      <c r="D2935" s="569">
        <v>1.5</v>
      </c>
      <c r="E2935" s="569">
        <v>11</v>
      </c>
      <c r="F2935" s="569" t="s">
        <v>7868</v>
      </c>
      <c r="G2935" s="73">
        <v>14860000</v>
      </c>
      <c r="H2935" s="569">
        <v>1</v>
      </c>
      <c r="I2935" s="569" t="s">
        <v>7864</v>
      </c>
      <c r="J2935" s="531">
        <v>22870000</v>
      </c>
    </row>
    <row r="2936" spans="1:10" ht="33.75">
      <c r="A2936" s="22" t="s">
        <v>9991</v>
      </c>
      <c r="B2936" s="26" t="s">
        <v>23900</v>
      </c>
      <c r="C2936" s="569" t="s">
        <v>23901</v>
      </c>
      <c r="D2936" s="569">
        <v>16.34</v>
      </c>
      <c r="E2936" s="569">
        <v>100</v>
      </c>
      <c r="F2936" s="569" t="s">
        <v>23902</v>
      </c>
      <c r="G2936" s="73">
        <v>0</v>
      </c>
      <c r="H2936" s="569" t="s">
        <v>31</v>
      </c>
      <c r="I2936" s="569" t="s">
        <v>23903</v>
      </c>
      <c r="J2936" s="531">
        <v>162981755.5</v>
      </c>
    </row>
    <row r="2937" spans="1:10" ht="33.75">
      <c r="A2937" s="22" t="s">
        <v>9991</v>
      </c>
      <c r="B2937" s="26" t="s">
        <v>23900</v>
      </c>
      <c r="C2937" s="569" t="s">
        <v>23901</v>
      </c>
      <c r="D2937" s="569">
        <v>16.34</v>
      </c>
      <c r="E2937" s="569">
        <v>100</v>
      </c>
      <c r="F2937" s="569" t="s">
        <v>23902</v>
      </c>
      <c r="G2937" s="73">
        <v>0</v>
      </c>
      <c r="H2937" s="569" t="s">
        <v>31</v>
      </c>
      <c r="I2937" s="569" t="s">
        <v>23904</v>
      </c>
      <c r="J2937" s="531">
        <v>740952502.93200004</v>
      </c>
    </row>
    <row r="2938" spans="1:10" ht="33.75">
      <c r="A2938" s="22" t="s">
        <v>9991</v>
      </c>
      <c r="B2938" s="26" t="s">
        <v>23905</v>
      </c>
      <c r="C2938" s="569" t="s">
        <v>23906</v>
      </c>
      <c r="D2938" s="569">
        <v>18.86</v>
      </c>
      <c r="E2938" s="569">
        <v>30</v>
      </c>
      <c r="F2938" s="569" t="s">
        <v>23907</v>
      </c>
      <c r="G2938" s="73">
        <v>0</v>
      </c>
      <c r="H2938" s="569" t="s">
        <v>31</v>
      </c>
      <c r="I2938" s="569" t="s">
        <v>23908</v>
      </c>
      <c r="J2938" s="531">
        <v>5000000</v>
      </c>
    </row>
    <row r="2939" spans="1:10" ht="45">
      <c r="A2939" s="22" t="s">
        <v>9991</v>
      </c>
      <c r="B2939" s="26" t="s">
        <v>23909</v>
      </c>
      <c r="C2939" s="569" t="s">
        <v>23910</v>
      </c>
      <c r="D2939" s="569">
        <v>16.34</v>
      </c>
      <c r="E2939" s="569">
        <v>50</v>
      </c>
      <c r="F2939" s="569" t="s">
        <v>23769</v>
      </c>
      <c r="G2939" s="73">
        <v>0</v>
      </c>
      <c r="H2939" s="569" t="s">
        <v>31</v>
      </c>
      <c r="I2939" s="569" t="s">
        <v>23770</v>
      </c>
      <c r="J2939" s="531">
        <v>15000000</v>
      </c>
    </row>
    <row r="2940" spans="1:10" ht="22.5">
      <c r="A2940" s="22" t="s">
        <v>59</v>
      </c>
      <c r="B2940" s="26" t="s">
        <v>23911</v>
      </c>
      <c r="C2940" s="569" t="s">
        <v>23912</v>
      </c>
      <c r="D2940" s="569">
        <v>18.86</v>
      </c>
      <c r="E2940" s="569">
        <v>18</v>
      </c>
      <c r="F2940" s="569" t="s">
        <v>23902</v>
      </c>
      <c r="G2940" s="73">
        <v>0</v>
      </c>
      <c r="H2940" s="569" t="s">
        <v>31</v>
      </c>
      <c r="I2940" s="569" t="s">
        <v>23904</v>
      </c>
      <c r="J2940" s="531">
        <v>752965117.75199997</v>
      </c>
    </row>
    <row r="2941" spans="1:10" ht="45">
      <c r="A2941" s="22" t="s">
        <v>59</v>
      </c>
      <c r="B2941" s="26" t="s">
        <v>23744</v>
      </c>
      <c r="C2941" s="569" t="s">
        <v>23913</v>
      </c>
      <c r="D2941" s="569">
        <v>7.5750000000000002</v>
      </c>
      <c r="E2941" s="569">
        <v>1620</v>
      </c>
      <c r="F2941" s="569" t="s">
        <v>23746</v>
      </c>
      <c r="G2941" s="73">
        <v>0</v>
      </c>
      <c r="H2941" s="569" t="s">
        <v>31</v>
      </c>
      <c r="I2941" s="569" t="s">
        <v>23747</v>
      </c>
      <c r="J2941" s="531">
        <v>133000000</v>
      </c>
    </row>
    <row r="2942" spans="1:10" ht="22.5">
      <c r="A2942" s="22" t="s">
        <v>9991</v>
      </c>
      <c r="B2942" s="26" t="s">
        <v>23914</v>
      </c>
      <c r="C2942" s="569" t="s">
        <v>23915</v>
      </c>
      <c r="D2942" s="569">
        <v>18.86</v>
      </c>
      <c r="E2942" s="569">
        <v>30</v>
      </c>
      <c r="F2942" s="569" t="s">
        <v>23874</v>
      </c>
      <c r="G2942" s="73">
        <v>0</v>
      </c>
      <c r="H2942" s="569" t="s">
        <v>31</v>
      </c>
      <c r="I2942" s="569" t="s">
        <v>23916</v>
      </c>
      <c r="J2942" s="531">
        <v>1100000</v>
      </c>
    </row>
    <row r="2943" spans="1:10" ht="33.75">
      <c r="A2943" s="22" t="s">
        <v>9991</v>
      </c>
      <c r="B2943" s="26" t="s">
        <v>23917</v>
      </c>
      <c r="C2943" s="569" t="s">
        <v>23918</v>
      </c>
      <c r="D2943" s="569">
        <v>5.65</v>
      </c>
      <c r="E2943" s="569">
        <v>40</v>
      </c>
      <c r="F2943" s="569" t="s">
        <v>23902</v>
      </c>
      <c r="G2943" s="73">
        <v>0</v>
      </c>
      <c r="H2943" s="569" t="s">
        <v>31</v>
      </c>
      <c r="I2943" s="569" t="s">
        <v>23919</v>
      </c>
      <c r="J2943" s="531">
        <v>60000000</v>
      </c>
    </row>
    <row r="2944" spans="1:10" ht="33.75">
      <c r="A2944" s="22" t="s">
        <v>59</v>
      </c>
      <c r="B2944" s="26" t="s">
        <v>23920</v>
      </c>
      <c r="C2944" s="569" t="s">
        <v>23921</v>
      </c>
      <c r="D2944" s="569">
        <v>4.1150000000000002</v>
      </c>
      <c r="E2944" s="569">
        <v>4.1150000000000002</v>
      </c>
      <c r="F2944" s="569" t="s">
        <v>23761</v>
      </c>
      <c r="G2944" s="73">
        <v>0</v>
      </c>
      <c r="H2944" s="569" t="s">
        <v>31</v>
      </c>
      <c r="I2944" s="569" t="s">
        <v>23762</v>
      </c>
      <c r="J2944" s="531">
        <v>34285664.555100001</v>
      </c>
    </row>
    <row r="2945" spans="1:10" ht="33.75">
      <c r="A2945" s="22" t="s">
        <v>59</v>
      </c>
      <c r="B2945" s="26" t="s">
        <v>23922</v>
      </c>
      <c r="C2945" s="569" t="s">
        <v>23923</v>
      </c>
      <c r="D2945" s="569">
        <v>5.65</v>
      </c>
      <c r="E2945" s="569">
        <v>5.65</v>
      </c>
      <c r="F2945" s="569" t="s">
        <v>23761</v>
      </c>
      <c r="G2945" s="73">
        <v>0</v>
      </c>
      <c r="H2945" s="569" t="s">
        <v>31</v>
      </c>
      <c r="I2945" s="569" t="s">
        <v>23762</v>
      </c>
      <c r="J2945" s="531">
        <v>47075092.280999996</v>
      </c>
    </row>
    <row r="2946" spans="1:10" ht="15.75">
      <c r="A2946" s="658"/>
      <c r="B2946" s="301"/>
      <c r="C2946" s="301"/>
      <c r="D2946" s="301"/>
      <c r="E2946" s="302"/>
      <c r="F2946" s="303"/>
      <c r="G2946" s="489"/>
      <c r="H2946" s="301"/>
      <c r="I2946" s="303"/>
      <c r="J2946" s="659"/>
    </row>
    <row r="2947" spans="1:10" ht="15.75">
      <c r="A2947" s="1013" t="s">
        <v>6444</v>
      </c>
      <c r="B2947" s="1014"/>
      <c r="C2947" s="1014"/>
      <c r="D2947" s="1014"/>
      <c r="E2947" s="1014"/>
      <c r="F2947" s="1014"/>
      <c r="G2947" s="550">
        <f>SUM(G2926:G2946)</f>
        <v>300695000</v>
      </c>
      <c r="H2947" s="564"/>
      <c r="I2947" s="564"/>
      <c r="J2947" s="626">
        <f>SUM(J2926:J2946)</f>
        <v>2487214133.0201001</v>
      </c>
    </row>
    <row r="2948" spans="1:10" ht="15.75">
      <c r="A2948" s="1013" t="s">
        <v>7883</v>
      </c>
      <c r="B2948" s="1014"/>
      <c r="C2948" s="1014"/>
      <c r="D2948" s="1014"/>
      <c r="E2948" s="1014"/>
      <c r="F2948" s="1014"/>
      <c r="G2948" s="1014"/>
      <c r="H2948" s="1014"/>
      <c r="I2948" s="1014"/>
      <c r="J2948" s="1015"/>
    </row>
    <row r="2949" spans="1:10" ht="101.25">
      <c r="A2949" s="27" t="s">
        <v>7884</v>
      </c>
      <c r="B2949" s="300" t="s">
        <v>137</v>
      </c>
      <c r="C2949" s="569" t="s">
        <v>7885</v>
      </c>
      <c r="D2949" s="569">
        <v>8.1999999999999993</v>
      </c>
      <c r="E2949" s="569">
        <v>4.5999999999999996</v>
      </c>
      <c r="F2949" s="569" t="s">
        <v>7886</v>
      </c>
      <c r="G2949" s="558">
        <v>89664182.400000006</v>
      </c>
      <c r="H2949" s="569">
        <v>1</v>
      </c>
      <c r="I2949" s="569" t="s">
        <v>7887</v>
      </c>
      <c r="J2949" s="662">
        <f t="shared" ref="J2949:J2954" si="24">+G2949</f>
        <v>89664182.400000006</v>
      </c>
    </row>
    <row r="2950" spans="1:10" ht="67.5">
      <c r="A2950" s="27" t="s">
        <v>7888</v>
      </c>
      <c r="B2950" s="300" t="s">
        <v>7889</v>
      </c>
      <c r="C2950" s="569" t="s">
        <v>7890</v>
      </c>
      <c r="D2950" s="569">
        <v>8.1999999999999993</v>
      </c>
      <c r="E2950" s="64">
        <v>5</v>
      </c>
      <c r="F2950" s="569" t="s">
        <v>7891</v>
      </c>
      <c r="G2950" s="558">
        <v>115818960</v>
      </c>
      <c r="H2950" s="569">
        <v>3</v>
      </c>
      <c r="I2950" s="569" t="s">
        <v>7887</v>
      </c>
      <c r="J2950" s="662">
        <f t="shared" si="24"/>
        <v>115818960</v>
      </c>
    </row>
    <row r="2951" spans="1:10" ht="112.5">
      <c r="A2951" s="27" t="s">
        <v>7888</v>
      </c>
      <c r="B2951" s="300" t="s">
        <v>7892</v>
      </c>
      <c r="C2951" s="569" t="s">
        <v>7893</v>
      </c>
      <c r="D2951" s="569">
        <v>7.7</v>
      </c>
      <c r="E2951" s="569">
        <v>4.5999999999999996</v>
      </c>
      <c r="F2951" s="569" t="s">
        <v>7894</v>
      </c>
      <c r="G2951" s="558">
        <v>103394304</v>
      </c>
      <c r="H2951" s="569">
        <v>2</v>
      </c>
      <c r="I2951" s="569" t="s">
        <v>7887</v>
      </c>
      <c r="J2951" s="662">
        <f t="shared" si="24"/>
        <v>103394304</v>
      </c>
    </row>
    <row r="2952" spans="1:10" ht="56.25">
      <c r="A2952" s="27" t="s">
        <v>3830</v>
      </c>
      <c r="B2952" s="300" t="s">
        <v>157</v>
      </c>
      <c r="C2952" s="569" t="s">
        <v>7895</v>
      </c>
      <c r="D2952" s="569">
        <v>4.12</v>
      </c>
      <c r="E2952" s="64">
        <v>5</v>
      </c>
      <c r="F2952" s="569" t="s">
        <v>7896</v>
      </c>
      <c r="G2952" s="558">
        <v>69378213</v>
      </c>
      <c r="H2952" s="569">
        <v>1</v>
      </c>
      <c r="I2952" s="569" t="s">
        <v>7887</v>
      </c>
      <c r="J2952" s="662">
        <f t="shared" si="24"/>
        <v>69378213</v>
      </c>
    </row>
    <row r="2953" spans="1:10" ht="67.5">
      <c r="A2953" s="27" t="s">
        <v>3847</v>
      </c>
      <c r="B2953" s="300" t="s">
        <v>621</v>
      </c>
      <c r="C2953" s="569" t="s">
        <v>7897</v>
      </c>
      <c r="D2953" s="569">
        <v>4.4000000000000004</v>
      </c>
      <c r="E2953" s="569">
        <v>5.3</v>
      </c>
      <c r="F2953" s="569" t="s">
        <v>7891</v>
      </c>
      <c r="G2953" s="558">
        <v>58136371.200000003</v>
      </c>
      <c r="H2953" s="569">
        <v>3</v>
      </c>
      <c r="I2953" s="569" t="s">
        <v>7887</v>
      </c>
      <c r="J2953" s="662">
        <f t="shared" si="24"/>
        <v>58136371.200000003</v>
      </c>
    </row>
    <row r="2954" spans="1:10" ht="67.5">
      <c r="A2954" s="27" t="s">
        <v>7898</v>
      </c>
      <c r="B2954" s="300" t="s">
        <v>7899</v>
      </c>
      <c r="C2954" s="569" t="s">
        <v>7900</v>
      </c>
      <c r="D2954" s="569">
        <v>1.6</v>
      </c>
      <c r="E2954" s="569">
        <v>4.7</v>
      </c>
      <c r="F2954" s="569" t="s">
        <v>7891</v>
      </c>
      <c r="G2954" s="558">
        <v>45757296</v>
      </c>
      <c r="H2954" s="569">
        <v>1</v>
      </c>
      <c r="I2954" s="569" t="s">
        <v>7887</v>
      </c>
      <c r="J2954" s="662">
        <f t="shared" si="24"/>
        <v>45757296</v>
      </c>
    </row>
    <row r="2955" spans="1:10" ht="22.5">
      <c r="A2955" s="22" t="s">
        <v>19388</v>
      </c>
      <c r="B2955" s="26" t="s">
        <v>19388</v>
      </c>
      <c r="C2955" s="569" t="s">
        <v>23773</v>
      </c>
      <c r="D2955" s="569">
        <v>7.94</v>
      </c>
      <c r="E2955" s="569">
        <v>7</v>
      </c>
      <c r="F2955" s="569" t="s">
        <v>23774</v>
      </c>
      <c r="G2955" s="73">
        <v>300000000</v>
      </c>
      <c r="H2955" s="569">
        <v>1</v>
      </c>
      <c r="I2955" s="569" t="s">
        <v>23775</v>
      </c>
      <c r="J2955" s="531">
        <v>800000000</v>
      </c>
    </row>
    <row r="2956" spans="1:10" ht="22.5">
      <c r="A2956" s="22" t="s">
        <v>19388</v>
      </c>
      <c r="B2956" s="26" t="s">
        <v>19388</v>
      </c>
      <c r="C2956" s="569" t="s">
        <v>23776</v>
      </c>
      <c r="D2956" s="569">
        <v>17.88</v>
      </c>
      <c r="E2956" s="569">
        <v>9</v>
      </c>
      <c r="F2956" s="569" t="s">
        <v>23666</v>
      </c>
      <c r="G2956" s="73">
        <v>5000000</v>
      </c>
      <c r="H2956" s="569">
        <v>1</v>
      </c>
      <c r="I2956" s="569" t="s">
        <v>23670</v>
      </c>
      <c r="J2956" s="531">
        <v>5000000</v>
      </c>
    </row>
    <row r="2957" spans="1:10" ht="22.5">
      <c r="A2957" s="22" t="s">
        <v>19388</v>
      </c>
      <c r="B2957" s="26" t="s">
        <v>7884</v>
      </c>
      <c r="C2957" s="569" t="s">
        <v>23777</v>
      </c>
      <c r="D2957" s="569">
        <v>12.925000000000001</v>
      </c>
      <c r="E2957" s="569">
        <v>9</v>
      </c>
      <c r="F2957" s="569" t="s">
        <v>23666</v>
      </c>
      <c r="G2957" s="73">
        <v>5000000</v>
      </c>
      <c r="H2957" s="569">
        <v>1</v>
      </c>
      <c r="I2957" s="569" t="s">
        <v>23670</v>
      </c>
      <c r="J2957" s="531">
        <v>5000000</v>
      </c>
    </row>
    <row r="2958" spans="1:10" ht="22.5">
      <c r="A2958" s="22" t="s">
        <v>23778</v>
      </c>
      <c r="B2958" s="26" t="s">
        <v>23778</v>
      </c>
      <c r="C2958" s="569" t="s">
        <v>23779</v>
      </c>
      <c r="D2958" s="569">
        <v>7.81</v>
      </c>
      <c r="E2958" s="569">
        <v>9</v>
      </c>
      <c r="F2958" s="569" t="s">
        <v>23666</v>
      </c>
      <c r="G2958" s="73">
        <v>5000000</v>
      </c>
      <c r="H2958" s="569">
        <v>1</v>
      </c>
      <c r="I2958" s="569" t="s">
        <v>23670</v>
      </c>
      <c r="J2958" s="531">
        <v>50000000</v>
      </c>
    </row>
    <row r="2959" spans="1:10" ht="67.5">
      <c r="A2959" s="22" t="s">
        <v>19388</v>
      </c>
      <c r="B2959" s="26" t="s">
        <v>4431</v>
      </c>
      <c r="C2959" s="569" t="s">
        <v>23780</v>
      </c>
      <c r="D2959" s="569">
        <v>13.32</v>
      </c>
      <c r="E2959" s="569">
        <v>6.5</v>
      </c>
      <c r="F2959" s="569" t="s">
        <v>23677</v>
      </c>
      <c r="G2959" s="73">
        <v>0</v>
      </c>
      <c r="H2959" s="569">
        <v>1</v>
      </c>
      <c r="I2959" s="569" t="s">
        <v>23781</v>
      </c>
      <c r="J2959" s="531">
        <v>150000000</v>
      </c>
    </row>
    <row r="2960" spans="1:10" ht="22.5">
      <c r="A2960" s="22" t="s">
        <v>3847</v>
      </c>
      <c r="B2960" s="26" t="s">
        <v>3666</v>
      </c>
      <c r="C2960" s="569" t="s">
        <v>23782</v>
      </c>
      <c r="D2960" s="569">
        <v>5.62</v>
      </c>
      <c r="E2960" s="569">
        <v>7</v>
      </c>
      <c r="F2960" s="569" t="s">
        <v>23666</v>
      </c>
      <c r="G2960" s="73">
        <v>2000000</v>
      </c>
      <c r="H2960" s="569">
        <v>1</v>
      </c>
      <c r="I2960" s="569" t="s">
        <v>23670</v>
      </c>
      <c r="J2960" s="531">
        <v>35000000</v>
      </c>
    </row>
    <row r="2961" spans="1:10" ht="22.5">
      <c r="A2961" s="22" t="s">
        <v>19388</v>
      </c>
      <c r="B2961" s="26" t="s">
        <v>19388</v>
      </c>
      <c r="C2961" s="569" t="s">
        <v>23783</v>
      </c>
      <c r="D2961" s="569">
        <v>7.13</v>
      </c>
      <c r="E2961" s="569">
        <v>0</v>
      </c>
      <c r="F2961" s="569" t="s">
        <v>23784</v>
      </c>
      <c r="G2961" s="73">
        <v>300000000</v>
      </c>
      <c r="H2961" s="569">
        <v>1</v>
      </c>
      <c r="I2961" s="569" t="s">
        <v>3321</v>
      </c>
      <c r="J2961" s="531">
        <v>1600000000</v>
      </c>
    </row>
    <row r="2962" spans="1:10" ht="33.75">
      <c r="A2962" s="22" t="s">
        <v>23778</v>
      </c>
      <c r="B2962" s="26" t="s">
        <v>23778</v>
      </c>
      <c r="C2962" s="569" t="s">
        <v>23785</v>
      </c>
      <c r="D2962" s="569">
        <v>7.81</v>
      </c>
      <c r="E2962" s="569">
        <v>6.5</v>
      </c>
      <c r="F2962" s="569" t="s">
        <v>23786</v>
      </c>
      <c r="G2962" s="73">
        <v>100000000</v>
      </c>
      <c r="H2962" s="569">
        <v>1</v>
      </c>
      <c r="I2962" s="569" t="s">
        <v>23787</v>
      </c>
      <c r="J2962" s="531">
        <v>100000000</v>
      </c>
    </row>
    <row r="2963" spans="1:10" ht="56.25">
      <c r="A2963" s="22" t="s">
        <v>3847</v>
      </c>
      <c r="B2963" s="26" t="s">
        <v>1137</v>
      </c>
      <c r="C2963" s="569" t="s">
        <v>23788</v>
      </c>
      <c r="D2963" s="569">
        <v>7.13</v>
      </c>
      <c r="E2963" s="569">
        <v>3</v>
      </c>
      <c r="F2963" s="569" t="s">
        <v>23789</v>
      </c>
      <c r="G2963" s="73">
        <v>250000000</v>
      </c>
      <c r="H2963" s="569" t="s">
        <v>31</v>
      </c>
      <c r="I2963" s="569" t="s">
        <v>23790</v>
      </c>
      <c r="J2963" s="531">
        <v>175000000</v>
      </c>
    </row>
    <row r="2964" spans="1:10" ht="67.5">
      <c r="A2964" s="22" t="s">
        <v>3847</v>
      </c>
      <c r="B2964" s="26" t="s">
        <v>1137</v>
      </c>
      <c r="C2964" s="569" t="s">
        <v>23791</v>
      </c>
      <c r="D2964" s="569">
        <v>7.13</v>
      </c>
      <c r="E2964" s="569">
        <v>7</v>
      </c>
      <c r="F2964" s="569" t="s">
        <v>23792</v>
      </c>
      <c r="G2964" s="73">
        <v>0</v>
      </c>
      <c r="H2964" s="569" t="s">
        <v>31</v>
      </c>
      <c r="I2964" s="569" t="s">
        <v>23793</v>
      </c>
      <c r="J2964" s="531">
        <v>175000000</v>
      </c>
    </row>
    <row r="2965" spans="1:10" ht="15.75">
      <c r="A2965" s="658"/>
      <c r="B2965" s="301"/>
      <c r="C2965" s="301"/>
      <c r="D2965" s="301"/>
      <c r="E2965" s="302"/>
      <c r="F2965" s="303"/>
      <c r="G2965" s="489"/>
      <c r="H2965" s="301"/>
      <c r="I2965" s="303"/>
      <c r="J2965" s="659"/>
    </row>
    <row r="2966" spans="1:10" ht="15.75">
      <c r="A2966" s="1013" t="s">
        <v>6444</v>
      </c>
      <c r="B2966" s="1014"/>
      <c r="C2966" s="1014"/>
      <c r="D2966" s="1014"/>
      <c r="E2966" s="1014"/>
      <c r="F2966" s="1014"/>
      <c r="G2966" s="550">
        <f>SUM(G2949:G2965)</f>
        <v>1449149326.5999999</v>
      </c>
      <c r="H2966" s="564"/>
      <c r="I2966" s="564"/>
      <c r="J2966" s="626">
        <f>SUM(J2949:J2965)</f>
        <v>3577149326.5999999</v>
      </c>
    </row>
    <row r="2967" spans="1:10" ht="15.75">
      <c r="A2967" s="1013" t="s">
        <v>7901</v>
      </c>
      <c r="B2967" s="1014"/>
      <c r="C2967" s="1014"/>
      <c r="D2967" s="1014"/>
      <c r="E2967" s="1014"/>
      <c r="F2967" s="1014"/>
      <c r="G2967" s="1014"/>
      <c r="H2967" s="1014"/>
      <c r="I2967" s="1014"/>
      <c r="J2967" s="1015"/>
    </row>
    <row r="2968" spans="1:10" ht="56.25">
      <c r="A2968" s="22" t="s">
        <v>4738</v>
      </c>
      <c r="B2968" s="26" t="s">
        <v>14934</v>
      </c>
      <c r="C2968" s="569" t="s">
        <v>24100</v>
      </c>
      <c r="D2968" s="569">
        <v>8.8550000000000004</v>
      </c>
      <c r="E2968" s="569">
        <v>0</v>
      </c>
      <c r="F2968" s="569" t="s">
        <v>23887</v>
      </c>
      <c r="G2968" s="73">
        <v>0</v>
      </c>
      <c r="H2968" s="569">
        <v>0</v>
      </c>
      <c r="I2968" s="569" t="s">
        <v>24101</v>
      </c>
      <c r="J2968" s="531">
        <v>0</v>
      </c>
    </row>
    <row r="2969" spans="1:10" ht="56.25">
      <c r="A2969" s="22" t="s">
        <v>4738</v>
      </c>
      <c r="B2969" s="26" t="s">
        <v>1754</v>
      </c>
      <c r="C2969" s="569" t="s">
        <v>24102</v>
      </c>
      <c r="D2969" s="569">
        <v>20.535</v>
      </c>
      <c r="E2969" s="569">
        <v>0</v>
      </c>
      <c r="F2969" s="569" t="s">
        <v>24103</v>
      </c>
      <c r="G2969" s="73">
        <v>0</v>
      </c>
      <c r="H2969" s="569">
        <v>0</v>
      </c>
      <c r="I2969" s="569" t="s">
        <v>24101</v>
      </c>
      <c r="J2969" s="531">
        <v>0</v>
      </c>
    </row>
    <row r="2970" spans="1:10" ht="56.25">
      <c r="A2970" s="22" t="s">
        <v>4738</v>
      </c>
      <c r="B2970" s="26" t="s">
        <v>4164</v>
      </c>
      <c r="C2970" s="569" t="s">
        <v>24104</v>
      </c>
      <c r="D2970" s="569">
        <v>11.164999999999999</v>
      </c>
      <c r="E2970" s="569">
        <v>0</v>
      </c>
      <c r="F2970" s="569" t="s">
        <v>24105</v>
      </c>
      <c r="G2970" s="73">
        <v>0</v>
      </c>
      <c r="H2970" s="569">
        <v>0</v>
      </c>
      <c r="I2970" s="569">
        <v>0</v>
      </c>
      <c r="J2970" s="531">
        <v>0</v>
      </c>
    </row>
    <row r="2971" spans="1:10" ht="56.25">
      <c r="A2971" s="22" t="s">
        <v>4738</v>
      </c>
      <c r="B2971" s="26" t="s">
        <v>4164</v>
      </c>
      <c r="C2971" s="569" t="s">
        <v>24104</v>
      </c>
      <c r="D2971" s="569">
        <v>11.164999999999999</v>
      </c>
      <c r="E2971" s="569">
        <v>0</v>
      </c>
      <c r="F2971" s="569" t="s">
        <v>24106</v>
      </c>
      <c r="G2971" s="73">
        <v>0</v>
      </c>
      <c r="H2971" s="569">
        <v>0</v>
      </c>
      <c r="I2971" s="569" t="s">
        <v>24107</v>
      </c>
      <c r="J2971" s="531">
        <v>115000000</v>
      </c>
    </row>
    <row r="2972" spans="1:10" ht="33.75">
      <c r="A2972" s="22" t="s">
        <v>4738</v>
      </c>
      <c r="B2972" s="26" t="s">
        <v>24108</v>
      </c>
      <c r="C2972" s="569" t="s">
        <v>24109</v>
      </c>
      <c r="D2972" s="569">
        <v>10.455</v>
      </c>
      <c r="E2972" s="569">
        <v>0</v>
      </c>
      <c r="F2972" s="569" t="s">
        <v>24110</v>
      </c>
      <c r="G2972" s="73">
        <v>0</v>
      </c>
      <c r="H2972" s="569">
        <v>0</v>
      </c>
      <c r="I2972" s="569">
        <v>0</v>
      </c>
      <c r="J2972" s="531">
        <v>165000000</v>
      </c>
    </row>
    <row r="2973" spans="1:10" ht="33.75">
      <c r="A2973" s="22" t="s">
        <v>4738</v>
      </c>
      <c r="B2973" s="26" t="s">
        <v>4164</v>
      </c>
      <c r="C2973" s="569" t="s">
        <v>24111</v>
      </c>
      <c r="D2973" s="569">
        <v>11.164999999999999</v>
      </c>
      <c r="E2973" s="569">
        <v>0</v>
      </c>
      <c r="F2973" s="569" t="s">
        <v>24112</v>
      </c>
      <c r="G2973" s="73">
        <v>0</v>
      </c>
      <c r="H2973" s="569">
        <v>0</v>
      </c>
      <c r="I2973" s="569">
        <v>0</v>
      </c>
      <c r="J2973" s="531">
        <v>64000000</v>
      </c>
    </row>
    <row r="2974" spans="1:10" ht="22.5">
      <c r="A2974" s="22" t="s">
        <v>4738</v>
      </c>
      <c r="B2974" s="26" t="s">
        <v>4164</v>
      </c>
      <c r="C2974" s="569" t="s">
        <v>24113</v>
      </c>
      <c r="D2974" s="569">
        <v>11.164999999999999</v>
      </c>
      <c r="E2974" s="569">
        <v>0</v>
      </c>
      <c r="F2974" s="569" t="s">
        <v>24114</v>
      </c>
      <c r="G2974" s="73">
        <v>0</v>
      </c>
      <c r="H2974" s="569">
        <v>0</v>
      </c>
      <c r="I2974" s="569">
        <v>0</v>
      </c>
      <c r="J2974" s="531">
        <v>3000000</v>
      </c>
    </row>
    <row r="2975" spans="1:10" ht="180">
      <c r="A2975" s="22" t="s">
        <v>4738</v>
      </c>
      <c r="B2975" s="26" t="s">
        <v>24115</v>
      </c>
      <c r="C2975" s="569" t="s">
        <v>24116</v>
      </c>
      <c r="D2975" s="569">
        <v>3.14</v>
      </c>
      <c r="E2975" s="569">
        <v>8</v>
      </c>
      <c r="F2975" s="569" t="s">
        <v>24117</v>
      </c>
      <c r="G2975" s="73">
        <v>110000000</v>
      </c>
      <c r="H2975" s="569">
        <v>1</v>
      </c>
      <c r="I2975" s="569" t="s">
        <v>24118</v>
      </c>
      <c r="J2975" s="531">
        <v>135000000</v>
      </c>
    </row>
    <row r="2976" spans="1:10" ht="56.25">
      <c r="A2976" s="22" t="s">
        <v>4738</v>
      </c>
      <c r="B2976" s="26" t="s">
        <v>24119</v>
      </c>
      <c r="C2976" s="569" t="s">
        <v>24120</v>
      </c>
      <c r="D2976" s="569">
        <v>10.685</v>
      </c>
      <c r="E2976" s="569">
        <v>9</v>
      </c>
      <c r="F2976" s="569" t="s">
        <v>24121</v>
      </c>
      <c r="G2976" s="73">
        <v>55000000</v>
      </c>
      <c r="H2976" s="569">
        <v>1</v>
      </c>
      <c r="I2976" s="569" t="s">
        <v>24122</v>
      </c>
      <c r="J2976" s="531">
        <v>30000000</v>
      </c>
    </row>
    <row r="2977" spans="1:10" ht="90">
      <c r="A2977" s="22" t="s">
        <v>4738</v>
      </c>
      <c r="B2977" s="26" t="s">
        <v>24123</v>
      </c>
      <c r="C2977" s="569" t="s">
        <v>24124</v>
      </c>
      <c r="D2977" s="569">
        <v>3.14</v>
      </c>
      <c r="E2977" s="569">
        <v>0</v>
      </c>
      <c r="F2977" s="569" t="s">
        <v>24125</v>
      </c>
      <c r="G2977" s="73">
        <v>600000000</v>
      </c>
      <c r="H2977" s="569">
        <v>1</v>
      </c>
      <c r="I2977" s="569" t="s">
        <v>24126</v>
      </c>
      <c r="J2977" s="531">
        <v>1500000000</v>
      </c>
    </row>
    <row r="2978" spans="1:10" ht="30">
      <c r="A2978" s="634" t="s">
        <v>25141</v>
      </c>
      <c r="B2978" s="375" t="s">
        <v>25142</v>
      </c>
      <c r="C2978" s="375" t="s">
        <v>25143</v>
      </c>
      <c r="D2978" s="375" t="s">
        <v>25144</v>
      </c>
      <c r="E2978" s="375"/>
      <c r="F2978" s="375" t="s">
        <v>25145</v>
      </c>
      <c r="G2978" s="551" t="s">
        <v>25146</v>
      </c>
      <c r="H2978" s="375"/>
      <c r="I2978" s="375" t="s">
        <v>25147</v>
      </c>
      <c r="J2978" s="508"/>
    </row>
    <row r="2979" spans="1:10" ht="45">
      <c r="A2979" s="634" t="s">
        <v>25141</v>
      </c>
      <c r="B2979" s="375" t="s">
        <v>25148</v>
      </c>
      <c r="C2979" s="375" t="s">
        <v>25149</v>
      </c>
      <c r="D2979" s="375"/>
      <c r="E2979" s="375"/>
      <c r="F2979" s="375" t="s">
        <v>25150</v>
      </c>
      <c r="G2979" s="551">
        <v>200000000</v>
      </c>
      <c r="H2979" s="375">
        <v>1</v>
      </c>
      <c r="I2979" s="375" t="s">
        <v>25151</v>
      </c>
      <c r="J2979" s="508"/>
    </row>
    <row r="2980" spans="1:10" ht="75">
      <c r="A2980" s="634" t="s">
        <v>25141</v>
      </c>
      <c r="B2980" s="375" t="s">
        <v>22254</v>
      </c>
      <c r="C2980" s="375" t="s">
        <v>25152</v>
      </c>
      <c r="D2980" s="375" t="s">
        <v>25153</v>
      </c>
      <c r="E2980" s="375"/>
      <c r="F2980" s="375" t="s">
        <v>25154</v>
      </c>
      <c r="G2980" s="551"/>
      <c r="H2980" s="375">
        <v>1</v>
      </c>
      <c r="I2980" s="375" t="s">
        <v>25155</v>
      </c>
      <c r="J2980" s="508"/>
    </row>
    <row r="2981" spans="1:10" ht="45">
      <c r="A2981" s="634" t="s">
        <v>25141</v>
      </c>
      <c r="B2981" s="375" t="s">
        <v>25156</v>
      </c>
      <c r="C2981" s="375" t="s">
        <v>25157</v>
      </c>
      <c r="D2981" s="375" t="s">
        <v>25158</v>
      </c>
      <c r="E2981" s="375"/>
      <c r="F2981" s="375" t="s">
        <v>25159</v>
      </c>
      <c r="G2981" s="551"/>
      <c r="H2981" s="375">
        <v>1</v>
      </c>
      <c r="I2981" s="375" t="s">
        <v>25160</v>
      </c>
      <c r="J2981" s="508"/>
    </row>
    <row r="2982" spans="1:10" ht="15.75">
      <c r="A2982" s="1013" t="s">
        <v>6444</v>
      </c>
      <c r="B2982" s="1014"/>
      <c r="C2982" s="1014"/>
      <c r="D2982" s="1014"/>
      <c r="E2982" s="1014"/>
      <c r="F2982" s="1014"/>
      <c r="G2982" s="550">
        <f>SUM(G2968:G2981)</f>
        <v>965000000</v>
      </c>
      <c r="H2982" s="564"/>
      <c r="I2982" s="564"/>
      <c r="J2982" s="626">
        <f>SUM(J2968:J2981)</f>
        <v>2012000000</v>
      </c>
    </row>
    <row r="2983" spans="1:10" ht="15.75">
      <c r="A2983" s="1013" t="s">
        <v>7902</v>
      </c>
      <c r="B2983" s="1014"/>
      <c r="C2983" s="1014"/>
      <c r="D2983" s="1014"/>
      <c r="E2983" s="1014"/>
      <c r="F2983" s="1014"/>
      <c r="G2983" s="1014"/>
      <c r="H2983" s="1014"/>
      <c r="I2983" s="1014"/>
      <c r="J2983" s="1015"/>
    </row>
    <row r="2984" spans="1:10" ht="78.75">
      <c r="A2984" s="658" t="s">
        <v>3882</v>
      </c>
      <c r="B2984" s="301" t="s">
        <v>7903</v>
      </c>
      <c r="C2984" s="301" t="s">
        <v>7904</v>
      </c>
      <c r="D2984" s="301">
        <v>2.2000000000000002</v>
      </c>
      <c r="E2984" s="302">
        <v>6</v>
      </c>
      <c r="F2984" s="303" t="s">
        <v>7905</v>
      </c>
      <c r="G2984" s="489">
        <v>26466000</v>
      </c>
      <c r="H2984" s="301">
        <v>2</v>
      </c>
      <c r="I2984" s="303" t="s">
        <v>7906</v>
      </c>
      <c r="J2984" s="659">
        <v>26466000</v>
      </c>
    </row>
    <row r="2985" spans="1:10" ht="78.75">
      <c r="A2985" s="658" t="s">
        <v>3882</v>
      </c>
      <c r="B2985" s="301" t="s">
        <v>7907</v>
      </c>
      <c r="C2985" s="301" t="s">
        <v>7908</v>
      </c>
      <c r="D2985" s="301">
        <v>7.7</v>
      </c>
      <c r="E2985" s="302">
        <v>6</v>
      </c>
      <c r="F2985" s="303" t="s">
        <v>7905</v>
      </c>
      <c r="G2985" s="489">
        <v>92631000</v>
      </c>
      <c r="H2985" s="301">
        <v>1</v>
      </c>
      <c r="I2985" s="303" t="s">
        <v>7906</v>
      </c>
      <c r="J2985" s="659">
        <v>92631000</v>
      </c>
    </row>
    <row r="2986" spans="1:10" ht="78.75">
      <c r="A2986" s="658" t="s">
        <v>3882</v>
      </c>
      <c r="B2986" s="301" t="s">
        <v>1658</v>
      </c>
      <c r="C2986" s="301" t="s">
        <v>7909</v>
      </c>
      <c r="D2986" s="301">
        <v>6.2</v>
      </c>
      <c r="E2986" s="302">
        <v>6</v>
      </c>
      <c r="F2986" s="303" t="s">
        <v>7905</v>
      </c>
      <c r="G2986" s="489">
        <v>74586000</v>
      </c>
      <c r="H2986" s="301">
        <v>1</v>
      </c>
      <c r="I2986" s="303" t="s">
        <v>7906</v>
      </c>
      <c r="J2986" s="659">
        <v>74586000</v>
      </c>
    </row>
    <row r="2987" spans="1:10" ht="78.75">
      <c r="A2987" s="658" t="s">
        <v>3882</v>
      </c>
      <c r="B2987" s="301" t="s">
        <v>7910</v>
      </c>
      <c r="C2987" s="301" t="s">
        <v>7911</v>
      </c>
      <c r="D2987" s="301">
        <v>20.6</v>
      </c>
      <c r="E2987" s="302">
        <v>6</v>
      </c>
      <c r="F2987" s="303" t="s">
        <v>7905</v>
      </c>
      <c r="G2987" s="489">
        <v>247818000</v>
      </c>
      <c r="H2987" s="301">
        <v>1</v>
      </c>
      <c r="I2987" s="303" t="s">
        <v>7906</v>
      </c>
      <c r="J2987" s="659">
        <v>247818000</v>
      </c>
    </row>
    <row r="2988" spans="1:10" ht="78.75">
      <c r="A2988" s="658" t="s">
        <v>7912</v>
      </c>
      <c r="B2988" s="301" t="s">
        <v>3666</v>
      </c>
      <c r="C2988" s="301" t="s">
        <v>7913</v>
      </c>
      <c r="D2988" s="301">
        <v>7.8</v>
      </c>
      <c r="E2988" s="302">
        <v>6</v>
      </c>
      <c r="F2988" s="303" t="s">
        <v>7905</v>
      </c>
      <c r="G2988" s="489">
        <v>93834000</v>
      </c>
      <c r="H2988" s="301">
        <v>2</v>
      </c>
      <c r="I2988" s="303" t="s">
        <v>7906</v>
      </c>
      <c r="J2988" s="659">
        <v>93834000</v>
      </c>
    </row>
    <row r="2989" spans="1:10" ht="78.75">
      <c r="A2989" s="658" t="s">
        <v>3882</v>
      </c>
      <c r="B2989" s="301" t="s">
        <v>7914</v>
      </c>
      <c r="C2989" s="301" t="s">
        <v>7915</v>
      </c>
      <c r="D2989" s="301">
        <v>7.9</v>
      </c>
      <c r="E2989" s="302">
        <v>6</v>
      </c>
      <c r="F2989" s="303" t="s">
        <v>7905</v>
      </c>
      <c r="G2989" s="489">
        <v>95037000</v>
      </c>
      <c r="H2989" s="301">
        <v>2</v>
      </c>
      <c r="I2989" s="303" t="s">
        <v>7906</v>
      </c>
      <c r="J2989" s="659">
        <v>95037000</v>
      </c>
    </row>
    <row r="2990" spans="1:10" ht="78.75">
      <c r="A2990" s="658" t="s">
        <v>7916</v>
      </c>
      <c r="B2990" s="301" t="s">
        <v>7917</v>
      </c>
      <c r="C2990" s="301" t="s">
        <v>7918</v>
      </c>
      <c r="D2990" s="301">
        <v>2.2999999999999998</v>
      </c>
      <c r="E2990" s="302">
        <v>6</v>
      </c>
      <c r="F2990" s="303" t="s">
        <v>7905</v>
      </c>
      <c r="G2990" s="489">
        <v>27668999.999999996</v>
      </c>
      <c r="H2990" s="301">
        <v>2</v>
      </c>
      <c r="I2990" s="303" t="s">
        <v>7906</v>
      </c>
      <c r="J2990" s="659">
        <v>27668999.999999996</v>
      </c>
    </row>
    <row r="2991" spans="1:10" ht="78.75">
      <c r="A2991" s="658" t="s">
        <v>7916</v>
      </c>
      <c r="B2991" s="301" t="s">
        <v>5422</v>
      </c>
      <c r="C2991" s="301" t="s">
        <v>7919</v>
      </c>
      <c r="D2991" s="301">
        <v>5.95</v>
      </c>
      <c r="E2991" s="302">
        <v>6</v>
      </c>
      <c r="F2991" s="303" t="s">
        <v>7905</v>
      </c>
      <c r="G2991" s="489">
        <v>71578500</v>
      </c>
      <c r="H2991" s="301">
        <v>2</v>
      </c>
      <c r="I2991" s="303" t="s">
        <v>7906</v>
      </c>
      <c r="J2991" s="659">
        <v>71578500</v>
      </c>
    </row>
    <row r="2992" spans="1:10" ht="78.75">
      <c r="A2992" s="658" t="s">
        <v>7916</v>
      </c>
      <c r="B2992" s="301" t="s">
        <v>7920</v>
      </c>
      <c r="C2992" s="301" t="s">
        <v>7921</v>
      </c>
      <c r="D2992" s="301">
        <v>3.5</v>
      </c>
      <c r="E2992" s="302">
        <v>6</v>
      </c>
      <c r="F2992" s="303" t="s">
        <v>7905</v>
      </c>
      <c r="G2992" s="489">
        <v>42105000</v>
      </c>
      <c r="H2992" s="301">
        <v>2</v>
      </c>
      <c r="I2992" s="303" t="s">
        <v>7906</v>
      </c>
      <c r="J2992" s="659">
        <v>42105000</v>
      </c>
    </row>
    <row r="2993" spans="1:10" ht="78.75">
      <c r="A2993" s="658" t="s">
        <v>7916</v>
      </c>
      <c r="B2993" s="301" t="s">
        <v>7922</v>
      </c>
      <c r="C2993" s="301" t="s">
        <v>7923</v>
      </c>
      <c r="D2993" s="301">
        <v>7.2</v>
      </c>
      <c r="E2993" s="302">
        <v>6</v>
      </c>
      <c r="F2993" s="303" t="s">
        <v>7905</v>
      </c>
      <c r="G2993" s="489">
        <v>86616000</v>
      </c>
      <c r="H2993" s="301">
        <v>2</v>
      </c>
      <c r="I2993" s="303" t="s">
        <v>7906</v>
      </c>
      <c r="J2993" s="659">
        <v>86616000</v>
      </c>
    </row>
    <row r="2994" spans="1:10" ht="78.75">
      <c r="A2994" s="658" t="s">
        <v>7916</v>
      </c>
      <c r="B2994" s="301" t="s">
        <v>4625</v>
      </c>
      <c r="C2994" s="301" t="s">
        <v>7924</v>
      </c>
      <c r="D2994" s="301">
        <v>4.2</v>
      </c>
      <c r="E2994" s="302">
        <v>6</v>
      </c>
      <c r="F2994" s="303" t="s">
        <v>7905</v>
      </c>
      <c r="G2994" s="489">
        <v>50526000</v>
      </c>
      <c r="H2994" s="301">
        <v>2</v>
      </c>
      <c r="I2994" s="303" t="s">
        <v>7906</v>
      </c>
      <c r="J2994" s="659">
        <v>50526000</v>
      </c>
    </row>
    <row r="2995" spans="1:10" ht="78.75">
      <c r="A2995" s="658" t="s">
        <v>7916</v>
      </c>
      <c r="B2995" s="301" t="s">
        <v>7558</v>
      </c>
      <c r="C2995" s="301" t="s">
        <v>7925</v>
      </c>
      <c r="D2995" s="301">
        <v>5.5</v>
      </c>
      <c r="E2995" s="302">
        <v>6</v>
      </c>
      <c r="F2995" s="303" t="s">
        <v>7905</v>
      </c>
      <c r="G2995" s="489">
        <v>66165000</v>
      </c>
      <c r="H2995" s="301">
        <v>2</v>
      </c>
      <c r="I2995" s="303" t="s">
        <v>7906</v>
      </c>
      <c r="J2995" s="659">
        <v>66165000</v>
      </c>
    </row>
    <row r="2996" spans="1:10" ht="78.75">
      <c r="A2996" s="658" t="s">
        <v>7926</v>
      </c>
      <c r="B2996" s="301" t="s">
        <v>7927</v>
      </c>
      <c r="C2996" s="301" t="s">
        <v>7928</v>
      </c>
      <c r="D2996" s="301">
        <v>3.7</v>
      </c>
      <c r="E2996" s="302">
        <v>6</v>
      </c>
      <c r="F2996" s="303" t="s">
        <v>7905</v>
      </c>
      <c r="G2996" s="489">
        <v>44511000</v>
      </c>
      <c r="H2996" s="301">
        <v>2</v>
      </c>
      <c r="I2996" s="303" t="s">
        <v>7906</v>
      </c>
      <c r="J2996" s="659">
        <v>44511000</v>
      </c>
    </row>
    <row r="2997" spans="1:10" ht="78.75">
      <c r="A2997" s="658" t="s">
        <v>3882</v>
      </c>
      <c r="B2997" s="301" t="s">
        <v>3883</v>
      </c>
      <c r="C2997" s="301" t="s">
        <v>7929</v>
      </c>
      <c r="D2997" s="301">
        <v>4.5999999999999996</v>
      </c>
      <c r="E2997" s="302">
        <v>6</v>
      </c>
      <c r="F2997" s="303" t="s">
        <v>7905</v>
      </c>
      <c r="G2997" s="489">
        <v>55337999.999999993</v>
      </c>
      <c r="H2997" s="301">
        <v>2</v>
      </c>
      <c r="I2997" s="303" t="s">
        <v>7906</v>
      </c>
      <c r="J2997" s="659">
        <v>55337999.999999993</v>
      </c>
    </row>
    <row r="2998" spans="1:10" ht="78.75">
      <c r="A2998" s="658" t="s">
        <v>7926</v>
      </c>
      <c r="B2998" s="301" t="s">
        <v>7930</v>
      </c>
      <c r="C2998" s="301" t="s">
        <v>7931</v>
      </c>
      <c r="D2998" s="301">
        <v>1.5</v>
      </c>
      <c r="E2998" s="302">
        <v>6</v>
      </c>
      <c r="F2998" s="303" t="s">
        <v>7905</v>
      </c>
      <c r="G2998" s="489">
        <v>55337999.999999993</v>
      </c>
      <c r="H2998" s="301">
        <v>2</v>
      </c>
      <c r="I2998" s="303" t="s">
        <v>7906</v>
      </c>
      <c r="J2998" s="659">
        <v>55337999.999999993</v>
      </c>
    </row>
    <row r="2999" spans="1:10" ht="78.75">
      <c r="A2999" s="658" t="s">
        <v>7932</v>
      </c>
      <c r="B2999" s="301" t="s">
        <v>7933</v>
      </c>
      <c r="C2999" s="301" t="s">
        <v>7934</v>
      </c>
      <c r="D2999" s="301">
        <v>2.2000000000000002</v>
      </c>
      <c r="E2999" s="302">
        <v>6</v>
      </c>
      <c r="F2999" s="303" t="s">
        <v>7905</v>
      </c>
      <c r="G2999" s="489">
        <v>55338000</v>
      </c>
      <c r="H2999" s="301">
        <v>1</v>
      </c>
      <c r="I2999" s="303" t="s">
        <v>7906</v>
      </c>
      <c r="J2999" s="659">
        <v>55338000</v>
      </c>
    </row>
    <row r="3000" spans="1:10" ht="78.75">
      <c r="A3000" s="658" t="s">
        <v>7932</v>
      </c>
      <c r="B3000" s="301" t="s">
        <v>7935</v>
      </c>
      <c r="C3000" s="301" t="s">
        <v>7936</v>
      </c>
      <c r="D3000" s="301">
        <v>5</v>
      </c>
      <c r="E3000" s="302">
        <v>6</v>
      </c>
      <c r="F3000" s="303" t="s">
        <v>7905</v>
      </c>
      <c r="G3000" s="489">
        <v>18045000</v>
      </c>
      <c r="H3000" s="301">
        <v>2</v>
      </c>
      <c r="I3000" s="303" t="s">
        <v>7906</v>
      </c>
      <c r="J3000" s="659">
        <v>18045000</v>
      </c>
    </row>
    <row r="3001" spans="1:10" ht="78.75">
      <c r="A3001" s="658" t="s">
        <v>7932</v>
      </c>
      <c r="B3001" s="301" t="s">
        <v>7937</v>
      </c>
      <c r="C3001" s="301" t="s">
        <v>7938</v>
      </c>
      <c r="D3001" s="301">
        <v>2.2000000000000002</v>
      </c>
      <c r="E3001" s="302">
        <v>6</v>
      </c>
      <c r="F3001" s="303" t="s">
        <v>7905</v>
      </c>
      <c r="G3001" s="489">
        <v>26466000</v>
      </c>
      <c r="H3001" s="301">
        <v>2</v>
      </c>
      <c r="I3001" s="303" t="s">
        <v>7906</v>
      </c>
      <c r="J3001" s="659">
        <v>26466000</v>
      </c>
    </row>
    <row r="3002" spans="1:10" ht="78.75">
      <c r="A3002" s="658" t="s">
        <v>7932</v>
      </c>
      <c r="B3002" s="301" t="s">
        <v>1688</v>
      </c>
      <c r="C3002" s="301" t="s">
        <v>7939</v>
      </c>
      <c r="D3002" s="301">
        <v>1.6</v>
      </c>
      <c r="E3002" s="302">
        <v>6</v>
      </c>
      <c r="F3002" s="303" t="s">
        <v>7905</v>
      </c>
      <c r="G3002" s="489">
        <v>19248000</v>
      </c>
      <c r="H3002" s="301">
        <v>2</v>
      </c>
      <c r="I3002" s="303" t="s">
        <v>7906</v>
      </c>
      <c r="J3002" s="659">
        <v>19248000</v>
      </c>
    </row>
    <row r="3003" spans="1:10" ht="78.75">
      <c r="A3003" s="658" t="s">
        <v>7916</v>
      </c>
      <c r="B3003" s="301" t="s">
        <v>6264</v>
      </c>
      <c r="C3003" s="301" t="s">
        <v>7940</v>
      </c>
      <c r="D3003" s="301">
        <v>10.9</v>
      </c>
      <c r="E3003" s="302">
        <v>6</v>
      </c>
      <c r="F3003" s="303" t="s">
        <v>7905</v>
      </c>
      <c r="G3003" s="489">
        <v>131127000</v>
      </c>
      <c r="H3003" s="301">
        <v>1</v>
      </c>
      <c r="I3003" s="303" t="s">
        <v>7906</v>
      </c>
      <c r="J3003" s="659">
        <v>131127000</v>
      </c>
    </row>
    <row r="3004" spans="1:10" ht="78.75">
      <c r="A3004" s="658" t="s">
        <v>7941</v>
      </c>
      <c r="B3004" s="301" t="s">
        <v>7942</v>
      </c>
      <c r="C3004" s="301" t="s">
        <v>7943</v>
      </c>
      <c r="D3004" s="301">
        <v>7.8</v>
      </c>
      <c r="E3004" s="302">
        <v>6</v>
      </c>
      <c r="F3004" s="303" t="s">
        <v>7905</v>
      </c>
      <c r="G3004" s="489">
        <v>93834000</v>
      </c>
      <c r="H3004" s="301">
        <v>2</v>
      </c>
      <c r="I3004" s="303" t="s">
        <v>7906</v>
      </c>
      <c r="J3004" s="659">
        <v>93834000</v>
      </c>
    </row>
    <row r="3005" spans="1:10" ht="78.75">
      <c r="A3005" s="658" t="s">
        <v>7932</v>
      </c>
      <c r="B3005" s="301" t="s">
        <v>7944</v>
      </c>
      <c r="C3005" s="301" t="s">
        <v>7945</v>
      </c>
      <c r="D3005" s="301">
        <v>8.6999999999999993</v>
      </c>
      <c r="E3005" s="302">
        <v>6</v>
      </c>
      <c r="F3005" s="303" t="s">
        <v>7905</v>
      </c>
      <c r="G3005" s="489">
        <v>104661000</v>
      </c>
      <c r="H3005" s="301">
        <v>2</v>
      </c>
      <c r="I3005" s="303" t="s">
        <v>7906</v>
      </c>
      <c r="J3005" s="659">
        <v>104661000</v>
      </c>
    </row>
    <row r="3006" spans="1:10" ht="78.75">
      <c r="A3006" s="658" t="s">
        <v>7916</v>
      </c>
      <c r="B3006" s="301" t="s">
        <v>7558</v>
      </c>
      <c r="C3006" s="301" t="s">
        <v>7946</v>
      </c>
      <c r="D3006" s="301">
        <v>2.2000000000000002</v>
      </c>
      <c r="E3006" s="302">
        <v>5.5</v>
      </c>
      <c r="F3006" s="303" t="s">
        <v>7905</v>
      </c>
      <c r="G3006" s="489">
        <v>25366000</v>
      </c>
      <c r="H3006" s="301">
        <v>2</v>
      </c>
      <c r="I3006" s="303" t="s">
        <v>7906</v>
      </c>
      <c r="J3006" s="659">
        <v>25366000</v>
      </c>
    </row>
    <row r="3007" spans="1:10" ht="78.75">
      <c r="A3007" s="658" t="s">
        <v>7916</v>
      </c>
      <c r="B3007" s="301" t="s">
        <v>4161</v>
      </c>
      <c r="C3007" s="301" t="s">
        <v>7947</v>
      </c>
      <c r="D3007" s="301">
        <v>1.8</v>
      </c>
      <c r="E3007" s="302">
        <v>5.5</v>
      </c>
      <c r="F3007" s="303" t="s">
        <v>7905</v>
      </c>
      <c r="G3007" s="489">
        <v>20754000</v>
      </c>
      <c r="H3007" s="301">
        <v>2</v>
      </c>
      <c r="I3007" s="303" t="s">
        <v>7906</v>
      </c>
      <c r="J3007" s="659">
        <v>20754000</v>
      </c>
    </row>
    <row r="3008" spans="1:10" ht="78.75">
      <c r="A3008" s="658" t="s">
        <v>7932</v>
      </c>
      <c r="B3008" s="301" t="s">
        <v>1864</v>
      </c>
      <c r="C3008" s="301" t="s">
        <v>7948</v>
      </c>
      <c r="D3008" s="301">
        <v>5.4</v>
      </c>
      <c r="E3008" s="302">
        <v>6</v>
      </c>
      <c r="F3008" s="303" t="s">
        <v>7905</v>
      </c>
      <c r="G3008" s="489">
        <v>64962000</v>
      </c>
      <c r="H3008" s="301">
        <v>2</v>
      </c>
      <c r="I3008" s="303" t="s">
        <v>7906</v>
      </c>
      <c r="J3008" s="659">
        <v>64962000</v>
      </c>
    </row>
    <row r="3009" spans="1:10" ht="78.75">
      <c r="A3009" s="658" t="s">
        <v>3882</v>
      </c>
      <c r="B3009" s="301" t="s">
        <v>7949</v>
      </c>
      <c r="C3009" s="301" t="s">
        <v>7950</v>
      </c>
      <c r="D3009" s="301">
        <v>4.0999999999999996</v>
      </c>
      <c r="E3009" s="302">
        <v>6</v>
      </c>
      <c r="F3009" s="303" t="s">
        <v>7905</v>
      </c>
      <c r="G3009" s="489">
        <v>49323000</v>
      </c>
      <c r="H3009" s="301">
        <v>2</v>
      </c>
      <c r="I3009" s="303" t="s">
        <v>7906</v>
      </c>
      <c r="J3009" s="659">
        <v>49323000</v>
      </c>
    </row>
    <row r="3010" spans="1:10" ht="78.75">
      <c r="A3010" s="658" t="s">
        <v>3882</v>
      </c>
      <c r="B3010" s="301" t="s">
        <v>7951</v>
      </c>
      <c r="C3010" s="301" t="s">
        <v>7952</v>
      </c>
      <c r="D3010" s="301">
        <v>4.3</v>
      </c>
      <c r="E3010" s="302">
        <v>6</v>
      </c>
      <c r="F3010" s="303" t="s">
        <v>7905</v>
      </c>
      <c r="G3010" s="489">
        <v>51729000</v>
      </c>
      <c r="H3010" s="301">
        <v>2</v>
      </c>
      <c r="I3010" s="303" t="s">
        <v>7906</v>
      </c>
      <c r="J3010" s="659">
        <v>51729000</v>
      </c>
    </row>
    <row r="3011" spans="1:10" ht="78.75">
      <c r="A3011" s="658" t="s">
        <v>7932</v>
      </c>
      <c r="B3011" s="301" t="s">
        <v>7953</v>
      </c>
      <c r="C3011" s="301" t="s">
        <v>7954</v>
      </c>
      <c r="D3011" s="301">
        <v>2.5</v>
      </c>
      <c r="E3011" s="302">
        <v>6</v>
      </c>
      <c r="F3011" s="303" t="s">
        <v>7905</v>
      </c>
      <c r="G3011" s="489">
        <v>30075000</v>
      </c>
      <c r="H3011" s="301">
        <v>1</v>
      </c>
      <c r="I3011" s="303" t="s">
        <v>7906</v>
      </c>
      <c r="J3011" s="659">
        <v>30075000</v>
      </c>
    </row>
    <row r="3012" spans="1:10" ht="78.75">
      <c r="A3012" s="658" t="s">
        <v>7932</v>
      </c>
      <c r="B3012" s="301" t="s">
        <v>7955</v>
      </c>
      <c r="C3012" s="301" t="s">
        <v>7956</v>
      </c>
      <c r="D3012" s="301">
        <v>1.5</v>
      </c>
      <c r="E3012" s="302">
        <v>6</v>
      </c>
      <c r="F3012" s="303" t="s">
        <v>7905</v>
      </c>
      <c r="G3012" s="489">
        <v>18045000</v>
      </c>
      <c r="H3012" s="301">
        <v>2</v>
      </c>
      <c r="I3012" s="303" t="s">
        <v>7906</v>
      </c>
      <c r="J3012" s="659">
        <v>18045000</v>
      </c>
    </row>
    <row r="3013" spans="1:10" ht="78.75">
      <c r="A3013" s="658" t="s">
        <v>3882</v>
      </c>
      <c r="B3013" s="301" t="s">
        <v>606</v>
      </c>
      <c r="C3013" s="301" t="s">
        <v>7957</v>
      </c>
      <c r="D3013" s="301">
        <v>2.8</v>
      </c>
      <c r="E3013" s="302">
        <v>6</v>
      </c>
      <c r="F3013" s="303" t="s">
        <v>7905</v>
      </c>
      <c r="G3013" s="489">
        <v>33684000</v>
      </c>
      <c r="H3013" s="301">
        <v>2</v>
      </c>
      <c r="I3013" s="303" t="s">
        <v>7906</v>
      </c>
      <c r="J3013" s="659">
        <v>33684000</v>
      </c>
    </row>
    <row r="3014" spans="1:10" ht="78.75">
      <c r="A3014" s="658" t="s">
        <v>3882</v>
      </c>
      <c r="B3014" s="301" t="s">
        <v>7958</v>
      </c>
      <c r="C3014" s="301" t="s">
        <v>7959</v>
      </c>
      <c r="D3014" s="301">
        <v>2.5</v>
      </c>
      <c r="E3014" s="302">
        <v>6</v>
      </c>
      <c r="F3014" s="303" t="s">
        <v>7905</v>
      </c>
      <c r="G3014" s="489">
        <v>30075000</v>
      </c>
      <c r="H3014" s="301">
        <v>2</v>
      </c>
      <c r="I3014" s="303" t="s">
        <v>7906</v>
      </c>
      <c r="J3014" s="659">
        <v>30075000</v>
      </c>
    </row>
    <row r="3015" spans="1:10" ht="78.75">
      <c r="A3015" s="658" t="s">
        <v>3882</v>
      </c>
      <c r="B3015" s="301" t="s">
        <v>7960</v>
      </c>
      <c r="C3015" s="301" t="s">
        <v>7961</v>
      </c>
      <c r="D3015" s="301">
        <v>1</v>
      </c>
      <c r="E3015" s="302">
        <v>6</v>
      </c>
      <c r="F3015" s="303" t="s">
        <v>7905</v>
      </c>
      <c r="G3015" s="489">
        <v>12030000</v>
      </c>
      <c r="H3015" s="301">
        <v>2</v>
      </c>
      <c r="I3015" s="303" t="s">
        <v>7906</v>
      </c>
      <c r="J3015" s="659">
        <v>12030000</v>
      </c>
    </row>
    <row r="3016" spans="1:10" ht="78.75">
      <c r="A3016" s="658" t="s">
        <v>3882</v>
      </c>
      <c r="B3016" s="301" t="s">
        <v>7962</v>
      </c>
      <c r="C3016" s="301" t="s">
        <v>7963</v>
      </c>
      <c r="D3016" s="301">
        <v>6.6</v>
      </c>
      <c r="E3016" s="302">
        <v>6</v>
      </c>
      <c r="F3016" s="303" t="s">
        <v>7905</v>
      </c>
      <c r="G3016" s="489">
        <v>79398000</v>
      </c>
      <c r="H3016" s="301">
        <v>1</v>
      </c>
      <c r="I3016" s="303" t="s">
        <v>7906</v>
      </c>
      <c r="J3016" s="659">
        <v>79398000</v>
      </c>
    </row>
    <row r="3017" spans="1:10" ht="78.75">
      <c r="A3017" s="658" t="s">
        <v>3882</v>
      </c>
      <c r="B3017" s="301" t="s">
        <v>7964</v>
      </c>
      <c r="C3017" s="301" t="s">
        <v>7965</v>
      </c>
      <c r="D3017" s="301">
        <v>2.2000000000000002</v>
      </c>
      <c r="E3017" s="302">
        <v>6</v>
      </c>
      <c r="F3017" s="303" t="s">
        <v>7905</v>
      </c>
      <c r="G3017" s="489">
        <v>26466000</v>
      </c>
      <c r="H3017" s="301">
        <v>2</v>
      </c>
      <c r="I3017" s="303" t="s">
        <v>7906</v>
      </c>
      <c r="J3017" s="659">
        <v>26466000</v>
      </c>
    </row>
    <row r="3018" spans="1:10" ht="78.75">
      <c r="A3018" s="658" t="s">
        <v>3882</v>
      </c>
      <c r="B3018" s="301" t="s">
        <v>5242</v>
      </c>
      <c r="C3018" s="301" t="s">
        <v>7966</v>
      </c>
      <c r="D3018" s="301">
        <v>4.4000000000000004</v>
      </c>
      <c r="E3018" s="302">
        <v>6</v>
      </c>
      <c r="F3018" s="303" t="s">
        <v>7905</v>
      </c>
      <c r="G3018" s="489">
        <v>52932000</v>
      </c>
      <c r="H3018" s="301">
        <v>2</v>
      </c>
      <c r="I3018" s="303" t="s">
        <v>7906</v>
      </c>
      <c r="J3018" s="659">
        <v>52932000</v>
      </c>
    </row>
    <row r="3019" spans="1:10" ht="78.75">
      <c r="A3019" s="658" t="s">
        <v>7932</v>
      </c>
      <c r="B3019" s="301" t="s">
        <v>5839</v>
      </c>
      <c r="C3019" s="301" t="s">
        <v>7967</v>
      </c>
      <c r="D3019" s="301">
        <v>2</v>
      </c>
      <c r="E3019" s="302">
        <v>6</v>
      </c>
      <c r="F3019" s="303" t="s">
        <v>7905</v>
      </c>
      <c r="G3019" s="489">
        <v>24060000</v>
      </c>
      <c r="H3019" s="301">
        <v>2</v>
      </c>
      <c r="I3019" s="303" t="s">
        <v>7906</v>
      </c>
      <c r="J3019" s="659">
        <v>24060000</v>
      </c>
    </row>
    <row r="3020" spans="1:10" ht="78.75">
      <c r="A3020" s="658" t="s">
        <v>7932</v>
      </c>
      <c r="B3020" s="301" t="s">
        <v>19</v>
      </c>
      <c r="C3020" s="301" t="s">
        <v>7968</v>
      </c>
      <c r="D3020" s="301">
        <v>5.9</v>
      </c>
      <c r="E3020" s="302">
        <v>6</v>
      </c>
      <c r="F3020" s="303" t="s">
        <v>7905</v>
      </c>
      <c r="G3020" s="489">
        <v>70977000</v>
      </c>
      <c r="H3020" s="301">
        <v>2</v>
      </c>
      <c r="I3020" s="303" t="s">
        <v>7906</v>
      </c>
      <c r="J3020" s="659">
        <v>70977000</v>
      </c>
    </row>
    <row r="3021" spans="1:10" ht="78.75">
      <c r="A3021" s="658" t="s">
        <v>7932</v>
      </c>
      <c r="B3021" s="301" t="s">
        <v>2885</v>
      </c>
      <c r="C3021" s="301" t="s">
        <v>7969</v>
      </c>
      <c r="D3021" s="301">
        <v>2.7</v>
      </c>
      <c r="E3021" s="302">
        <v>6</v>
      </c>
      <c r="F3021" s="303" t="s">
        <v>7905</v>
      </c>
      <c r="G3021" s="489">
        <v>32481000</v>
      </c>
      <c r="H3021" s="301">
        <v>1</v>
      </c>
      <c r="I3021" s="303" t="s">
        <v>7906</v>
      </c>
      <c r="J3021" s="659">
        <v>32481000</v>
      </c>
    </row>
    <row r="3022" spans="1:10" ht="78.75">
      <c r="A3022" s="658" t="s">
        <v>7932</v>
      </c>
      <c r="B3022" s="301" t="s">
        <v>7970</v>
      </c>
      <c r="C3022" s="301" t="s">
        <v>7971</v>
      </c>
      <c r="D3022" s="301">
        <v>1.8</v>
      </c>
      <c r="E3022" s="302">
        <v>6</v>
      </c>
      <c r="F3022" s="303" t="s">
        <v>7905</v>
      </c>
      <c r="G3022" s="489">
        <v>21654000</v>
      </c>
      <c r="H3022" s="301">
        <v>2</v>
      </c>
      <c r="I3022" s="303" t="s">
        <v>7906</v>
      </c>
      <c r="J3022" s="659">
        <v>21654000</v>
      </c>
    </row>
    <row r="3023" spans="1:10" ht="78.75">
      <c r="A3023" s="658" t="s">
        <v>7932</v>
      </c>
      <c r="B3023" s="301" t="s">
        <v>1688</v>
      </c>
      <c r="C3023" s="301" t="s">
        <v>7972</v>
      </c>
      <c r="D3023" s="301">
        <v>4.3</v>
      </c>
      <c r="E3023" s="302">
        <v>6</v>
      </c>
      <c r="F3023" s="303" t="s">
        <v>7905</v>
      </c>
      <c r="G3023" s="489">
        <v>51729000</v>
      </c>
      <c r="H3023" s="301">
        <v>2</v>
      </c>
      <c r="I3023" s="303" t="s">
        <v>7906</v>
      </c>
      <c r="J3023" s="659">
        <v>51729000</v>
      </c>
    </row>
    <row r="3024" spans="1:10" ht="78.75">
      <c r="A3024" s="658" t="s">
        <v>7932</v>
      </c>
      <c r="B3024" s="301" t="s">
        <v>7973</v>
      </c>
      <c r="C3024" s="301" t="s">
        <v>7974</v>
      </c>
      <c r="D3024" s="301">
        <v>1.1000000000000001</v>
      </c>
      <c r="E3024" s="302">
        <v>6</v>
      </c>
      <c r="F3024" s="303" t="s">
        <v>7905</v>
      </c>
      <c r="G3024" s="489">
        <v>13233000</v>
      </c>
      <c r="H3024" s="301">
        <v>2</v>
      </c>
      <c r="I3024" s="303" t="s">
        <v>7906</v>
      </c>
      <c r="J3024" s="659">
        <v>13233000</v>
      </c>
    </row>
    <row r="3025" spans="1:10" ht="78.75">
      <c r="A3025" s="658" t="s">
        <v>7932</v>
      </c>
      <c r="B3025" s="301" t="s">
        <v>7975</v>
      </c>
      <c r="C3025" s="301" t="s">
        <v>7976</v>
      </c>
      <c r="D3025" s="301">
        <v>1.5</v>
      </c>
      <c r="E3025" s="302">
        <v>6</v>
      </c>
      <c r="F3025" s="303" t="s">
        <v>7905</v>
      </c>
      <c r="G3025" s="489">
        <v>18045000</v>
      </c>
      <c r="H3025" s="301">
        <v>2</v>
      </c>
      <c r="I3025" s="303" t="s">
        <v>7906</v>
      </c>
      <c r="J3025" s="659">
        <v>18045000</v>
      </c>
    </row>
    <row r="3026" spans="1:10" ht="78.75">
      <c r="A3026" s="658" t="s">
        <v>7932</v>
      </c>
      <c r="B3026" s="301" t="s">
        <v>7977</v>
      </c>
      <c r="C3026" s="301" t="s">
        <v>7978</v>
      </c>
      <c r="D3026" s="301">
        <v>2.2000000000000002</v>
      </c>
      <c r="E3026" s="302">
        <v>6</v>
      </c>
      <c r="F3026" s="303" t="s">
        <v>7905</v>
      </c>
      <c r="G3026" s="489">
        <v>26466000</v>
      </c>
      <c r="H3026" s="301">
        <v>2</v>
      </c>
      <c r="I3026" s="303" t="s">
        <v>7906</v>
      </c>
      <c r="J3026" s="659">
        <v>26466000</v>
      </c>
    </row>
    <row r="3027" spans="1:10" ht="78.75">
      <c r="A3027" s="658" t="s">
        <v>7932</v>
      </c>
      <c r="B3027" s="301" t="s">
        <v>7979</v>
      </c>
      <c r="C3027" s="301" t="s">
        <v>7980</v>
      </c>
      <c r="D3027" s="301">
        <v>1.5</v>
      </c>
      <c r="E3027" s="302">
        <v>6</v>
      </c>
      <c r="F3027" s="303" t="s">
        <v>7905</v>
      </c>
      <c r="G3027" s="489">
        <v>18045000</v>
      </c>
      <c r="H3027" s="301">
        <v>2</v>
      </c>
      <c r="I3027" s="303" t="s">
        <v>7906</v>
      </c>
      <c r="J3027" s="659">
        <v>18045000</v>
      </c>
    </row>
    <row r="3028" spans="1:10" ht="78.75">
      <c r="A3028" s="658" t="s">
        <v>7932</v>
      </c>
      <c r="B3028" s="301" t="s">
        <v>7981</v>
      </c>
      <c r="C3028" s="301" t="s">
        <v>7982</v>
      </c>
      <c r="D3028" s="301">
        <v>7.9</v>
      </c>
      <c r="E3028" s="302">
        <v>6</v>
      </c>
      <c r="F3028" s="303" t="s">
        <v>7905</v>
      </c>
      <c r="G3028" s="489">
        <v>95037000</v>
      </c>
      <c r="H3028" s="301">
        <v>2</v>
      </c>
      <c r="I3028" s="303" t="s">
        <v>7906</v>
      </c>
      <c r="J3028" s="659">
        <v>95037000</v>
      </c>
    </row>
    <row r="3029" spans="1:10" ht="78.75">
      <c r="A3029" s="658" t="s">
        <v>7926</v>
      </c>
      <c r="B3029" s="301" t="s">
        <v>1754</v>
      </c>
      <c r="C3029" s="301" t="s">
        <v>7983</v>
      </c>
      <c r="D3029" s="301">
        <v>1.5</v>
      </c>
      <c r="E3029" s="302">
        <v>6</v>
      </c>
      <c r="F3029" s="303" t="s">
        <v>7905</v>
      </c>
      <c r="G3029" s="489">
        <v>18045000</v>
      </c>
      <c r="H3029" s="301">
        <v>2</v>
      </c>
      <c r="I3029" s="303" t="s">
        <v>7906</v>
      </c>
      <c r="J3029" s="659">
        <v>18045000</v>
      </c>
    </row>
    <row r="3030" spans="1:10" ht="78.75">
      <c r="A3030" s="658" t="s">
        <v>7926</v>
      </c>
      <c r="B3030" s="301" t="s">
        <v>1819</v>
      </c>
      <c r="C3030" s="301" t="s">
        <v>7984</v>
      </c>
      <c r="D3030" s="301">
        <v>2.6</v>
      </c>
      <c r="E3030" s="302">
        <v>6</v>
      </c>
      <c r="F3030" s="303" t="s">
        <v>7905</v>
      </c>
      <c r="G3030" s="489">
        <v>31278000</v>
      </c>
      <c r="H3030" s="301">
        <v>2</v>
      </c>
      <c r="I3030" s="303" t="s">
        <v>7906</v>
      </c>
      <c r="J3030" s="659">
        <v>31278000</v>
      </c>
    </row>
    <row r="3031" spans="1:10" ht="78.75">
      <c r="A3031" s="658" t="s">
        <v>7926</v>
      </c>
      <c r="B3031" s="301" t="s">
        <v>137</v>
      </c>
      <c r="C3031" s="301" t="s">
        <v>7985</v>
      </c>
      <c r="D3031" s="301">
        <v>1.1000000000000001</v>
      </c>
      <c r="E3031" s="302">
        <v>6</v>
      </c>
      <c r="F3031" s="303" t="s">
        <v>7905</v>
      </c>
      <c r="G3031" s="489">
        <v>13233000</v>
      </c>
      <c r="H3031" s="301">
        <v>2</v>
      </c>
      <c r="I3031" s="303" t="s">
        <v>7906</v>
      </c>
      <c r="J3031" s="659">
        <v>13233000</v>
      </c>
    </row>
    <row r="3032" spans="1:10" ht="78.75">
      <c r="A3032" s="658" t="s">
        <v>7926</v>
      </c>
      <c r="B3032" s="301" t="s">
        <v>7986</v>
      </c>
      <c r="C3032" s="301" t="s">
        <v>7987</v>
      </c>
      <c r="D3032" s="301">
        <v>2</v>
      </c>
      <c r="E3032" s="302">
        <v>6</v>
      </c>
      <c r="F3032" s="303" t="s">
        <v>7905</v>
      </c>
      <c r="G3032" s="489">
        <v>24060000</v>
      </c>
      <c r="H3032" s="301">
        <v>2</v>
      </c>
      <c r="I3032" s="303" t="s">
        <v>7906</v>
      </c>
      <c r="J3032" s="659">
        <v>24060000</v>
      </c>
    </row>
    <row r="3033" spans="1:10" ht="78.75">
      <c r="A3033" s="658" t="s">
        <v>7932</v>
      </c>
      <c r="B3033" s="301" t="s">
        <v>7953</v>
      </c>
      <c r="C3033" s="301" t="s">
        <v>7988</v>
      </c>
      <c r="D3033" s="301">
        <v>2.65</v>
      </c>
      <c r="E3033" s="302">
        <v>6</v>
      </c>
      <c r="F3033" s="303" t="s">
        <v>7905</v>
      </c>
      <c r="G3033" s="489">
        <v>31879500</v>
      </c>
      <c r="H3033" s="301">
        <v>1</v>
      </c>
      <c r="I3033" s="303" t="s">
        <v>7906</v>
      </c>
      <c r="J3033" s="659">
        <v>31879500</v>
      </c>
    </row>
    <row r="3034" spans="1:10" ht="78.75">
      <c r="A3034" s="658" t="s">
        <v>7926</v>
      </c>
      <c r="B3034" s="301" t="s">
        <v>7989</v>
      </c>
      <c r="C3034" s="301" t="s">
        <v>7990</v>
      </c>
      <c r="D3034" s="301">
        <v>3.6</v>
      </c>
      <c r="E3034" s="302">
        <v>6</v>
      </c>
      <c r="F3034" s="303" t="s">
        <v>7905</v>
      </c>
      <c r="G3034" s="489">
        <v>43308000</v>
      </c>
      <c r="H3034" s="301">
        <v>2</v>
      </c>
      <c r="I3034" s="303" t="s">
        <v>7906</v>
      </c>
      <c r="J3034" s="659">
        <v>43308000</v>
      </c>
    </row>
    <row r="3035" spans="1:10" ht="78.75">
      <c r="A3035" s="658" t="s">
        <v>7926</v>
      </c>
      <c r="B3035" s="301" t="s">
        <v>7991</v>
      </c>
      <c r="C3035" s="301" t="s">
        <v>7992</v>
      </c>
      <c r="D3035" s="301">
        <v>3.9</v>
      </c>
      <c r="E3035" s="302">
        <v>6</v>
      </c>
      <c r="F3035" s="303" t="s">
        <v>7905</v>
      </c>
      <c r="G3035" s="489">
        <v>46917000</v>
      </c>
      <c r="H3035" s="301">
        <v>2</v>
      </c>
      <c r="I3035" s="303" t="s">
        <v>7906</v>
      </c>
      <c r="J3035" s="659">
        <v>46917000</v>
      </c>
    </row>
    <row r="3036" spans="1:10" ht="78.75">
      <c r="A3036" s="658" t="s">
        <v>7926</v>
      </c>
      <c r="B3036" s="301" t="s">
        <v>7993</v>
      </c>
      <c r="C3036" s="301" t="s">
        <v>7994</v>
      </c>
      <c r="D3036" s="301">
        <v>3.3</v>
      </c>
      <c r="E3036" s="302">
        <v>6</v>
      </c>
      <c r="F3036" s="303" t="s">
        <v>7905</v>
      </c>
      <c r="G3036" s="489">
        <v>39699000</v>
      </c>
      <c r="H3036" s="301">
        <v>2</v>
      </c>
      <c r="I3036" s="303" t="s">
        <v>7906</v>
      </c>
      <c r="J3036" s="659">
        <v>39699000</v>
      </c>
    </row>
    <row r="3037" spans="1:10" ht="78.75">
      <c r="A3037" s="658" t="s">
        <v>7916</v>
      </c>
      <c r="B3037" s="301" t="s">
        <v>7995</v>
      </c>
      <c r="C3037" s="301" t="s">
        <v>7996</v>
      </c>
      <c r="D3037" s="301">
        <v>7.3</v>
      </c>
      <c r="E3037" s="302">
        <v>6</v>
      </c>
      <c r="F3037" s="303" t="s">
        <v>7905</v>
      </c>
      <c r="G3037" s="489">
        <v>87819000</v>
      </c>
      <c r="H3037" s="301">
        <v>2</v>
      </c>
      <c r="I3037" s="303" t="s">
        <v>7906</v>
      </c>
      <c r="J3037" s="659">
        <v>87819000</v>
      </c>
    </row>
    <row r="3038" spans="1:10" ht="78.75">
      <c r="A3038" s="658" t="s">
        <v>7916</v>
      </c>
      <c r="B3038" s="301" t="s">
        <v>7997</v>
      </c>
      <c r="C3038" s="301" t="s">
        <v>7998</v>
      </c>
      <c r="D3038" s="301">
        <v>1.5</v>
      </c>
      <c r="E3038" s="302">
        <v>6</v>
      </c>
      <c r="F3038" s="303" t="s">
        <v>7905</v>
      </c>
      <c r="G3038" s="489">
        <v>18045000</v>
      </c>
      <c r="H3038" s="301">
        <v>2</v>
      </c>
      <c r="I3038" s="303" t="s">
        <v>7906</v>
      </c>
      <c r="J3038" s="659">
        <v>18045000</v>
      </c>
    </row>
    <row r="3039" spans="1:10" ht="78.75">
      <c r="A3039" s="658" t="s">
        <v>7916</v>
      </c>
      <c r="B3039" s="301" t="s">
        <v>7999</v>
      </c>
      <c r="C3039" s="301" t="s">
        <v>8000</v>
      </c>
      <c r="D3039" s="301">
        <v>1.8</v>
      </c>
      <c r="E3039" s="302">
        <v>6</v>
      </c>
      <c r="F3039" s="303" t="s">
        <v>7905</v>
      </c>
      <c r="G3039" s="489">
        <v>21654000</v>
      </c>
      <c r="H3039" s="301">
        <v>2</v>
      </c>
      <c r="I3039" s="303" t="s">
        <v>7906</v>
      </c>
      <c r="J3039" s="659">
        <v>21654000</v>
      </c>
    </row>
    <row r="3040" spans="1:10" ht="78.75">
      <c r="A3040" s="658" t="s">
        <v>7916</v>
      </c>
      <c r="B3040" s="301" t="s">
        <v>8001</v>
      </c>
      <c r="C3040" s="301" t="s">
        <v>8002</v>
      </c>
      <c r="D3040" s="301">
        <v>1.5</v>
      </c>
      <c r="E3040" s="302">
        <v>6</v>
      </c>
      <c r="F3040" s="303" t="s">
        <v>7905</v>
      </c>
      <c r="G3040" s="489">
        <v>18045000</v>
      </c>
      <c r="H3040" s="301">
        <v>2</v>
      </c>
      <c r="I3040" s="303" t="s">
        <v>7906</v>
      </c>
      <c r="J3040" s="659">
        <v>18045000</v>
      </c>
    </row>
    <row r="3041" spans="1:10" ht="78.75">
      <c r="A3041" s="658" t="s">
        <v>7916</v>
      </c>
      <c r="B3041" s="301" t="s">
        <v>8003</v>
      </c>
      <c r="C3041" s="301" t="s">
        <v>8004</v>
      </c>
      <c r="D3041" s="301">
        <v>1.6</v>
      </c>
      <c r="E3041" s="302">
        <v>6</v>
      </c>
      <c r="F3041" s="303" t="s">
        <v>7905</v>
      </c>
      <c r="G3041" s="489">
        <v>19248000</v>
      </c>
      <c r="H3041" s="301">
        <v>2</v>
      </c>
      <c r="I3041" s="303" t="s">
        <v>7906</v>
      </c>
      <c r="J3041" s="659">
        <v>19248000</v>
      </c>
    </row>
    <row r="3042" spans="1:10" ht="78.75">
      <c r="A3042" s="658" t="s">
        <v>7916</v>
      </c>
      <c r="B3042" s="301" t="s">
        <v>8005</v>
      </c>
      <c r="C3042" s="301" t="s">
        <v>8006</v>
      </c>
      <c r="D3042" s="301">
        <v>1.2</v>
      </c>
      <c r="E3042" s="302">
        <v>6</v>
      </c>
      <c r="F3042" s="303" t="s">
        <v>7905</v>
      </c>
      <c r="G3042" s="489">
        <v>14436000</v>
      </c>
      <c r="H3042" s="301">
        <v>2</v>
      </c>
      <c r="I3042" s="303" t="s">
        <v>7906</v>
      </c>
      <c r="J3042" s="659">
        <v>14436000</v>
      </c>
    </row>
    <row r="3043" spans="1:10" ht="78.75">
      <c r="A3043" s="658" t="s">
        <v>7916</v>
      </c>
      <c r="B3043" s="301" t="s">
        <v>8007</v>
      </c>
      <c r="C3043" s="301" t="s">
        <v>8008</v>
      </c>
      <c r="D3043" s="301">
        <v>1.2</v>
      </c>
      <c r="E3043" s="302">
        <v>6</v>
      </c>
      <c r="F3043" s="303" t="s">
        <v>7905</v>
      </c>
      <c r="G3043" s="489">
        <v>14436000</v>
      </c>
      <c r="H3043" s="301">
        <v>2</v>
      </c>
      <c r="I3043" s="303" t="s">
        <v>7906</v>
      </c>
      <c r="J3043" s="659">
        <v>14436000</v>
      </c>
    </row>
    <row r="3044" spans="1:10" ht="78.75">
      <c r="A3044" s="658" t="s">
        <v>7916</v>
      </c>
      <c r="B3044" s="301" t="s">
        <v>8009</v>
      </c>
      <c r="C3044" s="301" t="s">
        <v>8010</v>
      </c>
      <c r="D3044" s="301">
        <v>2</v>
      </c>
      <c r="E3044" s="302">
        <v>6</v>
      </c>
      <c r="F3044" s="303" t="s">
        <v>7905</v>
      </c>
      <c r="G3044" s="489">
        <v>24060000</v>
      </c>
      <c r="H3044" s="301">
        <v>2</v>
      </c>
      <c r="I3044" s="303" t="s">
        <v>7906</v>
      </c>
      <c r="J3044" s="659">
        <v>24060000</v>
      </c>
    </row>
    <row r="3045" spans="1:10" ht="78.75">
      <c r="A3045" s="658" t="s">
        <v>7916</v>
      </c>
      <c r="B3045" s="301" t="s">
        <v>8011</v>
      </c>
      <c r="C3045" s="301" t="s">
        <v>8012</v>
      </c>
      <c r="D3045" s="301">
        <v>3.2</v>
      </c>
      <c r="E3045" s="302">
        <v>6</v>
      </c>
      <c r="F3045" s="303" t="s">
        <v>7905</v>
      </c>
      <c r="G3045" s="489">
        <v>38496000</v>
      </c>
      <c r="H3045" s="301">
        <v>2</v>
      </c>
      <c r="I3045" s="303" t="s">
        <v>7906</v>
      </c>
      <c r="J3045" s="659">
        <v>38496000</v>
      </c>
    </row>
    <row r="3046" spans="1:10" ht="78.75">
      <c r="A3046" s="658" t="s">
        <v>7916</v>
      </c>
      <c r="B3046" s="301" t="s">
        <v>8013</v>
      </c>
      <c r="C3046" s="301" t="s">
        <v>8014</v>
      </c>
      <c r="D3046" s="301">
        <v>2.9</v>
      </c>
      <c r="E3046" s="302">
        <v>7</v>
      </c>
      <c r="F3046" s="303" t="s">
        <v>7905</v>
      </c>
      <c r="G3046" s="489">
        <v>37787000</v>
      </c>
      <c r="H3046" s="301">
        <v>2</v>
      </c>
      <c r="I3046" s="303" t="s">
        <v>7906</v>
      </c>
      <c r="J3046" s="659">
        <v>37787000</v>
      </c>
    </row>
    <row r="3047" spans="1:10" ht="78.75">
      <c r="A3047" s="658" t="s">
        <v>7916</v>
      </c>
      <c r="B3047" s="301" t="s">
        <v>8015</v>
      </c>
      <c r="C3047" s="301" t="s">
        <v>8016</v>
      </c>
      <c r="D3047" s="301">
        <v>2.4</v>
      </c>
      <c r="E3047" s="302">
        <v>6</v>
      </c>
      <c r="F3047" s="303" t="s">
        <v>7905</v>
      </c>
      <c r="G3047" s="489">
        <v>28872000</v>
      </c>
      <c r="H3047" s="301">
        <v>2</v>
      </c>
      <c r="I3047" s="303" t="s">
        <v>7906</v>
      </c>
      <c r="J3047" s="659">
        <v>28872000</v>
      </c>
    </row>
    <row r="3048" spans="1:10" ht="78.75">
      <c r="A3048" s="658" t="s">
        <v>7916</v>
      </c>
      <c r="B3048" s="301" t="s">
        <v>621</v>
      </c>
      <c r="C3048" s="301" t="s">
        <v>8017</v>
      </c>
      <c r="D3048" s="301">
        <v>6.4</v>
      </c>
      <c r="E3048" s="302">
        <v>6</v>
      </c>
      <c r="F3048" s="303" t="s">
        <v>7905</v>
      </c>
      <c r="G3048" s="489">
        <v>76992000</v>
      </c>
      <c r="H3048" s="301">
        <v>2</v>
      </c>
      <c r="I3048" s="303" t="s">
        <v>7906</v>
      </c>
      <c r="J3048" s="659">
        <v>76992000</v>
      </c>
    </row>
    <row r="3049" spans="1:10" ht="78.75">
      <c r="A3049" s="658" t="s">
        <v>7916</v>
      </c>
      <c r="B3049" s="301" t="s">
        <v>8018</v>
      </c>
      <c r="C3049" s="301" t="s">
        <v>8019</v>
      </c>
      <c r="D3049" s="301">
        <v>4.9000000000000004</v>
      </c>
      <c r="E3049" s="302">
        <v>6</v>
      </c>
      <c r="F3049" s="303" t="s">
        <v>7905</v>
      </c>
      <c r="G3049" s="489">
        <v>58947000</v>
      </c>
      <c r="H3049" s="301">
        <v>2</v>
      </c>
      <c r="I3049" s="303" t="s">
        <v>7906</v>
      </c>
      <c r="J3049" s="659">
        <v>58947000</v>
      </c>
    </row>
    <row r="3050" spans="1:10" ht="78.75">
      <c r="A3050" s="658" t="s">
        <v>7916</v>
      </c>
      <c r="B3050" s="301" t="s">
        <v>8020</v>
      </c>
      <c r="C3050" s="301" t="s">
        <v>8021</v>
      </c>
      <c r="D3050" s="301">
        <v>3.5</v>
      </c>
      <c r="E3050" s="302">
        <v>6</v>
      </c>
      <c r="F3050" s="303" t="s">
        <v>7905</v>
      </c>
      <c r="G3050" s="489">
        <v>42105000</v>
      </c>
      <c r="H3050" s="301">
        <v>2</v>
      </c>
      <c r="I3050" s="303" t="s">
        <v>7906</v>
      </c>
      <c r="J3050" s="659">
        <v>42105000</v>
      </c>
    </row>
    <row r="3051" spans="1:10" ht="78.75">
      <c r="A3051" s="658" t="s">
        <v>7916</v>
      </c>
      <c r="B3051" s="301" t="s">
        <v>8022</v>
      </c>
      <c r="C3051" s="301" t="s">
        <v>8023</v>
      </c>
      <c r="D3051" s="301">
        <v>2.5</v>
      </c>
      <c r="E3051" s="302">
        <v>6</v>
      </c>
      <c r="F3051" s="303" t="s">
        <v>7905</v>
      </c>
      <c r="G3051" s="489">
        <v>30075000</v>
      </c>
      <c r="H3051" s="301">
        <v>2</v>
      </c>
      <c r="I3051" s="303" t="s">
        <v>7906</v>
      </c>
      <c r="J3051" s="659">
        <v>30075000</v>
      </c>
    </row>
    <row r="3052" spans="1:10" ht="78.75">
      <c r="A3052" s="658" t="s">
        <v>7916</v>
      </c>
      <c r="B3052" s="301" t="s">
        <v>8024</v>
      </c>
      <c r="C3052" s="301" t="s">
        <v>8025</v>
      </c>
      <c r="D3052" s="301">
        <v>3.6</v>
      </c>
      <c r="E3052" s="302">
        <v>6</v>
      </c>
      <c r="F3052" s="303" t="s">
        <v>7905</v>
      </c>
      <c r="G3052" s="489">
        <v>43308000</v>
      </c>
      <c r="H3052" s="301">
        <v>2</v>
      </c>
      <c r="I3052" s="303" t="s">
        <v>7906</v>
      </c>
      <c r="J3052" s="659">
        <v>43308000</v>
      </c>
    </row>
    <row r="3053" spans="1:10" ht="78.75">
      <c r="A3053" s="658" t="s">
        <v>7916</v>
      </c>
      <c r="B3053" s="301" t="s">
        <v>8026</v>
      </c>
      <c r="C3053" s="301" t="s">
        <v>8027</v>
      </c>
      <c r="D3053" s="301">
        <v>1.8</v>
      </c>
      <c r="E3053" s="302">
        <v>6</v>
      </c>
      <c r="F3053" s="303" t="s">
        <v>7905</v>
      </c>
      <c r="G3053" s="489">
        <v>21654000</v>
      </c>
      <c r="H3053" s="301">
        <v>2</v>
      </c>
      <c r="I3053" s="303" t="s">
        <v>7906</v>
      </c>
      <c r="J3053" s="659">
        <v>21654000</v>
      </c>
    </row>
    <row r="3054" spans="1:10" ht="78.75">
      <c r="A3054" s="658" t="s">
        <v>7916</v>
      </c>
      <c r="B3054" s="301" t="s">
        <v>8028</v>
      </c>
      <c r="C3054" s="301" t="s">
        <v>8029</v>
      </c>
      <c r="D3054" s="301">
        <v>5.8</v>
      </c>
      <c r="E3054" s="302">
        <v>6</v>
      </c>
      <c r="F3054" s="303" t="s">
        <v>7905</v>
      </c>
      <c r="G3054" s="489">
        <v>69774000</v>
      </c>
      <c r="H3054" s="301">
        <v>2</v>
      </c>
      <c r="I3054" s="303" t="s">
        <v>7906</v>
      </c>
      <c r="J3054" s="659">
        <v>69774000</v>
      </c>
    </row>
    <row r="3055" spans="1:10" ht="78.75">
      <c r="A3055" s="658" t="s">
        <v>7916</v>
      </c>
      <c r="B3055" s="301" t="s">
        <v>8030</v>
      </c>
      <c r="C3055" s="301" t="s">
        <v>8031</v>
      </c>
      <c r="D3055" s="301">
        <v>1.5</v>
      </c>
      <c r="E3055" s="302">
        <v>6</v>
      </c>
      <c r="F3055" s="303" t="s">
        <v>7905</v>
      </c>
      <c r="G3055" s="489">
        <v>18045000</v>
      </c>
      <c r="H3055" s="301">
        <v>2</v>
      </c>
      <c r="I3055" s="303" t="s">
        <v>7906</v>
      </c>
      <c r="J3055" s="659">
        <v>18045000</v>
      </c>
    </row>
    <row r="3056" spans="1:10" ht="78.75">
      <c r="A3056" s="658" t="s">
        <v>7916</v>
      </c>
      <c r="B3056" s="301" t="s">
        <v>8032</v>
      </c>
      <c r="C3056" s="301" t="s">
        <v>8033</v>
      </c>
      <c r="D3056" s="301">
        <v>3.7</v>
      </c>
      <c r="E3056" s="302">
        <v>6</v>
      </c>
      <c r="F3056" s="303" t="s">
        <v>7905</v>
      </c>
      <c r="G3056" s="489">
        <v>44511000</v>
      </c>
      <c r="H3056" s="301">
        <v>2</v>
      </c>
      <c r="I3056" s="303" t="s">
        <v>7906</v>
      </c>
      <c r="J3056" s="659">
        <v>44511000</v>
      </c>
    </row>
    <row r="3057" spans="1:10" ht="78.75">
      <c r="A3057" s="658" t="s">
        <v>7916</v>
      </c>
      <c r="B3057" s="301" t="s">
        <v>8032</v>
      </c>
      <c r="C3057" s="301" t="s">
        <v>8034</v>
      </c>
      <c r="D3057" s="301">
        <v>8.5</v>
      </c>
      <c r="E3057" s="302">
        <v>6</v>
      </c>
      <c r="F3057" s="303" t="s">
        <v>7905</v>
      </c>
      <c r="G3057" s="489">
        <v>102255000</v>
      </c>
      <c r="H3057" s="301">
        <v>2</v>
      </c>
      <c r="I3057" s="303" t="s">
        <v>7906</v>
      </c>
      <c r="J3057" s="659">
        <v>102255000</v>
      </c>
    </row>
    <row r="3058" spans="1:10" ht="78.75">
      <c r="A3058" s="658" t="s">
        <v>7916</v>
      </c>
      <c r="B3058" s="301" t="s">
        <v>8035</v>
      </c>
      <c r="C3058" s="301" t="s">
        <v>8036</v>
      </c>
      <c r="D3058" s="301">
        <v>2.8</v>
      </c>
      <c r="E3058" s="302">
        <v>6</v>
      </c>
      <c r="F3058" s="303" t="s">
        <v>7905</v>
      </c>
      <c r="G3058" s="489">
        <v>33684000</v>
      </c>
      <c r="H3058" s="301">
        <v>2</v>
      </c>
      <c r="I3058" s="303" t="s">
        <v>7906</v>
      </c>
      <c r="J3058" s="659">
        <v>33684000</v>
      </c>
    </row>
    <row r="3059" spans="1:10" ht="78.75">
      <c r="A3059" s="658" t="s">
        <v>3882</v>
      </c>
      <c r="B3059" s="301" t="s">
        <v>8037</v>
      </c>
      <c r="C3059" s="301" t="s">
        <v>8038</v>
      </c>
      <c r="D3059" s="301">
        <v>3.9</v>
      </c>
      <c r="E3059" s="302">
        <v>6</v>
      </c>
      <c r="F3059" s="303" t="s">
        <v>7905</v>
      </c>
      <c r="G3059" s="489">
        <v>46917000</v>
      </c>
      <c r="H3059" s="301">
        <v>1</v>
      </c>
      <c r="I3059" s="303" t="s">
        <v>7906</v>
      </c>
      <c r="J3059" s="659">
        <v>46917000</v>
      </c>
    </row>
    <row r="3060" spans="1:10" ht="78.75">
      <c r="A3060" s="658" t="s">
        <v>3882</v>
      </c>
      <c r="B3060" s="301" t="s">
        <v>8039</v>
      </c>
      <c r="C3060" s="301" t="s">
        <v>8040</v>
      </c>
      <c r="D3060" s="301">
        <v>2.7</v>
      </c>
      <c r="E3060" s="302">
        <v>6</v>
      </c>
      <c r="F3060" s="303" t="s">
        <v>7905</v>
      </c>
      <c r="G3060" s="489">
        <v>32481000</v>
      </c>
      <c r="H3060" s="301">
        <v>2</v>
      </c>
      <c r="I3060" s="303" t="s">
        <v>7906</v>
      </c>
      <c r="J3060" s="659">
        <v>32481000</v>
      </c>
    </row>
    <row r="3061" spans="1:10" ht="78.75">
      <c r="A3061" s="658" t="s">
        <v>3882</v>
      </c>
      <c r="B3061" s="301" t="s">
        <v>1675</v>
      </c>
      <c r="C3061" s="301" t="s">
        <v>8041</v>
      </c>
      <c r="D3061" s="301">
        <v>6.2</v>
      </c>
      <c r="E3061" s="302">
        <v>6</v>
      </c>
      <c r="F3061" s="303" t="s">
        <v>7905</v>
      </c>
      <c r="G3061" s="489">
        <v>74586000</v>
      </c>
      <c r="H3061" s="301">
        <v>1</v>
      </c>
      <c r="I3061" s="303" t="s">
        <v>7906</v>
      </c>
      <c r="J3061" s="659">
        <v>74586000</v>
      </c>
    </row>
    <row r="3062" spans="1:10" ht="78.75">
      <c r="A3062" s="658" t="s">
        <v>7926</v>
      </c>
      <c r="B3062" s="301" t="s">
        <v>7991</v>
      </c>
      <c r="C3062" s="301" t="s">
        <v>8042</v>
      </c>
      <c r="D3062" s="301">
        <v>2.5</v>
      </c>
      <c r="E3062" s="302">
        <v>6</v>
      </c>
      <c r="F3062" s="303" t="s">
        <v>7905</v>
      </c>
      <c r="G3062" s="489">
        <v>30075000</v>
      </c>
      <c r="H3062" s="301">
        <v>2</v>
      </c>
      <c r="I3062" s="303" t="s">
        <v>7906</v>
      </c>
      <c r="J3062" s="659">
        <v>30075000</v>
      </c>
    </row>
    <row r="3063" spans="1:10" ht="78.75">
      <c r="A3063" s="658" t="s">
        <v>7932</v>
      </c>
      <c r="B3063" s="301" t="s">
        <v>1754</v>
      </c>
      <c r="C3063" s="301" t="s">
        <v>8043</v>
      </c>
      <c r="D3063" s="301">
        <v>2.8</v>
      </c>
      <c r="E3063" s="302">
        <v>6</v>
      </c>
      <c r="F3063" s="303" t="s">
        <v>7905</v>
      </c>
      <c r="G3063" s="489">
        <v>33684000</v>
      </c>
      <c r="H3063" s="301">
        <v>2</v>
      </c>
      <c r="I3063" s="303" t="s">
        <v>7906</v>
      </c>
      <c r="J3063" s="659">
        <v>33684000</v>
      </c>
    </row>
    <row r="3064" spans="1:10" ht="78.75">
      <c r="A3064" s="658" t="s">
        <v>7916</v>
      </c>
      <c r="B3064" s="301" t="s">
        <v>8044</v>
      </c>
      <c r="C3064" s="301" t="s">
        <v>8045</v>
      </c>
      <c r="D3064" s="301">
        <v>1.7</v>
      </c>
      <c r="E3064" s="302">
        <v>6</v>
      </c>
      <c r="F3064" s="303" t="s">
        <v>7905</v>
      </c>
      <c r="G3064" s="489">
        <v>20451000</v>
      </c>
      <c r="H3064" s="301">
        <v>2</v>
      </c>
      <c r="I3064" s="303" t="s">
        <v>7906</v>
      </c>
      <c r="J3064" s="659">
        <v>20451000</v>
      </c>
    </row>
    <row r="3065" spans="1:10" ht="78.75">
      <c r="A3065" s="658" t="s">
        <v>7916</v>
      </c>
      <c r="B3065" s="301" t="s">
        <v>8046</v>
      </c>
      <c r="C3065" s="301" t="s">
        <v>8047</v>
      </c>
      <c r="D3065" s="301">
        <v>1.3</v>
      </c>
      <c r="E3065" s="302">
        <v>6</v>
      </c>
      <c r="F3065" s="303" t="s">
        <v>7905</v>
      </c>
      <c r="G3065" s="489">
        <v>15639000</v>
      </c>
      <c r="H3065" s="301">
        <v>2</v>
      </c>
      <c r="I3065" s="303" t="s">
        <v>7906</v>
      </c>
      <c r="J3065" s="659">
        <v>15639000</v>
      </c>
    </row>
    <row r="3066" spans="1:10" ht="78.75">
      <c r="A3066" s="658" t="s">
        <v>7916</v>
      </c>
      <c r="B3066" s="301" t="s">
        <v>4527</v>
      </c>
      <c r="C3066" s="301" t="s">
        <v>8048</v>
      </c>
      <c r="D3066" s="301">
        <v>2.2999999999999998</v>
      </c>
      <c r="E3066" s="302">
        <v>5</v>
      </c>
      <c r="F3066" s="303" t="s">
        <v>7905</v>
      </c>
      <c r="G3066" s="489">
        <v>25369000</v>
      </c>
      <c r="H3066" s="301">
        <v>2</v>
      </c>
      <c r="I3066" s="303" t="s">
        <v>7906</v>
      </c>
      <c r="J3066" s="659">
        <v>25369000</v>
      </c>
    </row>
    <row r="3067" spans="1:10" ht="78.75">
      <c r="A3067" s="658" t="s">
        <v>7916</v>
      </c>
      <c r="B3067" s="301" t="s">
        <v>8049</v>
      </c>
      <c r="C3067" s="301" t="s">
        <v>8050</v>
      </c>
      <c r="D3067" s="301">
        <v>1.2</v>
      </c>
      <c r="E3067" s="302">
        <v>6</v>
      </c>
      <c r="F3067" s="303" t="s">
        <v>7905</v>
      </c>
      <c r="G3067" s="489">
        <v>14436000</v>
      </c>
      <c r="H3067" s="301">
        <v>2</v>
      </c>
      <c r="I3067" s="303" t="s">
        <v>7906</v>
      </c>
      <c r="J3067" s="659">
        <v>14436000</v>
      </c>
    </row>
    <row r="3068" spans="1:10" ht="78.75">
      <c r="A3068" s="658" t="s">
        <v>7916</v>
      </c>
      <c r="B3068" s="301" t="s">
        <v>8051</v>
      </c>
      <c r="C3068" s="301" t="s">
        <v>8052</v>
      </c>
      <c r="D3068" s="301">
        <v>2.5</v>
      </c>
      <c r="E3068" s="302">
        <v>5</v>
      </c>
      <c r="F3068" s="303" t="s">
        <v>7905</v>
      </c>
      <c r="G3068" s="489">
        <v>27575000</v>
      </c>
      <c r="H3068" s="301">
        <v>2</v>
      </c>
      <c r="I3068" s="303" t="s">
        <v>7906</v>
      </c>
      <c r="J3068" s="659">
        <v>27575000</v>
      </c>
    </row>
    <row r="3069" spans="1:10" ht="78.75">
      <c r="A3069" s="658" t="s">
        <v>7916</v>
      </c>
      <c r="B3069" s="301" t="s">
        <v>8053</v>
      </c>
      <c r="C3069" s="301" t="s">
        <v>8054</v>
      </c>
      <c r="D3069" s="301">
        <v>1.9</v>
      </c>
      <c r="E3069" s="302">
        <v>6</v>
      </c>
      <c r="F3069" s="303" t="s">
        <v>7905</v>
      </c>
      <c r="G3069" s="489">
        <v>22857000</v>
      </c>
      <c r="H3069" s="301">
        <v>2</v>
      </c>
      <c r="I3069" s="303" t="s">
        <v>7906</v>
      </c>
      <c r="J3069" s="659">
        <v>22857000</v>
      </c>
    </row>
    <row r="3070" spans="1:10" ht="78.75">
      <c r="A3070" s="658" t="s">
        <v>7932</v>
      </c>
      <c r="B3070" s="301" t="s">
        <v>8055</v>
      </c>
      <c r="C3070" s="301" t="s">
        <v>8056</v>
      </c>
      <c r="D3070" s="301">
        <v>3</v>
      </c>
      <c r="E3070" s="302">
        <v>6</v>
      </c>
      <c r="F3070" s="303" t="s">
        <v>7905</v>
      </c>
      <c r="G3070" s="489">
        <v>36090000</v>
      </c>
      <c r="H3070" s="301">
        <v>2</v>
      </c>
      <c r="I3070" s="303" t="s">
        <v>7906</v>
      </c>
      <c r="J3070" s="659">
        <v>36090000</v>
      </c>
    </row>
    <row r="3071" spans="1:10" ht="78.75">
      <c r="A3071" s="658" t="s">
        <v>7932</v>
      </c>
      <c r="B3071" s="301" t="s">
        <v>7981</v>
      </c>
      <c r="C3071" s="301" t="s">
        <v>8057</v>
      </c>
      <c r="D3071" s="301">
        <v>2</v>
      </c>
      <c r="E3071" s="302">
        <v>6</v>
      </c>
      <c r="F3071" s="303" t="s">
        <v>7905</v>
      </c>
      <c r="G3071" s="489">
        <v>24060000</v>
      </c>
      <c r="H3071" s="301">
        <v>2</v>
      </c>
      <c r="I3071" s="303" t="s">
        <v>7906</v>
      </c>
      <c r="J3071" s="659">
        <v>24060000</v>
      </c>
    </row>
    <row r="3072" spans="1:10" ht="78.75">
      <c r="A3072" s="658" t="s">
        <v>3882</v>
      </c>
      <c r="B3072" s="301" t="s">
        <v>8058</v>
      </c>
      <c r="C3072" s="301" t="s">
        <v>8059</v>
      </c>
      <c r="D3072" s="301">
        <v>2</v>
      </c>
      <c r="E3072" s="302">
        <v>6</v>
      </c>
      <c r="F3072" s="303" t="s">
        <v>7905</v>
      </c>
      <c r="G3072" s="489">
        <v>24060000</v>
      </c>
      <c r="H3072" s="301">
        <v>2</v>
      </c>
      <c r="I3072" s="303" t="s">
        <v>7906</v>
      </c>
      <c r="J3072" s="659">
        <v>24060000</v>
      </c>
    </row>
    <row r="3073" spans="1:10" ht="78.75">
      <c r="A3073" s="658" t="s">
        <v>3882</v>
      </c>
      <c r="B3073" s="301" t="s">
        <v>8060</v>
      </c>
      <c r="C3073" s="301" t="s">
        <v>8061</v>
      </c>
      <c r="D3073" s="301">
        <v>8.85</v>
      </c>
      <c r="E3073" s="302">
        <v>6</v>
      </c>
      <c r="F3073" s="303" t="s">
        <v>7905</v>
      </c>
      <c r="G3073" s="489">
        <v>106465500</v>
      </c>
      <c r="H3073" s="301">
        <v>2</v>
      </c>
      <c r="I3073" s="303" t="s">
        <v>7906</v>
      </c>
      <c r="J3073" s="659">
        <v>106465500</v>
      </c>
    </row>
    <row r="3074" spans="1:10" ht="78.75">
      <c r="A3074" s="658" t="s">
        <v>3882</v>
      </c>
      <c r="B3074" s="301" t="s">
        <v>8062</v>
      </c>
      <c r="C3074" s="301" t="s">
        <v>8063</v>
      </c>
      <c r="D3074" s="301">
        <v>1.8</v>
      </c>
      <c r="E3074" s="302">
        <v>6</v>
      </c>
      <c r="F3074" s="303" t="s">
        <v>7905</v>
      </c>
      <c r="G3074" s="489">
        <v>21654000</v>
      </c>
      <c r="H3074" s="301">
        <v>2</v>
      </c>
      <c r="I3074" s="303" t="s">
        <v>7906</v>
      </c>
      <c r="J3074" s="659">
        <v>21654000</v>
      </c>
    </row>
    <row r="3075" spans="1:10" ht="78.75">
      <c r="A3075" s="658" t="s">
        <v>3882</v>
      </c>
      <c r="B3075" s="301" t="s">
        <v>8064</v>
      </c>
      <c r="C3075" s="301" t="s">
        <v>8065</v>
      </c>
      <c r="D3075" s="301">
        <v>3.5</v>
      </c>
      <c r="E3075" s="302">
        <v>6</v>
      </c>
      <c r="F3075" s="303" t="s">
        <v>7905</v>
      </c>
      <c r="G3075" s="489">
        <v>42105000</v>
      </c>
      <c r="H3075" s="301">
        <v>1</v>
      </c>
      <c r="I3075" s="303" t="s">
        <v>7906</v>
      </c>
      <c r="J3075" s="659">
        <v>42105000</v>
      </c>
    </row>
    <row r="3076" spans="1:10" ht="78.75">
      <c r="A3076" s="658" t="s">
        <v>3882</v>
      </c>
      <c r="B3076" s="301" t="s">
        <v>8066</v>
      </c>
      <c r="C3076" s="301" t="s">
        <v>8067</v>
      </c>
      <c r="D3076" s="301">
        <v>4.8</v>
      </c>
      <c r="E3076" s="302">
        <v>6</v>
      </c>
      <c r="F3076" s="303" t="s">
        <v>7905</v>
      </c>
      <c r="G3076" s="489">
        <v>57744000</v>
      </c>
      <c r="H3076" s="301">
        <v>2</v>
      </c>
      <c r="I3076" s="303" t="s">
        <v>7906</v>
      </c>
      <c r="J3076" s="659">
        <v>57744000</v>
      </c>
    </row>
    <row r="3077" spans="1:10" ht="78.75">
      <c r="A3077" s="658" t="s">
        <v>7932</v>
      </c>
      <c r="B3077" s="301" t="s">
        <v>8068</v>
      </c>
      <c r="C3077" s="301" t="s">
        <v>8069</v>
      </c>
      <c r="D3077" s="301">
        <v>2.4</v>
      </c>
      <c r="E3077" s="302">
        <v>6</v>
      </c>
      <c r="F3077" s="303" t="s">
        <v>7905</v>
      </c>
      <c r="G3077" s="489">
        <v>28872000</v>
      </c>
      <c r="H3077" s="301">
        <v>2</v>
      </c>
      <c r="I3077" s="303" t="s">
        <v>7906</v>
      </c>
      <c r="J3077" s="659">
        <v>28872000</v>
      </c>
    </row>
    <row r="3078" spans="1:10" ht="78.75">
      <c r="A3078" s="658" t="s">
        <v>7932</v>
      </c>
      <c r="B3078" s="301" t="s">
        <v>8070</v>
      </c>
      <c r="C3078" s="301" t="s">
        <v>8071</v>
      </c>
      <c r="D3078" s="301">
        <v>1.5</v>
      </c>
      <c r="E3078" s="302">
        <v>6</v>
      </c>
      <c r="F3078" s="303" t="s">
        <v>7905</v>
      </c>
      <c r="G3078" s="489">
        <v>18045000</v>
      </c>
      <c r="H3078" s="301">
        <v>2</v>
      </c>
      <c r="I3078" s="303" t="s">
        <v>7906</v>
      </c>
      <c r="J3078" s="659">
        <v>18045000</v>
      </c>
    </row>
    <row r="3079" spans="1:10" ht="78.75">
      <c r="A3079" s="658" t="s">
        <v>7932</v>
      </c>
      <c r="B3079" s="301" t="s">
        <v>8072</v>
      </c>
      <c r="C3079" s="301" t="s">
        <v>8073</v>
      </c>
      <c r="D3079" s="301">
        <v>7.5</v>
      </c>
      <c r="E3079" s="302">
        <v>6</v>
      </c>
      <c r="F3079" s="303" t="s">
        <v>7905</v>
      </c>
      <c r="G3079" s="489">
        <v>90225000</v>
      </c>
      <c r="H3079" s="301">
        <v>2</v>
      </c>
      <c r="I3079" s="303" t="s">
        <v>7906</v>
      </c>
      <c r="J3079" s="659">
        <v>90225000</v>
      </c>
    </row>
    <row r="3080" spans="1:10" ht="78.75">
      <c r="A3080" s="658" t="s">
        <v>7932</v>
      </c>
      <c r="B3080" s="301" t="s">
        <v>8074</v>
      </c>
      <c r="C3080" s="301" t="s">
        <v>8075</v>
      </c>
      <c r="D3080" s="301">
        <v>1.5</v>
      </c>
      <c r="E3080" s="302">
        <v>6</v>
      </c>
      <c r="F3080" s="303" t="s">
        <v>7905</v>
      </c>
      <c r="G3080" s="489">
        <v>18045000</v>
      </c>
      <c r="H3080" s="301">
        <v>2</v>
      </c>
      <c r="I3080" s="303" t="s">
        <v>7906</v>
      </c>
      <c r="J3080" s="659">
        <v>18045000</v>
      </c>
    </row>
    <row r="3081" spans="1:10" ht="78.75">
      <c r="A3081" s="658" t="s">
        <v>7932</v>
      </c>
      <c r="B3081" s="301" t="s">
        <v>8076</v>
      </c>
      <c r="C3081" s="301" t="s">
        <v>8077</v>
      </c>
      <c r="D3081" s="301">
        <v>3.5</v>
      </c>
      <c r="E3081" s="302">
        <v>6</v>
      </c>
      <c r="F3081" s="303" t="s">
        <v>7905</v>
      </c>
      <c r="G3081" s="489">
        <v>42105000</v>
      </c>
      <c r="H3081" s="301">
        <v>2</v>
      </c>
      <c r="I3081" s="303" t="s">
        <v>7906</v>
      </c>
      <c r="J3081" s="659">
        <v>42105000</v>
      </c>
    </row>
    <row r="3082" spans="1:10" ht="78.75">
      <c r="A3082" s="658" t="s">
        <v>7926</v>
      </c>
      <c r="B3082" s="301" t="s">
        <v>8078</v>
      </c>
      <c r="C3082" s="301" t="s">
        <v>8079</v>
      </c>
      <c r="D3082" s="301">
        <v>2.6</v>
      </c>
      <c r="E3082" s="302">
        <v>6</v>
      </c>
      <c r="F3082" s="303" t="s">
        <v>7905</v>
      </c>
      <c r="G3082" s="489">
        <v>31278000</v>
      </c>
      <c r="H3082" s="301">
        <v>2</v>
      </c>
      <c r="I3082" s="303" t="s">
        <v>7906</v>
      </c>
      <c r="J3082" s="659">
        <v>31278000</v>
      </c>
    </row>
    <row r="3083" spans="1:10" ht="78.75">
      <c r="A3083" s="658" t="s">
        <v>7916</v>
      </c>
      <c r="B3083" s="301" t="s">
        <v>8080</v>
      </c>
      <c r="C3083" s="301" t="s">
        <v>8081</v>
      </c>
      <c r="D3083" s="301">
        <v>3.9</v>
      </c>
      <c r="E3083" s="302">
        <v>6</v>
      </c>
      <c r="F3083" s="303" t="s">
        <v>7905</v>
      </c>
      <c r="G3083" s="489">
        <v>46917000</v>
      </c>
      <c r="H3083" s="301">
        <v>2</v>
      </c>
      <c r="I3083" s="303" t="s">
        <v>7906</v>
      </c>
      <c r="J3083" s="659">
        <v>46917000</v>
      </c>
    </row>
    <row r="3084" spans="1:10" ht="78.75">
      <c r="A3084" s="658" t="s">
        <v>3882</v>
      </c>
      <c r="B3084" s="301" t="s">
        <v>628</v>
      </c>
      <c r="C3084" s="301" t="s">
        <v>8082</v>
      </c>
      <c r="D3084" s="301">
        <v>1.6</v>
      </c>
      <c r="E3084" s="302">
        <v>6</v>
      </c>
      <c r="F3084" s="303" t="s">
        <v>7905</v>
      </c>
      <c r="G3084" s="489">
        <v>19248000</v>
      </c>
      <c r="H3084" s="301">
        <v>2</v>
      </c>
      <c r="I3084" s="303" t="s">
        <v>7906</v>
      </c>
      <c r="J3084" s="659">
        <v>19248000</v>
      </c>
    </row>
    <row r="3085" spans="1:10" ht="78.75">
      <c r="A3085" s="658" t="s">
        <v>3882</v>
      </c>
      <c r="B3085" s="301" t="s">
        <v>8083</v>
      </c>
      <c r="C3085" s="301" t="s">
        <v>8084</v>
      </c>
      <c r="D3085" s="301">
        <v>2.2000000000000002</v>
      </c>
      <c r="E3085" s="302">
        <v>6</v>
      </c>
      <c r="F3085" s="303" t="s">
        <v>7905</v>
      </c>
      <c r="G3085" s="489">
        <v>26466000</v>
      </c>
      <c r="H3085" s="301">
        <v>2</v>
      </c>
      <c r="I3085" s="303" t="s">
        <v>7906</v>
      </c>
      <c r="J3085" s="659">
        <v>26466000</v>
      </c>
    </row>
    <row r="3086" spans="1:10" ht="78.75">
      <c r="A3086" s="658" t="s">
        <v>3882</v>
      </c>
      <c r="B3086" s="301" t="s">
        <v>8085</v>
      </c>
      <c r="C3086" s="301" t="s">
        <v>8086</v>
      </c>
      <c r="D3086" s="301">
        <v>2</v>
      </c>
      <c r="E3086" s="302">
        <v>6</v>
      </c>
      <c r="F3086" s="303" t="s">
        <v>7905</v>
      </c>
      <c r="G3086" s="489">
        <v>24060000</v>
      </c>
      <c r="H3086" s="301">
        <v>2</v>
      </c>
      <c r="I3086" s="303" t="s">
        <v>7906</v>
      </c>
      <c r="J3086" s="659">
        <v>24060000</v>
      </c>
    </row>
    <row r="3087" spans="1:10" ht="78.75">
      <c r="A3087" s="658" t="s">
        <v>3882</v>
      </c>
      <c r="B3087" s="301" t="s">
        <v>8087</v>
      </c>
      <c r="C3087" s="301" t="s">
        <v>8088</v>
      </c>
      <c r="D3087" s="301">
        <v>2.0499999999999998</v>
      </c>
      <c r="E3087" s="302">
        <v>6</v>
      </c>
      <c r="F3087" s="303" t="s">
        <v>7905</v>
      </c>
      <c r="G3087" s="489">
        <v>24661500</v>
      </c>
      <c r="H3087" s="301">
        <v>2</v>
      </c>
      <c r="I3087" s="303" t="s">
        <v>7906</v>
      </c>
      <c r="J3087" s="659">
        <v>24661500</v>
      </c>
    </row>
    <row r="3088" spans="1:10" ht="78.75">
      <c r="A3088" s="658" t="s">
        <v>3882</v>
      </c>
      <c r="B3088" s="301" t="s">
        <v>8089</v>
      </c>
      <c r="C3088" s="301" t="s">
        <v>8090</v>
      </c>
      <c r="D3088" s="301">
        <v>2</v>
      </c>
      <c r="E3088" s="302">
        <v>6</v>
      </c>
      <c r="F3088" s="303" t="s">
        <v>7905</v>
      </c>
      <c r="G3088" s="489">
        <v>24060000</v>
      </c>
      <c r="H3088" s="301">
        <v>2</v>
      </c>
      <c r="I3088" s="303" t="s">
        <v>7906</v>
      </c>
      <c r="J3088" s="659">
        <v>24060000</v>
      </c>
    </row>
    <row r="3089" spans="1:10" ht="78.75">
      <c r="A3089" s="658" t="s">
        <v>3882</v>
      </c>
      <c r="B3089" s="301" t="s">
        <v>8091</v>
      </c>
      <c r="C3089" s="301" t="s">
        <v>8092</v>
      </c>
      <c r="D3089" s="301">
        <v>9.6999999999999993</v>
      </c>
      <c r="E3089" s="302">
        <v>6</v>
      </c>
      <c r="F3089" s="303" t="s">
        <v>7905</v>
      </c>
      <c r="G3089" s="489">
        <v>116691000</v>
      </c>
      <c r="H3089" s="301">
        <v>2</v>
      </c>
      <c r="I3089" s="303" t="s">
        <v>7906</v>
      </c>
      <c r="J3089" s="659">
        <v>116691000</v>
      </c>
    </row>
    <row r="3090" spans="1:10" ht="78.75">
      <c r="A3090" s="658" t="s">
        <v>3882</v>
      </c>
      <c r="B3090" s="301" t="s">
        <v>8093</v>
      </c>
      <c r="C3090" s="301" t="s">
        <v>8094</v>
      </c>
      <c r="D3090" s="301">
        <v>4.5</v>
      </c>
      <c r="E3090" s="302">
        <v>6</v>
      </c>
      <c r="F3090" s="303" t="s">
        <v>7905</v>
      </c>
      <c r="G3090" s="489">
        <v>54135000</v>
      </c>
      <c r="H3090" s="301">
        <v>2</v>
      </c>
      <c r="I3090" s="303" t="s">
        <v>7906</v>
      </c>
      <c r="J3090" s="659">
        <v>54135000</v>
      </c>
    </row>
    <row r="3091" spans="1:10" ht="78.75">
      <c r="A3091" s="658" t="s">
        <v>3882</v>
      </c>
      <c r="B3091" s="301" t="s">
        <v>8095</v>
      </c>
      <c r="C3091" s="301" t="s">
        <v>8096</v>
      </c>
      <c r="D3091" s="301">
        <v>7</v>
      </c>
      <c r="E3091" s="302">
        <v>6</v>
      </c>
      <c r="F3091" s="303" t="s">
        <v>7905</v>
      </c>
      <c r="G3091" s="489">
        <v>84210000</v>
      </c>
      <c r="H3091" s="301">
        <v>2</v>
      </c>
      <c r="I3091" s="303" t="s">
        <v>7906</v>
      </c>
      <c r="J3091" s="659">
        <v>84210000</v>
      </c>
    </row>
    <row r="3092" spans="1:10" ht="78.75">
      <c r="A3092" s="658" t="s">
        <v>3882</v>
      </c>
      <c r="B3092" s="301" t="s">
        <v>8097</v>
      </c>
      <c r="C3092" s="301" t="s">
        <v>8098</v>
      </c>
      <c r="D3092" s="301">
        <v>2.2000000000000002</v>
      </c>
      <c r="E3092" s="302">
        <v>6</v>
      </c>
      <c r="F3092" s="303" t="s">
        <v>7905</v>
      </c>
      <c r="G3092" s="489">
        <v>26466000</v>
      </c>
      <c r="H3092" s="301">
        <v>2</v>
      </c>
      <c r="I3092" s="303" t="s">
        <v>7906</v>
      </c>
      <c r="J3092" s="659">
        <v>26466000</v>
      </c>
    </row>
    <row r="3093" spans="1:10" ht="78.75">
      <c r="A3093" s="658" t="s">
        <v>3882</v>
      </c>
      <c r="B3093" s="301" t="s">
        <v>8099</v>
      </c>
      <c r="C3093" s="301" t="s">
        <v>8100</v>
      </c>
      <c r="D3093" s="301">
        <v>3.5</v>
      </c>
      <c r="E3093" s="302">
        <v>6</v>
      </c>
      <c r="F3093" s="303" t="s">
        <v>7905</v>
      </c>
      <c r="G3093" s="489">
        <v>42105000</v>
      </c>
      <c r="H3093" s="301">
        <v>2</v>
      </c>
      <c r="I3093" s="303" t="s">
        <v>7906</v>
      </c>
      <c r="J3093" s="659">
        <v>42105000</v>
      </c>
    </row>
    <row r="3094" spans="1:10" ht="78.75">
      <c r="A3094" s="658" t="s">
        <v>7916</v>
      </c>
      <c r="B3094" s="301" t="s">
        <v>2057</v>
      </c>
      <c r="C3094" s="301" t="s">
        <v>8101</v>
      </c>
      <c r="D3094" s="301">
        <v>7</v>
      </c>
      <c r="E3094" s="302">
        <v>6</v>
      </c>
      <c r="F3094" s="303" t="s">
        <v>7905</v>
      </c>
      <c r="G3094" s="489">
        <v>84210000</v>
      </c>
      <c r="H3094" s="301">
        <v>2</v>
      </c>
      <c r="I3094" s="303" t="s">
        <v>7906</v>
      </c>
      <c r="J3094" s="659">
        <v>84210000</v>
      </c>
    </row>
    <row r="3095" spans="1:10" ht="78.75">
      <c r="A3095" s="658" t="s">
        <v>3882</v>
      </c>
      <c r="B3095" s="301" t="s">
        <v>8102</v>
      </c>
      <c r="C3095" s="301" t="s">
        <v>8103</v>
      </c>
      <c r="D3095" s="301">
        <v>1</v>
      </c>
      <c r="E3095" s="302">
        <v>6</v>
      </c>
      <c r="F3095" s="303" t="s">
        <v>7905</v>
      </c>
      <c r="G3095" s="489">
        <v>12030000</v>
      </c>
      <c r="H3095" s="301">
        <v>2</v>
      </c>
      <c r="I3095" s="303" t="s">
        <v>7906</v>
      </c>
      <c r="J3095" s="659">
        <v>12030000</v>
      </c>
    </row>
    <row r="3096" spans="1:10" ht="78.75">
      <c r="A3096" s="658" t="s">
        <v>7916</v>
      </c>
      <c r="B3096" s="301" t="s">
        <v>8104</v>
      </c>
      <c r="C3096" s="301" t="s">
        <v>8105</v>
      </c>
      <c r="D3096" s="301">
        <v>2.2000000000000002</v>
      </c>
      <c r="E3096" s="302">
        <v>6</v>
      </c>
      <c r="F3096" s="303" t="s">
        <v>7905</v>
      </c>
      <c r="G3096" s="489">
        <v>26466000</v>
      </c>
      <c r="H3096" s="301">
        <v>2</v>
      </c>
      <c r="I3096" s="303" t="s">
        <v>7906</v>
      </c>
      <c r="J3096" s="659">
        <v>26466000</v>
      </c>
    </row>
    <row r="3097" spans="1:10" ht="78.75">
      <c r="A3097" s="658" t="s">
        <v>7916</v>
      </c>
      <c r="B3097" s="301" t="s">
        <v>8106</v>
      </c>
      <c r="C3097" s="301" t="s">
        <v>8107</v>
      </c>
      <c r="D3097" s="301">
        <v>1.7</v>
      </c>
      <c r="E3097" s="302">
        <v>6</v>
      </c>
      <c r="F3097" s="303" t="s">
        <v>7905</v>
      </c>
      <c r="G3097" s="489">
        <v>20451000</v>
      </c>
      <c r="H3097" s="301">
        <v>2</v>
      </c>
      <c r="I3097" s="303" t="s">
        <v>7906</v>
      </c>
      <c r="J3097" s="659">
        <v>20451000</v>
      </c>
    </row>
    <row r="3098" spans="1:10" ht="78.75">
      <c r="A3098" s="658" t="s">
        <v>3882</v>
      </c>
      <c r="B3098" s="301" t="s">
        <v>8108</v>
      </c>
      <c r="C3098" s="301" t="s">
        <v>8109</v>
      </c>
      <c r="D3098" s="301">
        <v>2</v>
      </c>
      <c r="E3098" s="302">
        <v>6</v>
      </c>
      <c r="F3098" s="303" t="s">
        <v>7905</v>
      </c>
      <c r="G3098" s="489">
        <v>24060000</v>
      </c>
      <c r="H3098" s="301">
        <v>2</v>
      </c>
      <c r="I3098" s="303" t="s">
        <v>7906</v>
      </c>
      <c r="J3098" s="659">
        <v>24060000</v>
      </c>
    </row>
    <row r="3099" spans="1:10" ht="78.75">
      <c r="A3099" s="658" t="s">
        <v>7916</v>
      </c>
      <c r="B3099" s="301" t="s">
        <v>8110</v>
      </c>
      <c r="C3099" s="301" t="s">
        <v>8111</v>
      </c>
      <c r="D3099" s="301">
        <v>1</v>
      </c>
      <c r="E3099" s="302">
        <v>6</v>
      </c>
      <c r="F3099" s="303" t="s">
        <v>7905</v>
      </c>
      <c r="G3099" s="489">
        <v>12030000</v>
      </c>
      <c r="H3099" s="301">
        <v>2</v>
      </c>
      <c r="I3099" s="303" t="s">
        <v>7906</v>
      </c>
      <c r="J3099" s="659">
        <v>12030000</v>
      </c>
    </row>
    <row r="3100" spans="1:10" ht="78.75">
      <c r="A3100" s="658" t="s">
        <v>3882</v>
      </c>
      <c r="B3100" s="301" t="s">
        <v>4209</v>
      </c>
      <c r="C3100" s="301" t="s">
        <v>8112</v>
      </c>
      <c r="D3100" s="301">
        <v>1</v>
      </c>
      <c r="E3100" s="302">
        <v>6</v>
      </c>
      <c r="F3100" s="303" t="s">
        <v>7905</v>
      </c>
      <c r="G3100" s="489">
        <v>12030000</v>
      </c>
      <c r="H3100" s="301">
        <v>2</v>
      </c>
      <c r="I3100" s="303" t="s">
        <v>7906</v>
      </c>
      <c r="J3100" s="659">
        <v>12030000</v>
      </c>
    </row>
    <row r="3101" spans="1:10" ht="78.75">
      <c r="A3101" s="658" t="s">
        <v>7916</v>
      </c>
      <c r="B3101" s="301" t="s">
        <v>8113</v>
      </c>
      <c r="C3101" s="301" t="s">
        <v>8114</v>
      </c>
      <c r="D3101" s="301">
        <v>2.8</v>
      </c>
      <c r="E3101" s="302">
        <v>6</v>
      </c>
      <c r="F3101" s="303" t="s">
        <v>7905</v>
      </c>
      <c r="G3101" s="489">
        <v>33684000</v>
      </c>
      <c r="H3101" s="301">
        <v>2</v>
      </c>
      <c r="I3101" s="303" t="s">
        <v>7906</v>
      </c>
      <c r="J3101" s="659">
        <v>33684000</v>
      </c>
    </row>
    <row r="3102" spans="1:10" ht="78.75">
      <c r="A3102" s="658" t="s">
        <v>7916</v>
      </c>
      <c r="B3102" s="301" t="s">
        <v>8115</v>
      </c>
      <c r="C3102" s="301" t="s">
        <v>8116</v>
      </c>
      <c r="D3102" s="301">
        <v>2.6</v>
      </c>
      <c r="E3102" s="302">
        <v>6</v>
      </c>
      <c r="F3102" s="303" t="s">
        <v>7905</v>
      </c>
      <c r="G3102" s="489">
        <v>31278000</v>
      </c>
      <c r="H3102" s="301">
        <v>2</v>
      </c>
      <c r="I3102" s="303" t="s">
        <v>7906</v>
      </c>
      <c r="J3102" s="659">
        <v>31278000</v>
      </c>
    </row>
    <row r="3103" spans="1:10" ht="78.75">
      <c r="A3103" s="658" t="s">
        <v>7916</v>
      </c>
      <c r="B3103" s="301" t="s">
        <v>8117</v>
      </c>
      <c r="C3103" s="301" t="s">
        <v>8118</v>
      </c>
      <c r="D3103" s="301">
        <v>1.8</v>
      </c>
      <c r="E3103" s="302">
        <v>6</v>
      </c>
      <c r="F3103" s="303" t="s">
        <v>7905</v>
      </c>
      <c r="G3103" s="489">
        <v>21654000</v>
      </c>
      <c r="H3103" s="301">
        <v>2</v>
      </c>
      <c r="I3103" s="303" t="s">
        <v>7906</v>
      </c>
      <c r="J3103" s="659">
        <v>21654000</v>
      </c>
    </row>
    <row r="3104" spans="1:10" ht="78.75">
      <c r="A3104" s="658" t="s">
        <v>7916</v>
      </c>
      <c r="B3104" s="301" t="s">
        <v>8119</v>
      </c>
      <c r="C3104" s="301" t="s">
        <v>8120</v>
      </c>
      <c r="D3104" s="301">
        <v>5.0999999999999996</v>
      </c>
      <c r="E3104" s="302">
        <v>6</v>
      </c>
      <c r="F3104" s="303" t="s">
        <v>7905</v>
      </c>
      <c r="G3104" s="489">
        <v>61353000</v>
      </c>
      <c r="H3104" s="301">
        <v>2</v>
      </c>
      <c r="I3104" s="303" t="s">
        <v>7906</v>
      </c>
      <c r="J3104" s="659">
        <v>61353000</v>
      </c>
    </row>
    <row r="3105" spans="1:10" ht="78.75">
      <c r="A3105" s="658" t="s">
        <v>7916</v>
      </c>
      <c r="B3105" s="301" t="s">
        <v>8121</v>
      </c>
      <c r="C3105" s="301" t="s">
        <v>8122</v>
      </c>
      <c r="D3105" s="301">
        <v>1.3</v>
      </c>
      <c r="E3105" s="302">
        <v>6</v>
      </c>
      <c r="F3105" s="303" t="s">
        <v>7905</v>
      </c>
      <c r="G3105" s="489">
        <v>15639000</v>
      </c>
      <c r="H3105" s="301">
        <v>2</v>
      </c>
      <c r="I3105" s="303" t="s">
        <v>7906</v>
      </c>
      <c r="J3105" s="659">
        <v>15639000</v>
      </c>
    </row>
    <row r="3106" spans="1:10" ht="78.75">
      <c r="A3106" s="658" t="s">
        <v>7916</v>
      </c>
      <c r="B3106" s="301" t="s">
        <v>8123</v>
      </c>
      <c r="C3106" s="301" t="s">
        <v>8124</v>
      </c>
      <c r="D3106" s="301">
        <v>1.8</v>
      </c>
      <c r="E3106" s="302">
        <v>6</v>
      </c>
      <c r="F3106" s="303" t="s">
        <v>7905</v>
      </c>
      <c r="G3106" s="489">
        <v>21654000</v>
      </c>
      <c r="H3106" s="301">
        <v>2</v>
      </c>
      <c r="I3106" s="303" t="s">
        <v>7906</v>
      </c>
      <c r="J3106" s="659">
        <v>21654000</v>
      </c>
    </row>
    <row r="3107" spans="1:10" ht="78.75">
      <c r="A3107" s="658" t="s">
        <v>7916</v>
      </c>
      <c r="B3107" s="301" t="s">
        <v>8125</v>
      </c>
      <c r="C3107" s="301" t="s">
        <v>8126</v>
      </c>
      <c r="D3107" s="301">
        <v>1.4</v>
      </c>
      <c r="E3107" s="302">
        <v>6</v>
      </c>
      <c r="F3107" s="303" t="s">
        <v>7905</v>
      </c>
      <c r="G3107" s="489">
        <v>16842000</v>
      </c>
      <c r="H3107" s="301">
        <v>2</v>
      </c>
      <c r="I3107" s="303" t="s">
        <v>7906</v>
      </c>
      <c r="J3107" s="659">
        <v>16842000</v>
      </c>
    </row>
    <row r="3108" spans="1:10" ht="78.75">
      <c r="A3108" s="658" t="s">
        <v>7916</v>
      </c>
      <c r="B3108" s="301" t="s">
        <v>8127</v>
      </c>
      <c r="C3108" s="301" t="s">
        <v>8128</v>
      </c>
      <c r="D3108" s="301">
        <v>1.9</v>
      </c>
      <c r="E3108" s="302">
        <v>6</v>
      </c>
      <c r="F3108" s="303" t="s">
        <v>7905</v>
      </c>
      <c r="G3108" s="489">
        <v>22857000</v>
      </c>
      <c r="H3108" s="301">
        <v>2</v>
      </c>
      <c r="I3108" s="303" t="s">
        <v>7906</v>
      </c>
      <c r="J3108" s="659">
        <v>22857000</v>
      </c>
    </row>
    <row r="3109" spans="1:10" ht="78.75">
      <c r="A3109" s="658" t="s">
        <v>7916</v>
      </c>
      <c r="B3109" s="301" t="s">
        <v>8129</v>
      </c>
      <c r="C3109" s="301" t="s">
        <v>8130</v>
      </c>
      <c r="D3109" s="301">
        <v>1</v>
      </c>
      <c r="E3109" s="302">
        <v>5</v>
      </c>
      <c r="F3109" s="303" t="s">
        <v>7905</v>
      </c>
      <c r="G3109" s="489">
        <v>11030000</v>
      </c>
      <c r="H3109" s="301">
        <v>2</v>
      </c>
      <c r="I3109" s="303" t="s">
        <v>7906</v>
      </c>
      <c r="J3109" s="659">
        <v>11030000</v>
      </c>
    </row>
    <row r="3110" spans="1:10" ht="78.75">
      <c r="A3110" s="658" t="s">
        <v>7916</v>
      </c>
      <c r="B3110" s="301" t="s">
        <v>8131</v>
      </c>
      <c r="C3110" s="301" t="s">
        <v>8132</v>
      </c>
      <c r="D3110" s="301">
        <v>1.6</v>
      </c>
      <c r="E3110" s="302">
        <v>5</v>
      </c>
      <c r="F3110" s="303" t="s">
        <v>7905</v>
      </c>
      <c r="G3110" s="489">
        <v>17648000</v>
      </c>
      <c r="H3110" s="301">
        <v>2</v>
      </c>
      <c r="I3110" s="303" t="s">
        <v>7906</v>
      </c>
      <c r="J3110" s="659">
        <v>17648000</v>
      </c>
    </row>
    <row r="3111" spans="1:10" ht="78.75">
      <c r="A3111" s="658" t="s">
        <v>7916</v>
      </c>
      <c r="B3111" s="301" t="s">
        <v>8133</v>
      </c>
      <c r="C3111" s="301" t="s">
        <v>8134</v>
      </c>
      <c r="D3111" s="301">
        <v>1.8</v>
      </c>
      <c r="E3111" s="302">
        <v>5</v>
      </c>
      <c r="F3111" s="303" t="s">
        <v>7905</v>
      </c>
      <c r="G3111" s="489">
        <v>19854000</v>
      </c>
      <c r="H3111" s="301">
        <v>2</v>
      </c>
      <c r="I3111" s="303" t="s">
        <v>7906</v>
      </c>
      <c r="J3111" s="659">
        <v>19854000</v>
      </c>
    </row>
    <row r="3112" spans="1:10" ht="78.75">
      <c r="A3112" s="658" t="s">
        <v>7916</v>
      </c>
      <c r="B3112" s="301" t="s">
        <v>8135</v>
      </c>
      <c r="C3112" s="301" t="s">
        <v>8136</v>
      </c>
      <c r="D3112" s="301">
        <v>1.5</v>
      </c>
      <c r="E3112" s="302">
        <v>6</v>
      </c>
      <c r="F3112" s="303" t="s">
        <v>7905</v>
      </c>
      <c r="G3112" s="489">
        <v>18045000</v>
      </c>
      <c r="H3112" s="301">
        <v>2</v>
      </c>
      <c r="I3112" s="303" t="s">
        <v>7906</v>
      </c>
      <c r="J3112" s="659">
        <v>18045000</v>
      </c>
    </row>
    <row r="3113" spans="1:10" ht="78.75">
      <c r="A3113" s="658" t="s">
        <v>7916</v>
      </c>
      <c r="B3113" s="301" t="s">
        <v>8123</v>
      </c>
      <c r="C3113" s="301" t="s">
        <v>8137</v>
      </c>
      <c r="D3113" s="301">
        <v>1.6</v>
      </c>
      <c r="E3113" s="302">
        <v>6</v>
      </c>
      <c r="F3113" s="303" t="s">
        <v>7905</v>
      </c>
      <c r="G3113" s="489">
        <v>19248000</v>
      </c>
      <c r="H3113" s="301">
        <v>2</v>
      </c>
      <c r="I3113" s="303" t="s">
        <v>7906</v>
      </c>
      <c r="J3113" s="659">
        <v>19248000</v>
      </c>
    </row>
    <row r="3114" spans="1:10" ht="78.75">
      <c r="A3114" s="658" t="s">
        <v>7926</v>
      </c>
      <c r="B3114" s="301" t="s">
        <v>8138</v>
      </c>
      <c r="C3114" s="301" t="s">
        <v>8139</v>
      </c>
      <c r="D3114" s="301">
        <v>2</v>
      </c>
      <c r="E3114" s="302">
        <v>6</v>
      </c>
      <c r="F3114" s="303" t="s">
        <v>7905</v>
      </c>
      <c r="G3114" s="489">
        <v>24060000</v>
      </c>
      <c r="H3114" s="301">
        <v>2</v>
      </c>
      <c r="I3114" s="303" t="s">
        <v>7906</v>
      </c>
      <c r="J3114" s="659">
        <v>24060000</v>
      </c>
    </row>
    <row r="3115" spans="1:10" ht="78.75">
      <c r="A3115" s="658" t="s">
        <v>7926</v>
      </c>
      <c r="B3115" s="301" t="s">
        <v>8140</v>
      </c>
      <c r="C3115" s="301" t="s">
        <v>8141</v>
      </c>
      <c r="D3115" s="301">
        <v>1.3</v>
      </c>
      <c r="E3115" s="302">
        <v>6</v>
      </c>
      <c r="F3115" s="303" t="s">
        <v>7905</v>
      </c>
      <c r="G3115" s="489">
        <v>15639000</v>
      </c>
      <c r="H3115" s="301">
        <v>2</v>
      </c>
      <c r="I3115" s="303" t="s">
        <v>7906</v>
      </c>
      <c r="J3115" s="659">
        <v>15639000</v>
      </c>
    </row>
    <row r="3116" spans="1:10" ht="78.75">
      <c r="A3116" s="658" t="s">
        <v>7932</v>
      </c>
      <c r="B3116" s="301" t="s">
        <v>7502</v>
      </c>
      <c r="C3116" s="301" t="s">
        <v>8142</v>
      </c>
      <c r="D3116" s="301">
        <v>4.8</v>
      </c>
      <c r="E3116" s="302">
        <v>6</v>
      </c>
      <c r="F3116" s="303" t="s">
        <v>7905</v>
      </c>
      <c r="G3116" s="489">
        <v>57744000</v>
      </c>
      <c r="H3116" s="301">
        <v>2</v>
      </c>
      <c r="I3116" s="303" t="s">
        <v>7906</v>
      </c>
      <c r="J3116" s="659">
        <v>57744000</v>
      </c>
    </row>
    <row r="3117" spans="1:10" ht="78.75">
      <c r="A3117" s="658" t="s">
        <v>7932</v>
      </c>
      <c r="B3117" s="301" t="s">
        <v>8143</v>
      </c>
      <c r="C3117" s="301" t="s">
        <v>8144</v>
      </c>
      <c r="D3117" s="301">
        <v>1.5</v>
      </c>
      <c r="E3117" s="302">
        <v>6</v>
      </c>
      <c r="F3117" s="303" t="s">
        <v>7905</v>
      </c>
      <c r="G3117" s="489">
        <v>18045000</v>
      </c>
      <c r="H3117" s="301">
        <v>2</v>
      </c>
      <c r="I3117" s="303" t="s">
        <v>7906</v>
      </c>
      <c r="J3117" s="659">
        <v>18045000</v>
      </c>
    </row>
    <row r="3118" spans="1:10" ht="78.75">
      <c r="A3118" s="658" t="s">
        <v>7932</v>
      </c>
      <c r="B3118" s="301" t="s">
        <v>8145</v>
      </c>
      <c r="C3118" s="301" t="s">
        <v>8146</v>
      </c>
      <c r="D3118" s="301">
        <v>1.3</v>
      </c>
      <c r="E3118" s="302">
        <v>6</v>
      </c>
      <c r="F3118" s="303" t="s">
        <v>7905</v>
      </c>
      <c r="G3118" s="489">
        <v>15639000</v>
      </c>
      <c r="H3118" s="301">
        <v>2</v>
      </c>
      <c r="I3118" s="303" t="s">
        <v>7906</v>
      </c>
      <c r="J3118" s="659">
        <v>15639000</v>
      </c>
    </row>
    <row r="3119" spans="1:10" ht="78.75">
      <c r="A3119" s="658" t="s">
        <v>7932</v>
      </c>
      <c r="B3119" s="301" t="s">
        <v>8147</v>
      </c>
      <c r="C3119" s="301" t="s">
        <v>8148</v>
      </c>
      <c r="D3119" s="301">
        <v>1.8</v>
      </c>
      <c r="E3119" s="302">
        <v>6</v>
      </c>
      <c r="F3119" s="303" t="s">
        <v>7905</v>
      </c>
      <c r="G3119" s="489">
        <v>21654000</v>
      </c>
      <c r="H3119" s="301">
        <v>2</v>
      </c>
      <c r="I3119" s="303" t="s">
        <v>7906</v>
      </c>
      <c r="J3119" s="659">
        <v>21654000</v>
      </c>
    </row>
    <row r="3120" spans="1:10" ht="78.75">
      <c r="A3120" s="658" t="s">
        <v>7932</v>
      </c>
      <c r="B3120" s="301" t="s">
        <v>8149</v>
      </c>
      <c r="C3120" s="301" t="s">
        <v>8150</v>
      </c>
      <c r="D3120" s="301">
        <v>1.4</v>
      </c>
      <c r="E3120" s="302">
        <v>6</v>
      </c>
      <c r="F3120" s="303" t="s">
        <v>7905</v>
      </c>
      <c r="G3120" s="489">
        <v>16842000</v>
      </c>
      <c r="H3120" s="301">
        <v>2</v>
      </c>
      <c r="I3120" s="303" t="s">
        <v>7906</v>
      </c>
      <c r="J3120" s="659">
        <v>16842000</v>
      </c>
    </row>
    <row r="3121" spans="1:10" ht="78.75">
      <c r="A3121" s="658" t="s">
        <v>7932</v>
      </c>
      <c r="B3121" s="301" t="s">
        <v>8151</v>
      </c>
      <c r="C3121" s="301" t="s">
        <v>8152</v>
      </c>
      <c r="D3121" s="301">
        <v>2.2000000000000002</v>
      </c>
      <c r="E3121" s="302">
        <v>6</v>
      </c>
      <c r="F3121" s="303" t="s">
        <v>7905</v>
      </c>
      <c r="G3121" s="489">
        <v>26466000</v>
      </c>
      <c r="H3121" s="301">
        <v>2</v>
      </c>
      <c r="I3121" s="303" t="s">
        <v>7906</v>
      </c>
      <c r="J3121" s="659">
        <v>26466000</v>
      </c>
    </row>
    <row r="3122" spans="1:10" ht="78.75">
      <c r="A3122" s="658" t="s">
        <v>7932</v>
      </c>
      <c r="B3122" s="301" t="s">
        <v>8153</v>
      </c>
      <c r="C3122" s="301" t="s">
        <v>8154</v>
      </c>
      <c r="D3122" s="301">
        <v>1.5</v>
      </c>
      <c r="E3122" s="302">
        <v>6</v>
      </c>
      <c r="F3122" s="303" t="s">
        <v>7905</v>
      </c>
      <c r="G3122" s="489">
        <v>18045000</v>
      </c>
      <c r="H3122" s="301">
        <v>2</v>
      </c>
      <c r="I3122" s="303" t="s">
        <v>7906</v>
      </c>
      <c r="J3122" s="659">
        <v>18045000</v>
      </c>
    </row>
    <row r="3123" spans="1:10" ht="78.75">
      <c r="A3123" s="658" t="s">
        <v>7932</v>
      </c>
      <c r="B3123" s="301" t="s">
        <v>8155</v>
      </c>
      <c r="C3123" s="301" t="s">
        <v>8156</v>
      </c>
      <c r="D3123" s="301">
        <v>1.5</v>
      </c>
      <c r="E3123" s="302">
        <v>6</v>
      </c>
      <c r="F3123" s="303" t="s">
        <v>7905</v>
      </c>
      <c r="G3123" s="489">
        <v>18045000</v>
      </c>
      <c r="H3123" s="301">
        <v>2</v>
      </c>
      <c r="I3123" s="303" t="s">
        <v>7906</v>
      </c>
      <c r="J3123" s="659">
        <v>18045000</v>
      </c>
    </row>
    <row r="3124" spans="1:10" ht="78.75">
      <c r="A3124" s="658" t="s">
        <v>7932</v>
      </c>
      <c r="B3124" s="301" t="s">
        <v>1864</v>
      </c>
      <c r="C3124" s="301" t="s">
        <v>8157</v>
      </c>
      <c r="D3124" s="301">
        <v>3</v>
      </c>
      <c r="E3124" s="302">
        <v>6</v>
      </c>
      <c r="F3124" s="303" t="s">
        <v>7905</v>
      </c>
      <c r="G3124" s="489">
        <v>36090000</v>
      </c>
      <c r="H3124" s="301">
        <v>2</v>
      </c>
      <c r="I3124" s="303" t="s">
        <v>7906</v>
      </c>
      <c r="J3124" s="659">
        <v>36090000</v>
      </c>
    </row>
    <row r="3125" spans="1:10" ht="78.75">
      <c r="A3125" s="658" t="s">
        <v>3882</v>
      </c>
      <c r="B3125" s="301" t="s">
        <v>8158</v>
      </c>
      <c r="C3125" s="301" t="s">
        <v>8159</v>
      </c>
      <c r="D3125" s="301">
        <v>8</v>
      </c>
      <c r="E3125" s="302">
        <v>6</v>
      </c>
      <c r="F3125" s="303" t="s">
        <v>7905</v>
      </c>
      <c r="G3125" s="489">
        <v>96240000</v>
      </c>
      <c r="H3125" s="301">
        <v>2</v>
      </c>
      <c r="I3125" s="303" t="s">
        <v>7906</v>
      </c>
      <c r="J3125" s="659">
        <v>96240000</v>
      </c>
    </row>
    <row r="3126" spans="1:10" ht="78.75">
      <c r="A3126" s="658" t="s">
        <v>3882</v>
      </c>
      <c r="B3126" s="301" t="s">
        <v>7700</v>
      </c>
      <c r="C3126" s="301" t="s">
        <v>8160</v>
      </c>
      <c r="D3126" s="301">
        <v>7.5</v>
      </c>
      <c r="E3126" s="302">
        <v>6</v>
      </c>
      <c r="F3126" s="303" t="s">
        <v>7905</v>
      </c>
      <c r="G3126" s="489">
        <v>90225000</v>
      </c>
      <c r="H3126" s="301">
        <v>2</v>
      </c>
      <c r="I3126" s="303" t="s">
        <v>7906</v>
      </c>
      <c r="J3126" s="659">
        <v>90225000</v>
      </c>
    </row>
    <row r="3127" spans="1:10" ht="78.75">
      <c r="A3127" s="658" t="s">
        <v>7916</v>
      </c>
      <c r="B3127" s="301" t="s">
        <v>8161</v>
      </c>
      <c r="C3127" s="301" t="s">
        <v>8162</v>
      </c>
      <c r="D3127" s="301">
        <v>1.2</v>
      </c>
      <c r="E3127" s="302">
        <v>6</v>
      </c>
      <c r="F3127" s="303" t="s">
        <v>7905</v>
      </c>
      <c r="G3127" s="489">
        <v>14436000</v>
      </c>
      <c r="H3127" s="301">
        <v>2</v>
      </c>
      <c r="I3127" s="303" t="s">
        <v>7906</v>
      </c>
      <c r="J3127" s="659">
        <v>14436000</v>
      </c>
    </row>
    <row r="3128" spans="1:10" ht="78.75">
      <c r="A3128" s="658" t="s">
        <v>7932</v>
      </c>
      <c r="B3128" s="301" t="s">
        <v>8163</v>
      </c>
      <c r="C3128" s="301" t="s">
        <v>8164</v>
      </c>
      <c r="D3128" s="301">
        <v>1.2</v>
      </c>
      <c r="E3128" s="302">
        <v>6</v>
      </c>
      <c r="F3128" s="303" t="s">
        <v>7905</v>
      </c>
      <c r="G3128" s="489">
        <v>14436000</v>
      </c>
      <c r="H3128" s="301">
        <v>2</v>
      </c>
      <c r="I3128" s="303" t="s">
        <v>7906</v>
      </c>
      <c r="J3128" s="659">
        <v>14436000</v>
      </c>
    </row>
    <row r="3129" spans="1:10" ht="78.75">
      <c r="A3129" s="658" t="s">
        <v>7932</v>
      </c>
      <c r="B3129" s="301" t="s">
        <v>8165</v>
      </c>
      <c r="C3129" s="301" t="s">
        <v>8166</v>
      </c>
      <c r="D3129" s="301">
        <v>2.9</v>
      </c>
      <c r="E3129" s="302">
        <v>6</v>
      </c>
      <c r="F3129" s="303" t="s">
        <v>7905</v>
      </c>
      <c r="G3129" s="489">
        <v>34887000</v>
      </c>
      <c r="H3129" s="301">
        <v>2</v>
      </c>
      <c r="I3129" s="303" t="s">
        <v>7906</v>
      </c>
      <c r="J3129" s="659">
        <v>34887000</v>
      </c>
    </row>
    <row r="3130" spans="1:10" ht="78.75">
      <c r="A3130" s="658" t="s">
        <v>7932</v>
      </c>
      <c r="B3130" s="301" t="s">
        <v>1802</v>
      </c>
      <c r="C3130" s="301" t="s">
        <v>8167</v>
      </c>
      <c r="D3130" s="301">
        <v>1.2</v>
      </c>
      <c r="E3130" s="302">
        <v>6</v>
      </c>
      <c r="F3130" s="303" t="s">
        <v>7905</v>
      </c>
      <c r="G3130" s="489">
        <v>14436000</v>
      </c>
      <c r="H3130" s="301">
        <v>2</v>
      </c>
      <c r="I3130" s="303" t="s">
        <v>7906</v>
      </c>
      <c r="J3130" s="659">
        <v>14436000</v>
      </c>
    </row>
    <row r="3131" spans="1:10" ht="78.75">
      <c r="A3131" s="658" t="s">
        <v>7916</v>
      </c>
      <c r="B3131" s="301" t="s">
        <v>8168</v>
      </c>
      <c r="C3131" s="301" t="s">
        <v>8169</v>
      </c>
      <c r="D3131" s="301">
        <v>1.5</v>
      </c>
      <c r="E3131" s="302">
        <v>6</v>
      </c>
      <c r="F3131" s="303" t="s">
        <v>7905</v>
      </c>
      <c r="G3131" s="489">
        <v>18045000</v>
      </c>
      <c r="H3131" s="301">
        <v>2</v>
      </c>
      <c r="I3131" s="303" t="s">
        <v>7906</v>
      </c>
      <c r="J3131" s="659">
        <v>18045000</v>
      </c>
    </row>
    <row r="3132" spans="1:10" ht="78.75">
      <c r="A3132" s="658" t="s">
        <v>7932</v>
      </c>
      <c r="B3132" s="301" t="s">
        <v>8170</v>
      </c>
      <c r="C3132" s="301" t="s">
        <v>8171</v>
      </c>
      <c r="D3132" s="301">
        <v>2.2999999999999998</v>
      </c>
      <c r="E3132" s="302">
        <v>6</v>
      </c>
      <c r="F3132" s="303" t="s">
        <v>7905</v>
      </c>
      <c r="G3132" s="489">
        <v>27668999.999999996</v>
      </c>
      <c r="H3132" s="301">
        <v>2</v>
      </c>
      <c r="I3132" s="303" t="s">
        <v>7906</v>
      </c>
      <c r="J3132" s="659">
        <v>27668999.999999996</v>
      </c>
    </row>
    <row r="3133" spans="1:10" ht="78.75">
      <c r="A3133" s="658" t="s">
        <v>3882</v>
      </c>
      <c r="B3133" s="301" t="s">
        <v>8172</v>
      </c>
      <c r="C3133" s="301" t="s">
        <v>8173</v>
      </c>
      <c r="D3133" s="301">
        <v>1.3</v>
      </c>
      <c r="E3133" s="302">
        <v>5.5</v>
      </c>
      <c r="F3133" s="303" t="s">
        <v>7905</v>
      </c>
      <c r="G3133" s="489">
        <v>14989000</v>
      </c>
      <c r="H3133" s="301">
        <v>2</v>
      </c>
      <c r="I3133" s="303" t="s">
        <v>7906</v>
      </c>
      <c r="J3133" s="659">
        <v>14989000</v>
      </c>
    </row>
    <row r="3134" spans="1:10" ht="78.75">
      <c r="A3134" s="658" t="s">
        <v>3882</v>
      </c>
      <c r="B3134" s="301" t="s">
        <v>8174</v>
      </c>
      <c r="C3134" s="301" t="s">
        <v>8175</v>
      </c>
      <c r="D3134" s="301">
        <v>1.55</v>
      </c>
      <c r="E3134" s="302">
        <v>6</v>
      </c>
      <c r="F3134" s="303" t="s">
        <v>7905</v>
      </c>
      <c r="G3134" s="489">
        <v>18646500</v>
      </c>
      <c r="H3134" s="301">
        <v>2</v>
      </c>
      <c r="I3134" s="303" t="s">
        <v>7906</v>
      </c>
      <c r="J3134" s="659">
        <v>18646500</v>
      </c>
    </row>
    <row r="3135" spans="1:10" ht="78.75">
      <c r="A3135" s="658" t="s">
        <v>3882</v>
      </c>
      <c r="B3135" s="301" t="s">
        <v>8176</v>
      </c>
      <c r="C3135" s="301" t="s">
        <v>8177</v>
      </c>
      <c r="D3135" s="301">
        <v>1</v>
      </c>
      <c r="E3135" s="302">
        <v>6</v>
      </c>
      <c r="F3135" s="303" t="s">
        <v>7905</v>
      </c>
      <c r="G3135" s="489">
        <v>12030000</v>
      </c>
      <c r="H3135" s="301">
        <v>2</v>
      </c>
      <c r="I3135" s="303" t="s">
        <v>7906</v>
      </c>
      <c r="J3135" s="659">
        <v>12030000</v>
      </c>
    </row>
    <row r="3136" spans="1:10" ht="78.75">
      <c r="A3136" s="658" t="s">
        <v>3882</v>
      </c>
      <c r="B3136" s="301" t="s">
        <v>8178</v>
      </c>
      <c r="C3136" s="301" t="s">
        <v>8179</v>
      </c>
      <c r="D3136" s="301">
        <v>1</v>
      </c>
      <c r="E3136" s="302">
        <v>6</v>
      </c>
      <c r="F3136" s="303" t="s">
        <v>7905</v>
      </c>
      <c r="G3136" s="489">
        <v>12030000</v>
      </c>
      <c r="H3136" s="301">
        <v>2</v>
      </c>
      <c r="I3136" s="303" t="s">
        <v>7906</v>
      </c>
      <c r="J3136" s="659">
        <v>12030000</v>
      </c>
    </row>
    <row r="3137" spans="1:10" ht="78.75">
      <c r="A3137" s="658" t="s">
        <v>3882</v>
      </c>
      <c r="B3137" s="301" t="s">
        <v>8180</v>
      </c>
      <c r="C3137" s="301" t="s">
        <v>8181</v>
      </c>
      <c r="D3137" s="301">
        <v>1</v>
      </c>
      <c r="E3137" s="302">
        <v>6</v>
      </c>
      <c r="F3137" s="303" t="s">
        <v>7905</v>
      </c>
      <c r="G3137" s="489">
        <v>12030000</v>
      </c>
      <c r="H3137" s="301">
        <v>2</v>
      </c>
      <c r="I3137" s="303" t="s">
        <v>7906</v>
      </c>
      <c r="J3137" s="659">
        <v>12030000</v>
      </c>
    </row>
    <row r="3138" spans="1:10" ht="78.75">
      <c r="A3138" s="658" t="s">
        <v>7916</v>
      </c>
      <c r="B3138" s="301" t="s">
        <v>3199</v>
      </c>
      <c r="C3138" s="301" t="s">
        <v>8182</v>
      </c>
      <c r="D3138" s="301">
        <v>3.4</v>
      </c>
      <c r="E3138" s="302">
        <v>6</v>
      </c>
      <c r="F3138" s="303" t="s">
        <v>7905</v>
      </c>
      <c r="G3138" s="489">
        <v>40902000</v>
      </c>
      <c r="H3138" s="301">
        <v>2</v>
      </c>
      <c r="I3138" s="303" t="s">
        <v>7906</v>
      </c>
      <c r="J3138" s="659">
        <v>40902000</v>
      </c>
    </row>
    <row r="3139" spans="1:10" ht="78.75">
      <c r="A3139" s="658" t="s">
        <v>3882</v>
      </c>
      <c r="B3139" s="301" t="s">
        <v>624</v>
      </c>
      <c r="C3139" s="301" t="s">
        <v>8183</v>
      </c>
      <c r="D3139" s="301">
        <v>2.7</v>
      </c>
      <c r="E3139" s="302">
        <v>6</v>
      </c>
      <c r="F3139" s="303" t="s">
        <v>7905</v>
      </c>
      <c r="G3139" s="489">
        <v>5774400</v>
      </c>
      <c r="H3139" s="301">
        <v>2</v>
      </c>
      <c r="I3139" s="303" t="s">
        <v>7906</v>
      </c>
      <c r="J3139" s="659">
        <v>5774400</v>
      </c>
    </row>
    <row r="3140" spans="1:10" ht="45">
      <c r="A3140" s="22" t="s">
        <v>83</v>
      </c>
      <c r="B3140" s="26" t="s">
        <v>23744</v>
      </c>
      <c r="C3140" s="569" t="s">
        <v>23745</v>
      </c>
      <c r="D3140" s="569">
        <v>10.53</v>
      </c>
      <c r="E3140" s="569">
        <v>22550</v>
      </c>
      <c r="F3140" s="569" t="s">
        <v>23746</v>
      </c>
      <c r="G3140" s="73">
        <v>0</v>
      </c>
      <c r="H3140" s="569" t="s">
        <v>31</v>
      </c>
      <c r="I3140" s="569" t="s">
        <v>23747</v>
      </c>
      <c r="J3140" s="531">
        <v>53333333.333333336</v>
      </c>
    </row>
    <row r="3141" spans="1:10" ht="45">
      <c r="A3141" s="22" t="s">
        <v>83</v>
      </c>
      <c r="B3141" s="26" t="s">
        <v>23744</v>
      </c>
      <c r="C3141" s="569" t="s">
        <v>23748</v>
      </c>
      <c r="D3141" s="569">
        <v>7.9050000000000002</v>
      </c>
      <c r="E3141" s="569">
        <v>22550</v>
      </c>
      <c r="F3141" s="569" t="s">
        <v>23746</v>
      </c>
      <c r="G3141" s="73">
        <v>0</v>
      </c>
      <c r="H3141" s="569" t="s">
        <v>31</v>
      </c>
      <c r="I3141" s="569" t="s">
        <v>23747</v>
      </c>
      <c r="J3141" s="531">
        <v>53333333.333333336</v>
      </c>
    </row>
    <row r="3142" spans="1:10" ht="45">
      <c r="A3142" s="22" t="s">
        <v>83</v>
      </c>
      <c r="B3142" s="26" t="s">
        <v>23744</v>
      </c>
      <c r="C3142" s="569" t="s">
        <v>23749</v>
      </c>
      <c r="D3142" s="569">
        <v>4.12</v>
      </c>
      <c r="E3142" s="569">
        <v>22550</v>
      </c>
      <c r="F3142" s="569" t="s">
        <v>23746</v>
      </c>
      <c r="G3142" s="73">
        <v>0</v>
      </c>
      <c r="H3142" s="569" t="s">
        <v>31</v>
      </c>
      <c r="I3142" s="569" t="s">
        <v>23747</v>
      </c>
      <c r="J3142" s="531">
        <v>53333333.333333336</v>
      </c>
    </row>
    <row r="3143" spans="1:10" ht="45">
      <c r="A3143" s="22" t="s">
        <v>83</v>
      </c>
      <c r="B3143" s="26" t="s">
        <v>23744</v>
      </c>
      <c r="C3143" s="569" t="s">
        <v>23750</v>
      </c>
      <c r="D3143" s="569">
        <v>15.135</v>
      </c>
      <c r="E3143" s="569">
        <v>0</v>
      </c>
      <c r="F3143" s="569" t="s">
        <v>23746</v>
      </c>
      <c r="G3143" s="73">
        <v>0</v>
      </c>
      <c r="H3143" s="569" t="s">
        <v>31</v>
      </c>
      <c r="I3143" s="569" t="s">
        <v>23747</v>
      </c>
      <c r="J3143" s="531">
        <v>170000000</v>
      </c>
    </row>
    <row r="3144" spans="1:10" ht="22.5">
      <c r="A3144" s="22" t="s">
        <v>83</v>
      </c>
      <c r="B3144" s="26" t="s">
        <v>23751</v>
      </c>
      <c r="C3144" s="569" t="s">
        <v>23752</v>
      </c>
      <c r="D3144" s="569">
        <v>9.0350000000000001</v>
      </c>
      <c r="E3144" s="569">
        <v>40</v>
      </c>
      <c r="F3144" s="569" t="s">
        <v>23753</v>
      </c>
      <c r="G3144" s="73">
        <v>0</v>
      </c>
      <c r="H3144" s="569" t="s">
        <v>31</v>
      </c>
      <c r="I3144" s="569" t="s">
        <v>23754</v>
      </c>
      <c r="J3144" s="531">
        <v>5000000</v>
      </c>
    </row>
    <row r="3145" spans="1:10" ht="33.75">
      <c r="A3145" s="22" t="s">
        <v>83</v>
      </c>
      <c r="B3145" s="26" t="s">
        <v>23755</v>
      </c>
      <c r="C3145" s="569" t="s">
        <v>23756</v>
      </c>
      <c r="D3145" s="569">
        <v>16.97</v>
      </c>
      <c r="E3145" s="569">
        <v>350</v>
      </c>
      <c r="F3145" s="569" t="s">
        <v>23757</v>
      </c>
      <c r="G3145" s="73">
        <v>0</v>
      </c>
      <c r="H3145" s="569" t="s">
        <v>31</v>
      </c>
      <c r="I3145" s="569" t="s">
        <v>23758</v>
      </c>
      <c r="J3145" s="531">
        <v>100000000</v>
      </c>
    </row>
    <row r="3146" spans="1:10" ht="33.75">
      <c r="A3146" s="22" t="s">
        <v>83</v>
      </c>
      <c r="B3146" s="26" t="s">
        <v>23759</v>
      </c>
      <c r="C3146" s="569" t="s">
        <v>23760</v>
      </c>
      <c r="D3146" s="569">
        <v>9.0299999999999994</v>
      </c>
      <c r="E3146" s="569">
        <v>9.0299999999999994</v>
      </c>
      <c r="F3146" s="569" t="s">
        <v>23761</v>
      </c>
      <c r="G3146" s="73">
        <v>0</v>
      </c>
      <c r="H3146" s="569" t="s">
        <v>31</v>
      </c>
      <c r="I3146" s="569" t="s">
        <v>23762</v>
      </c>
      <c r="J3146" s="531">
        <v>150473657.8044</v>
      </c>
    </row>
    <row r="3147" spans="1:10" ht="33.75">
      <c r="A3147" s="22" t="s">
        <v>83</v>
      </c>
      <c r="B3147" s="26" t="s">
        <v>23763</v>
      </c>
      <c r="C3147" s="569" t="s">
        <v>23764</v>
      </c>
      <c r="D3147" s="569">
        <v>6.415</v>
      </c>
      <c r="E3147" s="569">
        <v>6.415</v>
      </c>
      <c r="F3147" s="569" t="s">
        <v>23761</v>
      </c>
      <c r="G3147" s="73">
        <v>0</v>
      </c>
      <c r="H3147" s="569" t="s">
        <v>31</v>
      </c>
      <c r="I3147" s="569" t="s">
        <v>23762</v>
      </c>
      <c r="J3147" s="531">
        <v>356326509.71400005</v>
      </c>
    </row>
    <row r="3148" spans="1:10" ht="33.75">
      <c r="A3148" s="22" t="s">
        <v>83</v>
      </c>
      <c r="B3148" s="26" t="s">
        <v>23765</v>
      </c>
      <c r="C3148" s="569" t="s">
        <v>23766</v>
      </c>
      <c r="D3148" s="569">
        <v>2.855</v>
      </c>
      <c r="E3148" s="569">
        <v>2.855</v>
      </c>
      <c r="F3148" s="569" t="s">
        <v>23761</v>
      </c>
      <c r="G3148" s="73">
        <v>0</v>
      </c>
      <c r="H3148" s="569" t="s">
        <v>31</v>
      </c>
      <c r="I3148" s="569" t="s">
        <v>23762</v>
      </c>
      <c r="J3148" s="531">
        <v>158583349.21799999</v>
      </c>
    </row>
    <row r="3149" spans="1:10" ht="22.5">
      <c r="A3149" s="22" t="s">
        <v>83</v>
      </c>
      <c r="B3149" s="26" t="s">
        <v>23767</v>
      </c>
      <c r="C3149" s="569" t="s">
        <v>23768</v>
      </c>
      <c r="D3149" s="569">
        <v>9.0350000000000001</v>
      </c>
      <c r="E3149" s="569">
        <v>22</v>
      </c>
      <c r="F3149" s="569" t="s">
        <v>23769</v>
      </c>
      <c r="G3149" s="73">
        <v>0</v>
      </c>
      <c r="H3149" s="569" t="s">
        <v>31</v>
      </c>
      <c r="I3149" s="569" t="s">
        <v>23770</v>
      </c>
      <c r="J3149" s="531">
        <v>99049499.999999985</v>
      </c>
    </row>
    <row r="3150" spans="1:10" ht="22.5">
      <c r="A3150" s="22" t="s">
        <v>83</v>
      </c>
      <c r="B3150" s="26" t="s">
        <v>23767</v>
      </c>
      <c r="C3150" s="569" t="s">
        <v>23768</v>
      </c>
      <c r="D3150" s="569">
        <v>9.0350000000000001</v>
      </c>
      <c r="E3150" s="569">
        <v>115</v>
      </c>
      <c r="F3150" s="569" t="s">
        <v>23769</v>
      </c>
      <c r="G3150" s="73">
        <v>0</v>
      </c>
      <c r="H3150" s="569" t="s">
        <v>31</v>
      </c>
      <c r="I3150" s="569" t="s">
        <v>23770</v>
      </c>
      <c r="J3150" s="531">
        <v>333833500</v>
      </c>
    </row>
    <row r="3151" spans="1:10" ht="45">
      <c r="A3151" s="22" t="s">
        <v>83</v>
      </c>
      <c r="B3151" s="26" t="s">
        <v>23771</v>
      </c>
      <c r="C3151" s="569" t="s">
        <v>23772</v>
      </c>
      <c r="D3151" s="569">
        <v>9.0350000000000001</v>
      </c>
      <c r="E3151" s="569">
        <v>25</v>
      </c>
      <c r="F3151" s="569" t="s">
        <v>23769</v>
      </c>
      <c r="G3151" s="73">
        <v>0</v>
      </c>
      <c r="H3151" s="569" t="s">
        <v>31</v>
      </c>
      <c r="I3151" s="569" t="s">
        <v>23770</v>
      </c>
      <c r="J3151" s="531">
        <v>396197999.99999994</v>
      </c>
    </row>
    <row r="3152" spans="1:10" ht="15.75">
      <c r="A3152" s="658"/>
      <c r="B3152" s="301"/>
      <c r="C3152" s="301"/>
      <c r="D3152" s="301"/>
      <c r="E3152" s="302"/>
      <c r="F3152" s="303"/>
      <c r="G3152" s="489"/>
      <c r="H3152" s="301"/>
      <c r="I3152" s="303"/>
      <c r="J3152" s="659"/>
    </row>
    <row r="3153" spans="1:10" ht="15.75">
      <c r="A3153" s="1013" t="s">
        <v>6444</v>
      </c>
      <c r="B3153" s="1014"/>
      <c r="C3153" s="1014"/>
      <c r="D3153" s="1014"/>
      <c r="E3153" s="1014"/>
      <c r="F3153" s="1014"/>
      <c r="G3153" s="550">
        <f>SUM(G2984:G3152)</f>
        <v>6129116900</v>
      </c>
      <c r="H3153" s="564"/>
      <c r="I3153" s="564"/>
      <c r="J3153" s="626">
        <f>SUM(J2984:J3152)</f>
        <v>8058581416.7363997</v>
      </c>
    </row>
    <row r="3154" spans="1:10" ht="15.75">
      <c r="A3154" s="1013" t="s">
        <v>8184</v>
      </c>
      <c r="B3154" s="1014"/>
      <c r="C3154" s="1014"/>
      <c r="D3154" s="1014"/>
      <c r="E3154" s="1014"/>
      <c r="F3154" s="1014"/>
      <c r="G3154" s="1014"/>
      <c r="H3154" s="1014"/>
      <c r="I3154" s="1014"/>
      <c r="J3154" s="1015"/>
    </row>
    <row r="3155" spans="1:10" ht="90">
      <c r="A3155" s="27" t="s">
        <v>8185</v>
      </c>
      <c r="B3155" s="300" t="s">
        <v>8186</v>
      </c>
      <c r="C3155" s="569" t="s">
        <v>8187</v>
      </c>
      <c r="D3155" s="569">
        <v>4.8</v>
      </c>
      <c r="E3155" s="569">
        <v>14</v>
      </c>
      <c r="F3155" s="569" t="s">
        <v>8188</v>
      </c>
      <c r="G3155" s="73">
        <v>145000000</v>
      </c>
      <c r="H3155" s="569">
        <v>1</v>
      </c>
      <c r="I3155" s="569" t="s">
        <v>8189</v>
      </c>
      <c r="J3155" s="531">
        <f>+G3155</f>
        <v>145000000</v>
      </c>
    </row>
    <row r="3156" spans="1:10" ht="78.75">
      <c r="A3156" s="27" t="s">
        <v>8185</v>
      </c>
      <c r="B3156" s="300" t="s">
        <v>8190</v>
      </c>
      <c r="C3156" s="569" t="s">
        <v>8191</v>
      </c>
      <c r="D3156" s="569">
        <v>13</v>
      </c>
      <c r="E3156" s="569">
        <v>14</v>
      </c>
      <c r="F3156" s="569" t="s">
        <v>8192</v>
      </c>
      <c r="G3156" s="73">
        <v>350000000</v>
      </c>
      <c r="H3156" s="569">
        <v>1</v>
      </c>
      <c r="I3156" s="569" t="s">
        <v>8193</v>
      </c>
      <c r="J3156" s="531">
        <f t="shared" ref="J3156:J3163" si="25">+G3156</f>
        <v>350000000</v>
      </c>
    </row>
    <row r="3157" spans="1:10" ht="56.25">
      <c r="A3157" s="27" t="s">
        <v>8185</v>
      </c>
      <c r="B3157" s="300" t="s">
        <v>3751</v>
      </c>
      <c r="C3157" s="569" t="s">
        <v>8194</v>
      </c>
      <c r="D3157" s="569">
        <v>10.5</v>
      </c>
      <c r="E3157" s="569">
        <v>14</v>
      </c>
      <c r="F3157" s="569" t="s">
        <v>8195</v>
      </c>
      <c r="G3157" s="73">
        <v>125000000</v>
      </c>
      <c r="H3157" s="569">
        <v>2</v>
      </c>
      <c r="I3157" s="569" t="s">
        <v>8196</v>
      </c>
      <c r="J3157" s="531">
        <f t="shared" si="25"/>
        <v>125000000</v>
      </c>
    </row>
    <row r="3158" spans="1:10" ht="78.75">
      <c r="A3158" s="27" t="s">
        <v>8185</v>
      </c>
      <c r="B3158" s="300" t="s">
        <v>8197</v>
      </c>
      <c r="C3158" s="569" t="s">
        <v>8198</v>
      </c>
      <c r="D3158" s="569">
        <v>9.9</v>
      </c>
      <c r="E3158" s="569">
        <v>14</v>
      </c>
      <c r="F3158" s="569" t="s">
        <v>8199</v>
      </c>
      <c r="G3158" s="73">
        <v>250000000</v>
      </c>
      <c r="H3158" s="569">
        <v>1</v>
      </c>
      <c r="I3158" s="569" t="s">
        <v>8196</v>
      </c>
      <c r="J3158" s="531">
        <f t="shared" si="25"/>
        <v>250000000</v>
      </c>
    </row>
    <row r="3159" spans="1:10" ht="56.25">
      <c r="A3159" s="27" t="s">
        <v>8185</v>
      </c>
      <c r="B3159" s="300" t="s">
        <v>8200</v>
      </c>
      <c r="C3159" s="569" t="s">
        <v>8201</v>
      </c>
      <c r="D3159" s="569">
        <v>6</v>
      </c>
      <c r="E3159" s="569">
        <v>14</v>
      </c>
      <c r="F3159" s="569" t="s">
        <v>8202</v>
      </c>
      <c r="G3159" s="73">
        <v>175000000</v>
      </c>
      <c r="H3159" s="569">
        <v>3</v>
      </c>
      <c r="I3159" s="569" t="s">
        <v>8196</v>
      </c>
      <c r="J3159" s="531">
        <f t="shared" si="25"/>
        <v>175000000</v>
      </c>
    </row>
    <row r="3160" spans="1:10" ht="78.75">
      <c r="A3160" s="27" t="s">
        <v>8203</v>
      </c>
      <c r="B3160" s="300" t="s">
        <v>8204</v>
      </c>
      <c r="C3160" s="569" t="s">
        <v>8205</v>
      </c>
      <c r="D3160" s="569">
        <v>1</v>
      </c>
      <c r="E3160" s="569">
        <v>14</v>
      </c>
      <c r="F3160" s="569" t="s">
        <v>8206</v>
      </c>
      <c r="G3160" s="73">
        <v>98500000</v>
      </c>
      <c r="H3160" s="569">
        <v>1</v>
      </c>
      <c r="I3160" s="569" t="s">
        <v>8207</v>
      </c>
      <c r="J3160" s="531">
        <f t="shared" si="25"/>
        <v>98500000</v>
      </c>
    </row>
    <row r="3161" spans="1:10" ht="112.5">
      <c r="A3161" s="27" t="s">
        <v>8203</v>
      </c>
      <c r="B3161" s="300" t="s">
        <v>3179</v>
      </c>
      <c r="C3161" s="569" t="s">
        <v>8208</v>
      </c>
      <c r="D3161" s="569">
        <v>9.3000000000000007</v>
      </c>
      <c r="E3161" s="569">
        <v>14</v>
      </c>
      <c r="F3161" s="569" t="s">
        <v>8209</v>
      </c>
      <c r="G3161" s="73">
        <v>350000000</v>
      </c>
      <c r="H3161" s="569">
        <v>1</v>
      </c>
      <c r="I3161" s="569" t="s">
        <v>8210</v>
      </c>
      <c r="J3161" s="531">
        <f t="shared" si="25"/>
        <v>350000000</v>
      </c>
    </row>
    <row r="3162" spans="1:10" ht="56.25">
      <c r="A3162" s="27" t="s">
        <v>8203</v>
      </c>
      <c r="B3162" s="300" t="s">
        <v>8211</v>
      </c>
      <c r="C3162" s="569" t="s">
        <v>8212</v>
      </c>
      <c r="D3162" s="569">
        <v>1.8</v>
      </c>
      <c r="E3162" s="569">
        <v>14</v>
      </c>
      <c r="F3162" s="569" t="s">
        <v>8213</v>
      </c>
      <c r="G3162" s="73">
        <v>45000000</v>
      </c>
      <c r="H3162" s="569">
        <v>1</v>
      </c>
      <c r="I3162" s="569" t="s">
        <v>8214</v>
      </c>
      <c r="J3162" s="531">
        <f t="shared" si="25"/>
        <v>45000000</v>
      </c>
    </row>
    <row r="3163" spans="1:10" ht="56.25">
      <c r="A3163" s="27" t="s">
        <v>8203</v>
      </c>
      <c r="B3163" s="300" t="s">
        <v>8215</v>
      </c>
      <c r="C3163" s="617" t="s">
        <v>8216</v>
      </c>
      <c r="D3163" s="569">
        <v>1.9</v>
      </c>
      <c r="E3163" s="569">
        <v>14</v>
      </c>
      <c r="F3163" s="569" t="s">
        <v>8213</v>
      </c>
      <c r="G3163" s="73">
        <v>40000000</v>
      </c>
      <c r="H3163" s="569">
        <v>1</v>
      </c>
      <c r="I3163" s="569" t="s">
        <v>8214</v>
      </c>
      <c r="J3163" s="531">
        <f t="shared" si="25"/>
        <v>40000000</v>
      </c>
    </row>
    <row r="3164" spans="1:10" ht="56.25">
      <c r="A3164" s="22" t="s">
        <v>8203</v>
      </c>
      <c r="B3164" s="26" t="s">
        <v>23885</v>
      </c>
      <c r="C3164" s="569" t="s">
        <v>23886</v>
      </c>
      <c r="D3164" s="569">
        <v>17.135000000000002</v>
      </c>
      <c r="E3164" s="569">
        <v>2</v>
      </c>
      <c r="F3164" s="569" t="s">
        <v>23887</v>
      </c>
      <c r="G3164" s="73">
        <v>0</v>
      </c>
      <c r="H3164" s="569">
        <v>0</v>
      </c>
      <c r="I3164" s="569" t="s">
        <v>23888</v>
      </c>
      <c r="J3164" s="531">
        <v>0</v>
      </c>
    </row>
    <row r="3165" spans="1:10" ht="56.25">
      <c r="A3165" s="22" t="s">
        <v>8203</v>
      </c>
      <c r="B3165" s="26" t="s">
        <v>2057</v>
      </c>
      <c r="C3165" s="569" t="s">
        <v>23889</v>
      </c>
      <c r="D3165" s="569">
        <v>8.76</v>
      </c>
      <c r="E3165" s="569">
        <v>0</v>
      </c>
      <c r="F3165" s="569" t="s">
        <v>23890</v>
      </c>
      <c r="G3165" s="73">
        <v>1250000</v>
      </c>
      <c r="H3165" s="569">
        <v>1</v>
      </c>
      <c r="I3165" s="569" t="s">
        <v>23891</v>
      </c>
      <c r="J3165" s="531">
        <v>1250000</v>
      </c>
    </row>
    <row r="3166" spans="1:10" ht="56.25">
      <c r="A3166" s="22" t="s">
        <v>8203</v>
      </c>
      <c r="B3166" s="26" t="s">
        <v>2057</v>
      </c>
      <c r="C3166" s="569" t="s">
        <v>23892</v>
      </c>
      <c r="D3166" s="569">
        <v>8.76</v>
      </c>
      <c r="E3166" s="569">
        <v>0</v>
      </c>
      <c r="F3166" s="569" t="s">
        <v>23890</v>
      </c>
      <c r="G3166" s="73">
        <v>1250000</v>
      </c>
      <c r="H3166" s="569">
        <v>1</v>
      </c>
      <c r="I3166" s="569" t="s">
        <v>23891</v>
      </c>
      <c r="J3166" s="531">
        <v>1250000</v>
      </c>
    </row>
    <row r="3167" spans="1:10" ht="56.25">
      <c r="A3167" s="22" t="s">
        <v>8203</v>
      </c>
      <c r="B3167" s="26" t="s">
        <v>2057</v>
      </c>
      <c r="C3167" s="569" t="s">
        <v>23893</v>
      </c>
      <c r="D3167" s="569">
        <v>8.76</v>
      </c>
      <c r="E3167" s="569">
        <v>0</v>
      </c>
      <c r="F3167" s="569" t="s">
        <v>23890</v>
      </c>
      <c r="G3167" s="73">
        <v>1250000</v>
      </c>
      <c r="H3167" s="569">
        <v>1</v>
      </c>
      <c r="I3167" s="569" t="s">
        <v>23891</v>
      </c>
      <c r="J3167" s="531">
        <v>1250000</v>
      </c>
    </row>
    <row r="3168" spans="1:10" ht="56.25">
      <c r="A3168" s="22" t="s">
        <v>8203</v>
      </c>
      <c r="B3168" s="26" t="s">
        <v>2057</v>
      </c>
      <c r="C3168" s="569" t="s">
        <v>23894</v>
      </c>
      <c r="D3168" s="569">
        <v>8.76</v>
      </c>
      <c r="E3168" s="569">
        <v>0</v>
      </c>
      <c r="F3168" s="569" t="s">
        <v>23890</v>
      </c>
      <c r="G3168" s="73">
        <v>1250000</v>
      </c>
      <c r="H3168" s="569">
        <v>1</v>
      </c>
      <c r="I3168" s="569" t="s">
        <v>23891</v>
      </c>
      <c r="J3168" s="531">
        <v>1250000</v>
      </c>
    </row>
    <row r="3169" spans="1:10" ht="56.25">
      <c r="A3169" s="22" t="s">
        <v>8203</v>
      </c>
      <c r="B3169" s="26" t="s">
        <v>2057</v>
      </c>
      <c r="C3169" s="569" t="s">
        <v>23895</v>
      </c>
      <c r="D3169" s="569">
        <v>8.76</v>
      </c>
      <c r="E3169" s="569">
        <v>0</v>
      </c>
      <c r="F3169" s="569" t="s">
        <v>23890</v>
      </c>
      <c r="G3169" s="73">
        <v>0</v>
      </c>
      <c r="H3169" s="569">
        <v>0</v>
      </c>
      <c r="I3169" s="569" t="s">
        <v>23896</v>
      </c>
      <c r="J3169" s="531">
        <v>0</v>
      </c>
    </row>
    <row r="3170" spans="1:10" ht="15.75">
      <c r="A3170" s="658"/>
      <c r="B3170" s="301"/>
      <c r="C3170" s="301"/>
      <c r="D3170" s="301"/>
      <c r="E3170" s="302"/>
      <c r="F3170" s="303"/>
      <c r="G3170" s="489"/>
      <c r="H3170" s="301"/>
      <c r="I3170" s="303"/>
      <c r="J3170" s="659"/>
    </row>
    <row r="3171" spans="1:10" ht="15.75">
      <c r="A3171" s="1013" t="s">
        <v>6444</v>
      </c>
      <c r="B3171" s="1014"/>
      <c r="C3171" s="1014"/>
      <c r="D3171" s="1014"/>
      <c r="E3171" s="1014"/>
      <c r="F3171" s="1014"/>
      <c r="G3171" s="550">
        <f>SUM(G3155:G3170)</f>
        <v>1583500000</v>
      </c>
      <c r="H3171" s="564"/>
      <c r="I3171" s="564"/>
      <c r="J3171" s="626">
        <f>SUM(J3155:J3170)</f>
        <v>1583500000</v>
      </c>
    </row>
    <row r="3172" spans="1:10" ht="15.75">
      <c r="A3172" s="1013" t="s">
        <v>8217</v>
      </c>
      <c r="B3172" s="1014"/>
      <c r="C3172" s="1014"/>
      <c r="D3172" s="1014"/>
      <c r="E3172" s="1014"/>
      <c r="F3172" s="1014"/>
      <c r="G3172" s="1014"/>
      <c r="H3172" s="1014"/>
      <c r="I3172" s="1014"/>
      <c r="J3172" s="1015"/>
    </row>
    <row r="3173" spans="1:10" ht="22.5">
      <c r="A3173" s="663" t="s">
        <v>703</v>
      </c>
      <c r="B3173" s="589" t="s">
        <v>8218</v>
      </c>
      <c r="C3173" s="569" t="s">
        <v>8219</v>
      </c>
      <c r="D3173" s="569">
        <v>21</v>
      </c>
      <c r="E3173" s="569">
        <v>8</v>
      </c>
      <c r="F3173" s="569" t="s">
        <v>8220</v>
      </c>
      <c r="G3173" s="73">
        <f>J3173</f>
        <v>22360750</v>
      </c>
      <c r="H3173" s="569">
        <v>1</v>
      </c>
      <c r="I3173" s="569" t="s">
        <v>8221</v>
      </c>
      <c r="J3173" s="531">
        <v>22360750</v>
      </c>
    </row>
    <row r="3174" spans="1:10" ht="22.5">
      <c r="A3174" s="663" t="s">
        <v>703</v>
      </c>
      <c r="B3174" s="589" t="s">
        <v>8222</v>
      </c>
      <c r="C3174" s="569" t="s">
        <v>8223</v>
      </c>
      <c r="D3174" s="569">
        <v>15</v>
      </c>
      <c r="E3174" s="569">
        <v>6</v>
      </c>
      <c r="F3174" s="569" t="s">
        <v>8220</v>
      </c>
      <c r="G3174" s="73">
        <f t="shared" ref="G3174:G3191" si="26">J3174</f>
        <v>16186250</v>
      </c>
      <c r="H3174" s="569">
        <v>1</v>
      </c>
      <c r="I3174" s="569" t="s">
        <v>8221</v>
      </c>
      <c r="J3174" s="531">
        <v>16186250</v>
      </c>
    </row>
    <row r="3175" spans="1:10" ht="22.5">
      <c r="A3175" s="663" t="s">
        <v>703</v>
      </c>
      <c r="B3175" s="589" t="s">
        <v>8224</v>
      </c>
      <c r="C3175" s="569" t="s">
        <v>8225</v>
      </c>
      <c r="D3175" s="569">
        <v>7.5</v>
      </c>
      <c r="E3175" s="569">
        <v>6</v>
      </c>
      <c r="F3175" s="569" t="s">
        <v>8220</v>
      </c>
      <c r="G3175" s="73">
        <f t="shared" si="26"/>
        <v>8143125</v>
      </c>
      <c r="H3175" s="569">
        <v>2</v>
      </c>
      <c r="I3175" s="569" t="s">
        <v>8221</v>
      </c>
      <c r="J3175" s="531">
        <v>8143125</v>
      </c>
    </row>
    <row r="3176" spans="1:10" ht="22.5">
      <c r="A3176" s="663" t="s">
        <v>703</v>
      </c>
      <c r="B3176" s="589" t="s">
        <v>8226</v>
      </c>
      <c r="C3176" s="569" t="s">
        <v>8227</v>
      </c>
      <c r="D3176" s="569">
        <v>3</v>
      </c>
      <c r="E3176" s="569">
        <v>6</v>
      </c>
      <c r="F3176" s="569" t="s">
        <v>8220</v>
      </c>
      <c r="G3176" s="73">
        <f t="shared" si="26"/>
        <v>3737250</v>
      </c>
      <c r="H3176" s="569">
        <v>2</v>
      </c>
      <c r="I3176" s="569" t="s">
        <v>8221</v>
      </c>
      <c r="J3176" s="531">
        <v>3737250</v>
      </c>
    </row>
    <row r="3177" spans="1:10" ht="22.5">
      <c r="A3177" s="663" t="s">
        <v>703</v>
      </c>
      <c r="B3177" s="589" t="s">
        <v>8228</v>
      </c>
      <c r="C3177" s="569" t="s">
        <v>8229</v>
      </c>
      <c r="D3177" s="569">
        <v>13</v>
      </c>
      <c r="E3177" s="569">
        <v>6</v>
      </c>
      <c r="F3177" s="569" t="s">
        <v>8220</v>
      </c>
      <c r="G3177" s="73">
        <f t="shared" si="26"/>
        <v>14894750</v>
      </c>
      <c r="H3177" s="569">
        <v>1</v>
      </c>
      <c r="I3177" s="569" t="s">
        <v>8221</v>
      </c>
      <c r="J3177" s="531">
        <v>14894750</v>
      </c>
    </row>
    <row r="3178" spans="1:10" ht="22.5">
      <c r="A3178" s="663" t="s">
        <v>703</v>
      </c>
      <c r="B3178" s="589" t="s">
        <v>8230</v>
      </c>
      <c r="C3178" s="569" t="s">
        <v>8231</v>
      </c>
      <c r="D3178" s="569">
        <v>12</v>
      </c>
      <c r="E3178" s="569">
        <v>6</v>
      </c>
      <c r="F3178" s="569" t="s">
        <v>8220</v>
      </c>
      <c r="G3178" s="73">
        <f t="shared" si="26"/>
        <v>14249000</v>
      </c>
      <c r="H3178" s="569">
        <v>2</v>
      </c>
      <c r="I3178" s="569" t="s">
        <v>8221</v>
      </c>
      <c r="J3178" s="531">
        <v>14249000</v>
      </c>
    </row>
    <row r="3179" spans="1:10" ht="22.5">
      <c r="A3179" s="663" t="s">
        <v>703</v>
      </c>
      <c r="B3179" s="589" t="s">
        <v>8232</v>
      </c>
      <c r="C3179" s="569" t="s">
        <v>8233</v>
      </c>
      <c r="D3179" s="569">
        <v>10</v>
      </c>
      <c r="E3179" s="569">
        <v>7</v>
      </c>
      <c r="F3179" s="569" t="s">
        <v>8220</v>
      </c>
      <c r="G3179" s="73">
        <f t="shared" si="26"/>
        <v>12096500</v>
      </c>
      <c r="H3179" s="569">
        <v>2</v>
      </c>
      <c r="I3179" s="569" t="s">
        <v>8221</v>
      </c>
      <c r="J3179" s="531">
        <v>12096500</v>
      </c>
    </row>
    <row r="3180" spans="1:10" ht="22.5">
      <c r="A3180" s="663" t="s">
        <v>703</v>
      </c>
      <c r="B3180" s="589" t="s">
        <v>8234</v>
      </c>
      <c r="C3180" s="569" t="s">
        <v>8235</v>
      </c>
      <c r="D3180" s="569">
        <v>4.3</v>
      </c>
      <c r="E3180" s="569">
        <v>8</v>
      </c>
      <c r="F3180" s="569" t="s">
        <v>8220</v>
      </c>
      <c r="G3180" s="73">
        <f t="shared" si="26"/>
        <v>6602300</v>
      </c>
      <c r="H3180" s="569">
        <v>2</v>
      </c>
      <c r="I3180" s="569" t="s">
        <v>8221</v>
      </c>
      <c r="J3180" s="531">
        <v>6602300</v>
      </c>
    </row>
    <row r="3181" spans="1:10" ht="22.5">
      <c r="A3181" s="663" t="s">
        <v>703</v>
      </c>
      <c r="B3181" s="589" t="s">
        <v>8236</v>
      </c>
      <c r="C3181" s="569" t="s">
        <v>8237</v>
      </c>
      <c r="D3181" s="569">
        <v>7</v>
      </c>
      <c r="E3181" s="569">
        <v>6</v>
      </c>
      <c r="F3181" s="569" t="s">
        <v>8220</v>
      </c>
      <c r="G3181" s="73">
        <f t="shared" si="26"/>
        <v>12427000</v>
      </c>
      <c r="H3181" s="569">
        <v>3</v>
      </c>
      <c r="I3181" s="569" t="s">
        <v>8221</v>
      </c>
      <c r="J3181" s="531">
        <v>12427000</v>
      </c>
    </row>
    <row r="3182" spans="1:10" ht="22.5">
      <c r="A3182" s="663" t="s">
        <v>703</v>
      </c>
      <c r="B3182" s="589" t="s">
        <v>8238</v>
      </c>
      <c r="C3182" s="569" t="s">
        <v>8239</v>
      </c>
      <c r="D3182" s="569">
        <v>5</v>
      </c>
      <c r="E3182" s="569">
        <v>6</v>
      </c>
      <c r="F3182" s="569" t="s">
        <v>8220</v>
      </c>
      <c r="G3182" s="73">
        <f t="shared" si="26"/>
        <v>7005000</v>
      </c>
      <c r="H3182" s="569">
        <v>3</v>
      </c>
      <c r="I3182" s="569" t="s">
        <v>8221</v>
      </c>
      <c r="J3182" s="531">
        <v>7005000</v>
      </c>
    </row>
    <row r="3183" spans="1:10" ht="22.5">
      <c r="A3183" s="663" t="s">
        <v>703</v>
      </c>
      <c r="B3183" s="589" t="s">
        <v>8240</v>
      </c>
      <c r="C3183" s="569" t="s">
        <v>8241</v>
      </c>
      <c r="D3183" s="569">
        <v>3.5</v>
      </c>
      <c r="E3183" s="569">
        <v>6</v>
      </c>
      <c r="F3183" s="569" t="s">
        <v>8220</v>
      </c>
      <c r="G3183" s="73">
        <f t="shared" si="26"/>
        <v>7713500</v>
      </c>
      <c r="H3183" s="569">
        <v>3</v>
      </c>
      <c r="I3183" s="569" t="s">
        <v>8221</v>
      </c>
      <c r="J3183" s="531">
        <v>7713500</v>
      </c>
    </row>
    <row r="3184" spans="1:10" ht="22.5">
      <c r="A3184" s="663" t="s">
        <v>703</v>
      </c>
      <c r="B3184" s="589" t="s">
        <v>8242</v>
      </c>
      <c r="C3184" s="569" t="s">
        <v>8243</v>
      </c>
      <c r="D3184" s="569">
        <v>10</v>
      </c>
      <c r="E3184" s="569">
        <v>6</v>
      </c>
      <c r="F3184" s="569" t="s">
        <v>8220</v>
      </c>
      <c r="G3184" s="73">
        <f t="shared" si="26"/>
        <v>15110000</v>
      </c>
      <c r="H3184" s="569">
        <v>1</v>
      </c>
      <c r="I3184" s="569" t="s">
        <v>8221</v>
      </c>
      <c r="J3184" s="531">
        <v>15110000</v>
      </c>
    </row>
    <row r="3185" spans="1:10" ht="22.5">
      <c r="A3185" s="663" t="s">
        <v>703</v>
      </c>
      <c r="B3185" s="589" t="s">
        <v>8244</v>
      </c>
      <c r="C3185" s="569" t="s">
        <v>8245</v>
      </c>
      <c r="D3185" s="569">
        <v>1</v>
      </c>
      <c r="E3185" s="569">
        <v>6</v>
      </c>
      <c r="F3185" s="569" t="s">
        <v>8220</v>
      </c>
      <c r="G3185" s="73">
        <f t="shared" si="26"/>
        <v>3361000</v>
      </c>
      <c r="H3185" s="569">
        <v>3</v>
      </c>
      <c r="I3185" s="569" t="s">
        <v>8221</v>
      </c>
      <c r="J3185" s="531">
        <v>3361000</v>
      </c>
    </row>
    <row r="3186" spans="1:10" ht="22.5">
      <c r="A3186" s="663" t="s">
        <v>703</v>
      </c>
      <c r="B3186" s="589" t="s">
        <v>8246</v>
      </c>
      <c r="C3186" s="569" t="s">
        <v>8247</v>
      </c>
      <c r="D3186" s="569">
        <v>2</v>
      </c>
      <c r="E3186" s="569">
        <v>6</v>
      </c>
      <c r="F3186" s="569" t="s">
        <v>8220</v>
      </c>
      <c r="G3186" s="73">
        <f t="shared" si="26"/>
        <v>4422000</v>
      </c>
      <c r="H3186" s="569">
        <v>3</v>
      </c>
      <c r="I3186" s="569" t="s">
        <v>8221</v>
      </c>
      <c r="J3186" s="531">
        <v>4422000</v>
      </c>
    </row>
    <row r="3187" spans="1:10" ht="22.5">
      <c r="A3187" s="663" t="s">
        <v>703</v>
      </c>
      <c r="B3187" s="589" t="s">
        <v>8248</v>
      </c>
      <c r="C3187" s="569" t="s">
        <v>8249</v>
      </c>
      <c r="D3187" s="569">
        <v>1.2</v>
      </c>
      <c r="E3187" s="569">
        <v>6</v>
      </c>
      <c r="F3187" s="569" t="s">
        <v>8220</v>
      </c>
      <c r="G3187" s="73">
        <f t="shared" si="26"/>
        <v>2433200</v>
      </c>
      <c r="H3187" s="569">
        <v>2</v>
      </c>
      <c r="I3187" s="569" t="s">
        <v>8221</v>
      </c>
      <c r="J3187" s="531">
        <v>2433200</v>
      </c>
    </row>
    <row r="3188" spans="1:10" ht="22.5">
      <c r="A3188" s="663" t="s">
        <v>703</v>
      </c>
      <c r="B3188" s="589" t="s">
        <v>8250</v>
      </c>
      <c r="C3188" s="569" t="s">
        <v>8251</v>
      </c>
      <c r="D3188" s="569">
        <v>6.5</v>
      </c>
      <c r="E3188" s="569">
        <v>6</v>
      </c>
      <c r="F3188" s="569" t="s">
        <v>8220</v>
      </c>
      <c r="G3188" s="73">
        <f t="shared" si="26"/>
        <v>9996500</v>
      </c>
      <c r="H3188" s="569">
        <v>3</v>
      </c>
      <c r="I3188" s="569" t="s">
        <v>8221</v>
      </c>
      <c r="J3188" s="531">
        <v>9996500</v>
      </c>
    </row>
    <row r="3189" spans="1:10" ht="22.5">
      <c r="A3189" s="663" t="s">
        <v>703</v>
      </c>
      <c r="B3189" s="589" t="s">
        <v>8252</v>
      </c>
      <c r="C3189" s="569" t="s">
        <v>8253</v>
      </c>
      <c r="D3189" s="569">
        <v>7.2</v>
      </c>
      <c r="E3189" s="569">
        <v>6</v>
      </c>
      <c r="F3189" s="569" t="s">
        <v>8220</v>
      </c>
      <c r="G3189" s="73">
        <f t="shared" si="26"/>
        <v>11399200</v>
      </c>
      <c r="H3189" s="569">
        <v>3</v>
      </c>
      <c r="I3189" s="569" t="s">
        <v>8221</v>
      </c>
      <c r="J3189" s="531">
        <v>11399200</v>
      </c>
    </row>
    <row r="3190" spans="1:10" ht="22.5">
      <c r="A3190" s="663" t="s">
        <v>703</v>
      </c>
      <c r="B3190" s="589" t="s">
        <v>8254</v>
      </c>
      <c r="C3190" s="569" t="s">
        <v>8255</v>
      </c>
      <c r="D3190" s="569">
        <v>2</v>
      </c>
      <c r="E3190" s="569">
        <v>6</v>
      </c>
      <c r="F3190" s="569" t="s">
        <v>8220</v>
      </c>
      <c r="G3190" s="73">
        <f t="shared" si="26"/>
        <v>2322000</v>
      </c>
      <c r="H3190" s="569">
        <v>3</v>
      </c>
      <c r="I3190" s="569" t="s">
        <v>8221</v>
      </c>
      <c r="J3190" s="531">
        <v>2322000</v>
      </c>
    </row>
    <row r="3191" spans="1:10" ht="22.5">
      <c r="A3191" s="663" t="s">
        <v>703</v>
      </c>
      <c r="B3191" s="589" t="s">
        <v>8256</v>
      </c>
      <c r="C3191" s="569" t="s">
        <v>8257</v>
      </c>
      <c r="D3191" s="569">
        <v>3</v>
      </c>
      <c r="E3191" s="569">
        <v>6</v>
      </c>
      <c r="F3191" s="569" t="s">
        <v>8220</v>
      </c>
      <c r="G3191" s="73">
        <f t="shared" si="26"/>
        <v>5183000</v>
      </c>
      <c r="H3191" s="569">
        <v>2</v>
      </c>
      <c r="I3191" s="569" t="s">
        <v>8221</v>
      </c>
      <c r="J3191" s="531">
        <v>5183000</v>
      </c>
    </row>
    <row r="3192" spans="1:10" ht="15.75">
      <c r="A3192" s="658"/>
      <c r="B3192" s="301"/>
      <c r="C3192" s="301"/>
      <c r="D3192" s="301"/>
      <c r="E3192" s="302"/>
      <c r="F3192" s="303"/>
      <c r="G3192" s="489"/>
      <c r="H3192" s="301"/>
      <c r="I3192" s="303"/>
      <c r="J3192" s="659"/>
    </row>
    <row r="3193" spans="1:10" ht="15.75">
      <c r="A3193" s="1013" t="s">
        <v>6444</v>
      </c>
      <c r="B3193" s="1014"/>
      <c r="C3193" s="1014"/>
      <c r="D3193" s="1014"/>
      <c r="E3193" s="1014"/>
      <c r="F3193" s="1014"/>
      <c r="G3193" s="550">
        <f>SUM(G3173:G3192)</f>
        <v>179642325</v>
      </c>
      <c r="H3193" s="564"/>
      <c r="I3193" s="564"/>
      <c r="J3193" s="626">
        <f>SUM(J3173:J3192)</f>
        <v>179642325</v>
      </c>
    </row>
    <row r="3194" spans="1:10" ht="15.75">
      <c r="A3194" s="1013" t="s">
        <v>8259</v>
      </c>
      <c r="B3194" s="1014"/>
      <c r="C3194" s="1014"/>
      <c r="D3194" s="1014"/>
      <c r="E3194" s="1014"/>
      <c r="F3194" s="1014"/>
      <c r="G3194" s="1014"/>
      <c r="H3194" s="1014"/>
      <c r="I3194" s="1014"/>
      <c r="J3194" s="1015"/>
    </row>
    <row r="3195" spans="1:10" ht="56.25">
      <c r="A3195" s="27" t="s">
        <v>8260</v>
      </c>
      <c r="B3195" s="300" t="s">
        <v>8261</v>
      </c>
      <c r="C3195" s="569" t="s">
        <v>8262</v>
      </c>
      <c r="D3195" s="569">
        <v>11</v>
      </c>
      <c r="E3195" s="569">
        <v>5</v>
      </c>
      <c r="F3195" s="569" t="s">
        <v>8263</v>
      </c>
      <c r="G3195" s="73">
        <v>15000000</v>
      </c>
      <c r="H3195" s="569" t="s">
        <v>18</v>
      </c>
      <c r="I3195" s="569" t="s">
        <v>8264</v>
      </c>
      <c r="J3195" s="531">
        <v>82500000</v>
      </c>
    </row>
    <row r="3196" spans="1:10" ht="33.75">
      <c r="A3196" s="27" t="s">
        <v>8260</v>
      </c>
      <c r="B3196" s="300" t="s">
        <v>8261</v>
      </c>
      <c r="C3196" s="569" t="s">
        <v>8265</v>
      </c>
      <c r="D3196" s="569">
        <v>1.3</v>
      </c>
      <c r="E3196" s="569">
        <v>3</v>
      </c>
      <c r="F3196" s="569" t="s">
        <v>724</v>
      </c>
      <c r="G3196" s="73">
        <v>1500000</v>
      </c>
      <c r="H3196" s="569" t="s">
        <v>18</v>
      </c>
      <c r="I3196" s="569" t="s">
        <v>8266</v>
      </c>
      <c r="J3196" s="531">
        <v>5850000</v>
      </c>
    </row>
    <row r="3197" spans="1:10" ht="33.75">
      <c r="A3197" s="27" t="s">
        <v>8260</v>
      </c>
      <c r="B3197" s="300" t="s">
        <v>8261</v>
      </c>
      <c r="C3197" s="569" t="s">
        <v>8267</v>
      </c>
      <c r="D3197" s="569">
        <v>1.9</v>
      </c>
      <c r="E3197" s="569">
        <v>3</v>
      </c>
      <c r="F3197" s="569" t="s">
        <v>8268</v>
      </c>
      <c r="G3197" s="73">
        <v>2000000</v>
      </c>
      <c r="H3197" s="569" t="s">
        <v>18</v>
      </c>
      <c r="I3197" s="569" t="s">
        <v>8266</v>
      </c>
      <c r="J3197" s="531">
        <v>8550000</v>
      </c>
    </row>
    <row r="3198" spans="1:10" ht="33.75">
      <c r="A3198" s="27" t="s">
        <v>8260</v>
      </c>
      <c r="B3198" s="300" t="s">
        <v>8261</v>
      </c>
      <c r="C3198" s="569" t="s">
        <v>8269</v>
      </c>
      <c r="D3198" s="569">
        <v>3.53</v>
      </c>
      <c r="E3198" s="569">
        <v>4</v>
      </c>
      <c r="F3198" s="569" t="s">
        <v>8270</v>
      </c>
      <c r="G3198" s="73">
        <v>3000000</v>
      </c>
      <c r="H3198" s="569" t="s">
        <v>18</v>
      </c>
      <c r="I3198" s="569" t="s">
        <v>8271</v>
      </c>
      <c r="J3198" s="531">
        <v>21180000</v>
      </c>
    </row>
    <row r="3199" spans="1:10" ht="33.75">
      <c r="A3199" s="27" t="s">
        <v>8260</v>
      </c>
      <c r="B3199" s="300" t="s">
        <v>8272</v>
      </c>
      <c r="C3199" s="569" t="s">
        <v>8273</v>
      </c>
      <c r="D3199" s="569">
        <v>2.4</v>
      </c>
      <c r="E3199" s="569">
        <v>6</v>
      </c>
      <c r="F3199" s="569" t="s">
        <v>8270</v>
      </c>
      <c r="G3199" s="73">
        <v>25000000</v>
      </c>
      <c r="H3199" s="569" t="s">
        <v>18</v>
      </c>
      <c r="I3199" s="569" t="s">
        <v>8266</v>
      </c>
      <c r="J3199" s="531">
        <v>21600000</v>
      </c>
    </row>
    <row r="3200" spans="1:10" ht="33.75">
      <c r="A3200" s="27" t="s">
        <v>8260</v>
      </c>
      <c r="B3200" s="300" t="s">
        <v>8272</v>
      </c>
      <c r="C3200" s="569" t="s">
        <v>8274</v>
      </c>
      <c r="D3200" s="569">
        <v>1.3</v>
      </c>
      <c r="E3200" s="569">
        <v>4</v>
      </c>
      <c r="F3200" s="569" t="s">
        <v>8275</v>
      </c>
      <c r="G3200" s="73">
        <v>1500000</v>
      </c>
      <c r="H3200" s="569" t="s">
        <v>18</v>
      </c>
      <c r="I3200" s="569" t="s">
        <v>8266</v>
      </c>
      <c r="J3200" s="531">
        <v>7800000</v>
      </c>
    </row>
    <row r="3201" spans="1:10" ht="33.75">
      <c r="A3201" s="27" t="s">
        <v>8260</v>
      </c>
      <c r="B3201" s="300" t="s">
        <v>8272</v>
      </c>
      <c r="C3201" s="569" t="s">
        <v>8276</v>
      </c>
      <c r="D3201" s="569">
        <v>1.36</v>
      </c>
      <c r="E3201" s="569">
        <v>5</v>
      </c>
      <c r="F3201" s="569" t="s">
        <v>8275</v>
      </c>
      <c r="G3201" s="73">
        <v>2000000</v>
      </c>
      <c r="H3201" s="569" t="s">
        <v>18</v>
      </c>
      <c r="I3201" s="569" t="s">
        <v>8266</v>
      </c>
      <c r="J3201" s="531">
        <v>10200000</v>
      </c>
    </row>
    <row r="3202" spans="1:10" ht="33.75">
      <c r="A3202" s="27" t="s">
        <v>8260</v>
      </c>
      <c r="B3202" s="618" t="s">
        <v>8277</v>
      </c>
      <c r="C3202" s="569" t="s">
        <v>8278</v>
      </c>
      <c r="D3202" s="569">
        <v>4.2</v>
      </c>
      <c r="E3202" s="569">
        <v>4</v>
      </c>
      <c r="F3202" s="569" t="s">
        <v>8275</v>
      </c>
      <c r="G3202" s="73">
        <v>3500000</v>
      </c>
      <c r="H3202" s="569" t="s">
        <v>18</v>
      </c>
      <c r="I3202" s="569" t="s">
        <v>8266</v>
      </c>
      <c r="J3202" s="531">
        <v>25200000</v>
      </c>
    </row>
    <row r="3203" spans="1:10" ht="33.75">
      <c r="A3203" s="27" t="s">
        <v>8260</v>
      </c>
      <c r="B3203" s="300" t="s">
        <v>8279</v>
      </c>
      <c r="C3203" s="569" t="s">
        <v>8280</v>
      </c>
      <c r="D3203" s="569">
        <v>1</v>
      </c>
      <c r="E3203" s="569">
        <v>4</v>
      </c>
      <c r="F3203" s="569" t="s">
        <v>8275</v>
      </c>
      <c r="G3203" s="73">
        <v>1000000</v>
      </c>
      <c r="H3203" s="569" t="s">
        <v>18</v>
      </c>
      <c r="I3203" s="569" t="s">
        <v>8266</v>
      </c>
      <c r="J3203" s="531">
        <v>6000000</v>
      </c>
    </row>
    <row r="3204" spans="1:10" ht="15.75">
      <c r="A3204" s="658"/>
      <c r="B3204" s="301"/>
      <c r="C3204" s="301"/>
      <c r="D3204" s="301"/>
      <c r="E3204" s="302"/>
      <c r="F3204" s="303"/>
      <c r="G3204" s="489"/>
      <c r="H3204" s="301"/>
      <c r="I3204" s="303"/>
      <c r="J3204" s="659"/>
    </row>
    <row r="3205" spans="1:10" ht="15.75">
      <c r="A3205" s="1013" t="s">
        <v>6444</v>
      </c>
      <c r="B3205" s="1014"/>
      <c r="C3205" s="1014"/>
      <c r="D3205" s="1014"/>
      <c r="E3205" s="1014"/>
      <c r="F3205" s="1014"/>
      <c r="G3205" s="550">
        <f>SUM(G3195:G3204)</f>
        <v>54500000</v>
      </c>
      <c r="H3205" s="564"/>
      <c r="I3205" s="564"/>
      <c r="J3205" s="626">
        <f>SUM(J3195:J3204)</f>
        <v>188880000</v>
      </c>
    </row>
    <row r="3206" spans="1:10" ht="15.75">
      <c r="A3206" s="1013" t="s">
        <v>8281</v>
      </c>
      <c r="B3206" s="1014"/>
      <c r="C3206" s="1014"/>
      <c r="D3206" s="1014"/>
      <c r="E3206" s="1014"/>
      <c r="F3206" s="1014"/>
      <c r="G3206" s="1014"/>
      <c r="H3206" s="1014"/>
      <c r="I3206" s="1014"/>
      <c r="J3206" s="1015"/>
    </row>
    <row r="3207" spans="1:10" ht="63">
      <c r="A3207" s="658" t="s">
        <v>5308</v>
      </c>
      <c r="B3207" s="301" t="s">
        <v>8282</v>
      </c>
      <c r="C3207" s="301" t="s">
        <v>8283</v>
      </c>
      <c r="D3207" s="301">
        <v>15</v>
      </c>
      <c r="E3207" s="302">
        <v>6</v>
      </c>
      <c r="F3207" s="303" t="s">
        <v>8284</v>
      </c>
      <c r="G3207" s="489">
        <v>45000000</v>
      </c>
      <c r="H3207" s="301">
        <v>1</v>
      </c>
      <c r="I3207" s="303" t="s">
        <v>8285</v>
      </c>
      <c r="J3207" s="659">
        <v>75000000</v>
      </c>
    </row>
    <row r="3208" spans="1:10" ht="78.75">
      <c r="A3208" s="658" t="s">
        <v>5308</v>
      </c>
      <c r="B3208" s="301" t="s">
        <v>8286</v>
      </c>
      <c r="C3208" s="301" t="s">
        <v>8287</v>
      </c>
      <c r="D3208" s="301">
        <v>10</v>
      </c>
      <c r="E3208" s="302">
        <v>6</v>
      </c>
      <c r="F3208" s="303" t="s">
        <v>8288</v>
      </c>
      <c r="G3208" s="489">
        <v>40000000</v>
      </c>
      <c r="H3208" s="301">
        <v>2</v>
      </c>
      <c r="I3208" s="303" t="s">
        <v>8285</v>
      </c>
      <c r="J3208" s="659">
        <v>50000000</v>
      </c>
    </row>
    <row r="3209" spans="1:10" ht="63">
      <c r="A3209" s="658" t="s">
        <v>5308</v>
      </c>
      <c r="B3209" s="301" t="s">
        <v>8289</v>
      </c>
      <c r="C3209" s="301" t="s">
        <v>8290</v>
      </c>
      <c r="D3209" s="301">
        <v>3.5</v>
      </c>
      <c r="E3209" s="302">
        <v>6</v>
      </c>
      <c r="F3209" s="303" t="s">
        <v>8288</v>
      </c>
      <c r="G3209" s="489">
        <v>15000000</v>
      </c>
      <c r="H3209" s="301">
        <v>3</v>
      </c>
      <c r="I3209" s="303" t="s">
        <v>8285</v>
      </c>
      <c r="J3209" s="659">
        <v>25000000</v>
      </c>
    </row>
    <row r="3210" spans="1:10" ht="47.25">
      <c r="A3210" s="658" t="s">
        <v>5308</v>
      </c>
      <c r="B3210" s="301" t="s">
        <v>8291</v>
      </c>
      <c r="C3210" s="301" t="s">
        <v>8292</v>
      </c>
      <c r="D3210" s="301">
        <v>0.06</v>
      </c>
      <c r="E3210" s="302">
        <v>6</v>
      </c>
      <c r="F3210" s="303" t="s">
        <v>8293</v>
      </c>
      <c r="G3210" s="489">
        <v>12000000</v>
      </c>
      <c r="H3210" s="301">
        <v>4</v>
      </c>
      <c r="I3210" s="303" t="s">
        <v>8294</v>
      </c>
      <c r="J3210" s="659">
        <v>30000000</v>
      </c>
    </row>
    <row r="3211" spans="1:10" ht="63">
      <c r="A3211" s="658" t="s">
        <v>5308</v>
      </c>
      <c r="B3211" s="301" t="s">
        <v>8295</v>
      </c>
      <c r="C3211" s="301" t="s">
        <v>8296</v>
      </c>
      <c r="D3211" s="301">
        <v>1</v>
      </c>
      <c r="E3211" s="302">
        <v>6</v>
      </c>
      <c r="F3211" s="303" t="s">
        <v>8297</v>
      </c>
      <c r="G3211" s="489">
        <v>25000000</v>
      </c>
      <c r="H3211" s="301">
        <v>5</v>
      </c>
      <c r="I3211" s="303" t="s">
        <v>8285</v>
      </c>
      <c r="J3211" s="659">
        <v>40000000</v>
      </c>
    </row>
    <row r="3212" spans="1:10" ht="63">
      <c r="A3212" s="658" t="s">
        <v>5308</v>
      </c>
      <c r="B3212" s="301" t="s">
        <v>8298</v>
      </c>
      <c r="C3212" s="301" t="s">
        <v>8299</v>
      </c>
      <c r="D3212" s="301">
        <v>2</v>
      </c>
      <c r="E3212" s="302">
        <v>6</v>
      </c>
      <c r="F3212" s="303" t="s">
        <v>8297</v>
      </c>
      <c r="G3212" s="489">
        <v>5000000</v>
      </c>
      <c r="H3212" s="301">
        <v>6</v>
      </c>
      <c r="I3212" s="303" t="s">
        <v>8285</v>
      </c>
      <c r="J3212" s="659">
        <v>15000000</v>
      </c>
    </row>
    <row r="3213" spans="1:10" ht="63">
      <c r="A3213" s="658" t="s">
        <v>5308</v>
      </c>
      <c r="B3213" s="301" t="s">
        <v>8300</v>
      </c>
      <c r="C3213" s="301" t="s">
        <v>8300</v>
      </c>
      <c r="D3213" s="301">
        <v>10</v>
      </c>
      <c r="E3213" s="302">
        <v>6</v>
      </c>
      <c r="F3213" s="303" t="s">
        <v>8297</v>
      </c>
      <c r="G3213" s="489">
        <v>25000000</v>
      </c>
      <c r="H3213" s="301">
        <v>7</v>
      </c>
      <c r="I3213" s="303" t="s">
        <v>8285</v>
      </c>
      <c r="J3213" s="659">
        <v>35000000</v>
      </c>
    </row>
    <row r="3214" spans="1:10" ht="63">
      <c r="A3214" s="658" t="s">
        <v>5308</v>
      </c>
      <c r="B3214" s="301" t="s">
        <v>8301</v>
      </c>
      <c r="C3214" s="301" t="s">
        <v>8302</v>
      </c>
      <c r="D3214" s="301">
        <v>5</v>
      </c>
      <c r="E3214" s="302">
        <v>6</v>
      </c>
      <c r="F3214" s="303" t="s">
        <v>8297</v>
      </c>
      <c r="G3214" s="489">
        <v>5000000</v>
      </c>
      <c r="H3214" s="301">
        <v>8</v>
      </c>
      <c r="I3214" s="303" t="s">
        <v>8285</v>
      </c>
      <c r="J3214" s="659">
        <v>20000000</v>
      </c>
    </row>
    <row r="3215" spans="1:10" ht="63">
      <c r="A3215" s="658" t="s">
        <v>5308</v>
      </c>
      <c r="B3215" s="301" t="s">
        <v>8303</v>
      </c>
      <c r="C3215" s="301" t="s">
        <v>8304</v>
      </c>
      <c r="D3215" s="301">
        <v>12</v>
      </c>
      <c r="E3215" s="302">
        <v>6</v>
      </c>
      <c r="F3215" s="303" t="s">
        <v>8297</v>
      </c>
      <c r="G3215" s="489">
        <v>25000000</v>
      </c>
      <c r="H3215" s="301">
        <v>9</v>
      </c>
      <c r="I3215" s="303" t="s">
        <v>8285</v>
      </c>
      <c r="J3215" s="659">
        <v>40000000</v>
      </c>
    </row>
    <row r="3216" spans="1:10" ht="63">
      <c r="A3216" s="658" t="s">
        <v>5308</v>
      </c>
      <c r="B3216" s="301" t="s">
        <v>8305</v>
      </c>
      <c r="C3216" s="301" t="s">
        <v>8306</v>
      </c>
      <c r="D3216" s="301">
        <v>5</v>
      </c>
      <c r="E3216" s="302">
        <v>6</v>
      </c>
      <c r="F3216" s="303" t="s">
        <v>8284</v>
      </c>
      <c r="G3216" s="489">
        <v>5000000</v>
      </c>
      <c r="H3216" s="301">
        <v>10</v>
      </c>
      <c r="I3216" s="303" t="s">
        <v>8285</v>
      </c>
      <c r="J3216" s="659">
        <v>20000000</v>
      </c>
    </row>
    <row r="3217" spans="1:10" ht="45">
      <c r="A3217" s="634" t="s">
        <v>5308</v>
      </c>
      <c r="B3217" s="375" t="s">
        <v>25133</v>
      </c>
      <c r="C3217" s="375"/>
      <c r="D3217" s="375" t="s">
        <v>25134</v>
      </c>
      <c r="E3217" s="375"/>
      <c r="F3217" s="375" t="s">
        <v>25135</v>
      </c>
      <c r="G3217" s="551" t="s">
        <v>10303</v>
      </c>
      <c r="H3217" s="375"/>
      <c r="I3217" s="375" t="s">
        <v>25136</v>
      </c>
      <c r="J3217" s="508"/>
    </row>
    <row r="3218" spans="1:10" ht="15.75">
      <c r="A3218" s="658"/>
      <c r="B3218" s="301"/>
      <c r="C3218" s="301"/>
      <c r="D3218" s="301"/>
      <c r="E3218" s="302"/>
      <c r="F3218" s="303"/>
      <c r="G3218" s="489"/>
      <c r="H3218" s="301"/>
      <c r="I3218" s="303"/>
      <c r="J3218" s="659"/>
    </row>
    <row r="3219" spans="1:10" ht="15.75">
      <c r="A3219" s="1013" t="s">
        <v>6444</v>
      </c>
      <c r="B3219" s="1014"/>
      <c r="C3219" s="1014"/>
      <c r="D3219" s="1014"/>
      <c r="E3219" s="1014"/>
      <c r="F3219" s="1014"/>
      <c r="G3219" s="550">
        <f>SUM(G3207:G3218)</f>
        <v>202000000</v>
      </c>
      <c r="H3219" s="564"/>
      <c r="I3219" s="564"/>
      <c r="J3219" s="626">
        <f>SUM(J3207:J3218)</f>
        <v>350000000</v>
      </c>
    </row>
    <row r="3220" spans="1:10" ht="15.75">
      <c r="A3220" s="1013"/>
      <c r="B3220" s="1014"/>
      <c r="C3220" s="1014"/>
      <c r="D3220" s="1014"/>
      <c r="E3220" s="1014"/>
      <c r="F3220" s="1014"/>
      <c r="G3220" s="1014"/>
      <c r="H3220" s="1014"/>
      <c r="I3220" s="1014"/>
      <c r="J3220" s="1015"/>
    </row>
    <row r="3221" spans="1:10">
      <c r="A3221" s="664"/>
      <c r="B3221" s="13"/>
      <c r="C3221" s="13"/>
      <c r="D3221" s="13"/>
      <c r="E3221" s="13"/>
      <c r="F3221" s="13"/>
      <c r="G3221" s="619"/>
      <c r="H3221" s="13"/>
      <c r="I3221" s="13"/>
      <c r="J3221" s="665"/>
    </row>
    <row r="3222" spans="1:10" ht="16.5" thickBot="1">
      <c r="A3222" s="1036" t="s">
        <v>91</v>
      </c>
      <c r="B3222" s="1037"/>
      <c r="C3222" s="1037"/>
      <c r="D3222" s="1037"/>
      <c r="E3222" s="1037"/>
      <c r="F3222" s="1037"/>
      <c r="G3222" s="666">
        <f>+G3219+G3205+G3193+G3171+G3153+G2982+G2966+G2947+G2924+G2891+G2830+G2802+G2675+G2658+G2544+G2513+G2508+G2327+G2263+G2233+G2153+G2095+G2068+G1933+G1884+G1826+G1823+G1820+G1761+G1724+G1708+G1705+G1673+G1654+G1649+G1645+G1637+G1624+G1149+G1144+G1139+G1082+G1042+G1029+G1021+G1014+G973+G963+G944+G902+G686+G650+G517+G513+G252+G233+G229+G225+G222+G200+G162+G95+G73+G9</f>
        <v>64330414385.100746</v>
      </c>
      <c r="H3222" s="667"/>
      <c r="I3222" s="667"/>
      <c r="J3222" s="668">
        <f>+J3219+J3205+J3193+J3171+J3153+J2982+J2966+J2947+J2924+J2891+J2830+J2802+J2675+J2658+J2544+J2513+J2508+J2327+J2263+J2233+J2153+J2095+J2068+J1933+J1884+J1826+J1823+J1820+J1761+J1724+J1708+J1705+J1673+J1654+J1649+J1645+J1637+J1624+J1149+J1144+J1139+J1082+J1042+J1029+J1021+J1014+J973+J963+J944+J902+J686+J650+J517+J513+J252+J233+J229+J225+J222+J200+J162+J95+J73+J9</f>
        <v>156198955652.35266</v>
      </c>
    </row>
  </sheetData>
  <mergeCells count="265">
    <mergeCell ref="A3222:F3222"/>
    <mergeCell ref="A1708:F1708"/>
    <mergeCell ref="A1823:F1823"/>
    <mergeCell ref="A1826:F1826"/>
    <mergeCell ref="A1885:J1885"/>
    <mergeCell ref="A2263:F2263"/>
    <mergeCell ref="A3220:J3220"/>
    <mergeCell ref="A963:F963"/>
    <mergeCell ref="A1014:F1014"/>
    <mergeCell ref="A1706:J1706"/>
    <mergeCell ref="A1646:J1646"/>
    <mergeCell ref="A1649:F1649"/>
    <mergeCell ref="A1650:J1650"/>
    <mergeCell ref="A1654:F1654"/>
    <mergeCell ref="A1624:F1624"/>
    <mergeCell ref="A1625:J1625"/>
    <mergeCell ref="A1637:F1637"/>
    <mergeCell ref="A1638:J1638"/>
    <mergeCell ref="A1645:F1645"/>
    <mergeCell ref="F1574:F1581"/>
    <mergeCell ref="I1574:I1581"/>
    <mergeCell ref="F1582:F1607"/>
    <mergeCell ref="I1582:I1607"/>
    <mergeCell ref="F1608:F1616"/>
    <mergeCell ref="A233:F233"/>
    <mergeCell ref="A252:F252"/>
    <mergeCell ref="A513:F513"/>
    <mergeCell ref="A514:J514"/>
    <mergeCell ref="A517:F517"/>
    <mergeCell ref="A650:F650"/>
    <mergeCell ref="A686:F686"/>
    <mergeCell ref="A902:F902"/>
    <mergeCell ref="A944:F944"/>
    <mergeCell ref="A234:J234"/>
    <mergeCell ref="A651:J651"/>
    <mergeCell ref="A903:J903"/>
    <mergeCell ref="A687:J687"/>
    <mergeCell ref="A253:J253"/>
    <mergeCell ref="A9:F9"/>
    <mergeCell ref="A73:F73"/>
    <mergeCell ref="A162:F162"/>
    <mergeCell ref="A200:F200"/>
    <mergeCell ref="A222:F222"/>
    <mergeCell ref="A223:J223"/>
    <mergeCell ref="A225:F225"/>
    <mergeCell ref="A229:F229"/>
    <mergeCell ref="A230:J230"/>
    <mergeCell ref="A163:J163"/>
    <mergeCell ref="A201:J201"/>
    <mergeCell ref="A226:J226"/>
    <mergeCell ref="A74:J74"/>
    <mergeCell ref="A95:F95"/>
    <mergeCell ref="A96:J96"/>
    <mergeCell ref="A10:J10"/>
    <mergeCell ref="I1531:I1556"/>
    <mergeCell ref="F1557:F1573"/>
    <mergeCell ref="I1557:I1573"/>
    <mergeCell ref="F1481:F1494"/>
    <mergeCell ref="I1481:I1494"/>
    <mergeCell ref="F1495:F1505"/>
    <mergeCell ref="I1495:I1505"/>
    <mergeCell ref="F1506:F1523"/>
    <mergeCell ref="I1506:I1523"/>
    <mergeCell ref="A1820:F1820"/>
    <mergeCell ref="A1674:J1674"/>
    <mergeCell ref="A1709:J1709"/>
    <mergeCell ref="A1725:J1725"/>
    <mergeCell ref="A1762:J1762"/>
    <mergeCell ref="I1276:I1304"/>
    <mergeCell ref="F1279:F1295"/>
    <mergeCell ref="F1296:F1304"/>
    <mergeCell ref="F1305:F1311"/>
    <mergeCell ref="I1305:I1311"/>
    <mergeCell ref="F1443:F1456"/>
    <mergeCell ref="I1443:I1455"/>
    <mergeCell ref="I1456:I1470"/>
    <mergeCell ref="F1457:F1470"/>
    <mergeCell ref="F1471:F1480"/>
    <mergeCell ref="I1471:I1480"/>
    <mergeCell ref="F1406:F1415"/>
    <mergeCell ref="I1406:I1426"/>
    <mergeCell ref="F1416:F1426"/>
    <mergeCell ref="F1427:F1442"/>
    <mergeCell ref="I1431:I1442"/>
    <mergeCell ref="F1524:F1530"/>
    <mergeCell ref="I1524:I1530"/>
    <mergeCell ref="F1531:F1556"/>
    <mergeCell ref="A1724:F1724"/>
    <mergeCell ref="A964:J964"/>
    <mergeCell ref="A973:F973"/>
    <mergeCell ref="A1015:J1015"/>
    <mergeCell ref="A1021:F1021"/>
    <mergeCell ref="A1022:J1022"/>
    <mergeCell ref="A1029:F1029"/>
    <mergeCell ref="A1030:J1030"/>
    <mergeCell ref="A1042:F1042"/>
    <mergeCell ref="A1043:J1043"/>
    <mergeCell ref="I1253:I1275"/>
    <mergeCell ref="F1254:F1275"/>
    <mergeCell ref="F1356:F1365"/>
    <mergeCell ref="I1356:I1379"/>
    <mergeCell ref="F1366:F1379"/>
    <mergeCell ref="F1380:F1395"/>
    <mergeCell ref="I1380:I1405"/>
    <mergeCell ref="F1396:F1405"/>
    <mergeCell ref="F1312:F1328"/>
    <mergeCell ref="I1312:I1328"/>
    <mergeCell ref="F1329:F1343"/>
    <mergeCell ref="I1329:I1355"/>
    <mergeCell ref="F1344:F1355"/>
    <mergeCell ref="I1608:I1616"/>
    <mergeCell ref="A2327:F2327"/>
    <mergeCell ref="A1761:F1761"/>
    <mergeCell ref="A1083:J1083"/>
    <mergeCell ref="A1139:F1139"/>
    <mergeCell ref="A1140:J1140"/>
    <mergeCell ref="A1144:F1144"/>
    <mergeCell ref="A1145:J1145"/>
    <mergeCell ref="A1149:F1149"/>
    <mergeCell ref="A1150:J1150"/>
    <mergeCell ref="F1151:F1160"/>
    <mergeCell ref="I1151:I1175"/>
    <mergeCell ref="F1161:F1175"/>
    <mergeCell ref="A1655:J1655"/>
    <mergeCell ref="A1673:F1673"/>
    <mergeCell ref="A1705:F1705"/>
    <mergeCell ref="F1176:F1190"/>
    <mergeCell ref="I1176:I1201"/>
    <mergeCell ref="F1191:F1201"/>
    <mergeCell ref="F1202:F1210"/>
    <mergeCell ref="I1202:I1226"/>
    <mergeCell ref="F1211:F1227"/>
    <mergeCell ref="F1228:F1240"/>
    <mergeCell ref="I1228:I1252"/>
    <mergeCell ref="F1241:F1253"/>
    <mergeCell ref="B1858:B1859"/>
    <mergeCell ref="C1858:C1859"/>
    <mergeCell ref="D1858:D1859"/>
    <mergeCell ref="E1858:E1859"/>
    <mergeCell ref="G1858:G1859"/>
    <mergeCell ref="A2153:F2153"/>
    <mergeCell ref="A2328:J2328"/>
    <mergeCell ref="A2508:F2508"/>
    <mergeCell ref="A1934:J1934"/>
    <mergeCell ref="A2068:F2068"/>
    <mergeCell ref="A2069:J2069"/>
    <mergeCell ref="A2095:F2095"/>
    <mergeCell ref="A2096:J2096"/>
    <mergeCell ref="H1871:H1872"/>
    <mergeCell ref="J1871:J1872"/>
    <mergeCell ref="A1884:F1884"/>
    <mergeCell ref="A1933:F1933"/>
    <mergeCell ref="B1871:B1872"/>
    <mergeCell ref="C1871:C1872"/>
    <mergeCell ref="D1871:D1872"/>
    <mergeCell ref="E1871:E1872"/>
    <mergeCell ref="G1871:G1872"/>
    <mergeCell ref="A2154:J2154"/>
    <mergeCell ref="A2264:J2264"/>
    <mergeCell ref="A1:J1"/>
    <mergeCell ref="A2:J2"/>
    <mergeCell ref="A3:J3"/>
    <mergeCell ref="A4:A6"/>
    <mergeCell ref="B4:E4"/>
    <mergeCell ref="F4:G4"/>
    <mergeCell ref="H4:J4"/>
    <mergeCell ref="D5:E5"/>
    <mergeCell ref="F5:F6"/>
    <mergeCell ref="G5:G6"/>
    <mergeCell ref="H5:H6"/>
    <mergeCell ref="I5:I6"/>
    <mergeCell ref="J5:J6"/>
    <mergeCell ref="B5:B6"/>
    <mergeCell ref="C5:C6"/>
    <mergeCell ref="A2513:F2513"/>
    <mergeCell ref="H1836:H1837"/>
    <mergeCell ref="J1836:J1837"/>
    <mergeCell ref="B1833:B1834"/>
    <mergeCell ref="C1833:C1834"/>
    <mergeCell ref="D1833:D1834"/>
    <mergeCell ref="E1833:E1834"/>
    <mergeCell ref="G1833:G1834"/>
    <mergeCell ref="B1836:B1837"/>
    <mergeCell ref="C1836:C1837"/>
    <mergeCell ref="D1836:D1837"/>
    <mergeCell ref="E1836:E1837"/>
    <mergeCell ref="G1836:G1837"/>
    <mergeCell ref="H1833:H1834"/>
    <mergeCell ref="J1833:J1834"/>
    <mergeCell ref="H1858:H1859"/>
    <mergeCell ref="J1858:J1859"/>
    <mergeCell ref="B1865:B1866"/>
    <mergeCell ref="C1865:C1866"/>
    <mergeCell ref="D1865:D1866"/>
    <mergeCell ref="E1865:E1866"/>
    <mergeCell ref="G1865:G1866"/>
    <mergeCell ref="H1865:H1866"/>
    <mergeCell ref="J1865:J1866"/>
    <mergeCell ref="A1821:J1821"/>
    <mergeCell ref="A1824:J1824"/>
    <mergeCell ref="A974:J974"/>
    <mergeCell ref="A1827:J1827"/>
    <mergeCell ref="H1828:H1829"/>
    <mergeCell ref="J1828:J1829"/>
    <mergeCell ref="B1831:B1832"/>
    <mergeCell ref="A1082:F1082"/>
    <mergeCell ref="A2947:F2947"/>
    <mergeCell ref="C1831:C1832"/>
    <mergeCell ref="D1831:D1832"/>
    <mergeCell ref="E1831:E1832"/>
    <mergeCell ref="G1831:G1832"/>
    <mergeCell ref="H1831:H1832"/>
    <mergeCell ref="J1831:J1832"/>
    <mergeCell ref="B1828:B1829"/>
    <mergeCell ref="C1828:C1829"/>
    <mergeCell ref="D1828:D1829"/>
    <mergeCell ref="E1828:E1829"/>
    <mergeCell ref="G1828:G1829"/>
    <mergeCell ref="A2544:F2544"/>
    <mergeCell ref="A2233:F2233"/>
    <mergeCell ref="A2514:J2514"/>
    <mergeCell ref="A2509:J2509"/>
    <mergeCell ref="A2658:F2658"/>
    <mergeCell ref="A2659:J2659"/>
    <mergeCell ref="A2675:F2675"/>
    <mergeCell ref="A2676:J2676"/>
    <mergeCell ref="A2802:F2802"/>
    <mergeCell ref="A2803:J2803"/>
    <mergeCell ref="A2804:A2824"/>
    <mergeCell ref="B2804:B2812"/>
    <mergeCell ref="C2804:C2812"/>
    <mergeCell ref="D2804:D2812"/>
    <mergeCell ref="E2804:E2812"/>
    <mergeCell ref="B2813:B2815"/>
    <mergeCell ref="C2813:C2815"/>
    <mergeCell ref="D2813:D2815"/>
    <mergeCell ref="E2813:E2815"/>
    <mergeCell ref="B2816:B2822"/>
    <mergeCell ref="C2816:C2822"/>
    <mergeCell ref="D2816:D2822"/>
    <mergeCell ref="E2816:E2822"/>
    <mergeCell ref="A3194:J3194"/>
    <mergeCell ref="A3205:F3205"/>
    <mergeCell ref="A3206:J3206"/>
    <mergeCell ref="A3219:F3219"/>
    <mergeCell ref="A518:J518"/>
    <mergeCell ref="A2234:J2234"/>
    <mergeCell ref="A945:J945"/>
    <mergeCell ref="A2967:J2967"/>
    <mergeCell ref="A2982:F2982"/>
    <mergeCell ref="A2983:J2983"/>
    <mergeCell ref="A3153:F3153"/>
    <mergeCell ref="A3154:J3154"/>
    <mergeCell ref="A3171:F3171"/>
    <mergeCell ref="A3172:J3172"/>
    <mergeCell ref="A3193:F3193"/>
    <mergeCell ref="A2830:F2830"/>
    <mergeCell ref="A2831:J2831"/>
    <mergeCell ref="A2891:F2891"/>
    <mergeCell ref="A2892:J2892"/>
    <mergeCell ref="A2924:F2924"/>
    <mergeCell ref="A2925:J2925"/>
    <mergeCell ref="A2948:J2948"/>
    <mergeCell ref="A2966:F2966"/>
    <mergeCell ref="A2545:J2545"/>
  </mergeCells>
  <printOptions horizontalCentered="1" verticalCentered="1"/>
  <pageMargins left="0.23622047244094491" right="0.23622047244094491" top="0.74803149606299213" bottom="0.74803149606299213" header="0.31496062992125984" footer="0.31496062992125984"/>
  <pageSetup scale="69" orientation="landscape" r:id="rId1"/>
  <headerFooter>
    <oddFooter>&amp;C&amp;P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pageSetUpPr fitToPage="1"/>
  </sheetPr>
  <dimension ref="A1:J560"/>
  <sheetViews>
    <sheetView view="pageBreakPreview" topLeftCell="A546" zoomScale="73" zoomScaleNormal="75" zoomScaleSheetLayoutView="73" workbookViewId="0">
      <selection activeCell="E10" sqref="E10"/>
    </sheetView>
  </sheetViews>
  <sheetFormatPr baseColWidth="10" defaultColWidth="11.42578125" defaultRowHeight="15"/>
  <cols>
    <col min="1" max="1" width="16.28515625" style="1" customWidth="1"/>
    <col min="2" max="2" width="16.140625" customWidth="1"/>
    <col min="3" max="3" width="19.85546875" customWidth="1"/>
    <col min="4" max="4" width="20.85546875" customWidth="1"/>
    <col min="5" max="5" width="28.28515625" customWidth="1"/>
    <col min="6" max="6" width="31.85546875" customWidth="1"/>
    <col min="7" max="7" width="29.42578125" style="431" customWidth="1"/>
    <col min="8" max="8" width="14.28515625" customWidth="1"/>
    <col min="9" max="9" width="35" customWidth="1"/>
    <col min="10" max="10" width="29.42578125" style="459" customWidth="1"/>
    <col min="11" max="11" width="18.85546875" bestFit="1" customWidth="1"/>
  </cols>
  <sheetData>
    <row r="1" spans="1:10" ht="15" customHeight="1">
      <c r="A1" s="1044" t="s">
        <v>0</v>
      </c>
      <c r="B1" s="1045"/>
      <c r="C1" s="1045"/>
      <c r="D1" s="1045"/>
      <c r="E1" s="1045"/>
      <c r="F1" s="1045"/>
      <c r="G1" s="1045"/>
      <c r="H1" s="1045"/>
      <c r="I1" s="1045"/>
      <c r="J1" s="1045"/>
    </row>
    <row r="2" spans="1:10" ht="15" customHeight="1">
      <c r="A2" s="1044" t="s">
        <v>116</v>
      </c>
      <c r="B2" s="1045"/>
      <c r="C2" s="1045"/>
      <c r="D2" s="1045"/>
      <c r="E2" s="1045"/>
      <c r="F2" s="1045"/>
      <c r="G2" s="1045"/>
      <c r="H2" s="1045"/>
      <c r="I2" s="1045"/>
      <c r="J2" s="1045"/>
    </row>
    <row r="3" spans="1:10" ht="15" customHeight="1" thickBot="1">
      <c r="A3" s="1044" t="s">
        <v>20</v>
      </c>
      <c r="B3" s="1045"/>
      <c r="C3" s="1045"/>
      <c r="D3" s="1045"/>
      <c r="E3" s="1045"/>
      <c r="F3" s="1045"/>
      <c r="G3" s="1045"/>
      <c r="H3" s="1045"/>
      <c r="I3" s="1045"/>
      <c r="J3" s="1045"/>
    </row>
    <row r="4" spans="1:10" ht="18.75" customHeight="1">
      <c r="A4" s="1046" t="s">
        <v>1</v>
      </c>
      <c r="B4" s="1048" t="s">
        <v>2</v>
      </c>
      <c r="C4" s="1048"/>
      <c r="D4" s="1048"/>
      <c r="E4" s="1048" t="s">
        <v>21</v>
      </c>
      <c r="F4" s="1048" t="s">
        <v>22</v>
      </c>
      <c r="G4" s="1048"/>
      <c r="H4" s="1048" t="s">
        <v>7</v>
      </c>
      <c r="I4" s="1048"/>
      <c r="J4" s="1050"/>
    </row>
    <row r="5" spans="1:10" ht="48" thickBot="1">
      <c r="A5" s="1047"/>
      <c r="B5" s="835" t="s">
        <v>3</v>
      </c>
      <c r="C5" s="835" t="s">
        <v>23</v>
      </c>
      <c r="D5" s="835" t="s">
        <v>24</v>
      </c>
      <c r="E5" s="1049"/>
      <c r="F5" s="835" t="s">
        <v>25</v>
      </c>
      <c r="G5" s="887" t="s">
        <v>26</v>
      </c>
      <c r="H5" s="835" t="s">
        <v>27</v>
      </c>
      <c r="I5" s="835" t="s">
        <v>28</v>
      </c>
      <c r="J5" s="888" t="s">
        <v>29</v>
      </c>
    </row>
    <row r="6" spans="1:10" ht="15.75">
      <c r="A6" s="1041" t="s">
        <v>1920</v>
      </c>
      <c r="B6" s="1042"/>
      <c r="C6" s="1042"/>
      <c r="D6" s="1042"/>
      <c r="E6" s="1042"/>
      <c r="F6" s="1042"/>
      <c r="G6" s="1042"/>
      <c r="H6" s="1042"/>
      <c r="I6" s="1042"/>
      <c r="J6" s="1043"/>
    </row>
    <row r="7" spans="1:10" ht="25.5">
      <c r="A7" s="22" t="s">
        <v>1137</v>
      </c>
      <c r="B7" s="26" t="s">
        <v>2890</v>
      </c>
      <c r="C7" s="26" t="s">
        <v>2836</v>
      </c>
      <c r="D7" s="26" t="s">
        <v>2891</v>
      </c>
      <c r="E7" s="26" t="s">
        <v>2892</v>
      </c>
      <c r="F7" s="26" t="s">
        <v>2893</v>
      </c>
      <c r="G7" s="381">
        <v>12000000</v>
      </c>
      <c r="H7" s="26">
        <v>1</v>
      </c>
      <c r="I7" s="26" t="s">
        <v>2894</v>
      </c>
      <c r="J7" s="530">
        <v>60000000</v>
      </c>
    </row>
    <row r="8" spans="1:10" ht="38.25">
      <c r="A8" s="22" t="s">
        <v>1137</v>
      </c>
      <c r="B8" s="26" t="s">
        <v>2895</v>
      </c>
      <c r="C8" s="26" t="s">
        <v>2896</v>
      </c>
      <c r="D8" s="26" t="s">
        <v>2891</v>
      </c>
      <c r="E8" s="26" t="s">
        <v>2892</v>
      </c>
      <c r="F8" s="26" t="s">
        <v>2893</v>
      </c>
      <c r="G8" s="381">
        <v>12000000</v>
      </c>
      <c r="H8" s="26">
        <v>3</v>
      </c>
      <c r="I8" s="26" t="s">
        <v>2894</v>
      </c>
      <c r="J8" s="530">
        <v>60000000</v>
      </c>
    </row>
    <row r="9" spans="1:10" ht="25.5">
      <c r="A9" s="22" t="s">
        <v>1137</v>
      </c>
      <c r="B9" s="26" t="s">
        <v>1088</v>
      </c>
      <c r="C9" s="26" t="s">
        <v>2897</v>
      </c>
      <c r="D9" s="26" t="s">
        <v>2898</v>
      </c>
      <c r="E9" s="26" t="s">
        <v>1945</v>
      </c>
      <c r="F9" s="26" t="s">
        <v>2899</v>
      </c>
      <c r="G9" s="381">
        <v>10500000</v>
      </c>
      <c r="H9" s="26">
        <v>1</v>
      </c>
      <c r="I9" s="26" t="s">
        <v>2894</v>
      </c>
      <c r="J9" s="530">
        <v>100000000</v>
      </c>
    </row>
    <row r="10" spans="1:10" ht="25.5">
      <c r="A10" s="22" t="s">
        <v>2900</v>
      </c>
      <c r="B10" s="26" t="s">
        <v>2901</v>
      </c>
      <c r="C10" s="26" t="s">
        <v>2902</v>
      </c>
      <c r="D10" s="26" t="s">
        <v>2903</v>
      </c>
      <c r="E10" s="26" t="s">
        <v>2904</v>
      </c>
      <c r="F10" s="26" t="s">
        <v>2905</v>
      </c>
      <c r="G10" s="381">
        <v>13500000</v>
      </c>
      <c r="H10" s="26">
        <v>1</v>
      </c>
      <c r="I10" s="26" t="s">
        <v>2894</v>
      </c>
      <c r="J10" s="530">
        <v>175000000</v>
      </c>
    </row>
    <row r="11" spans="1:10" ht="25.5">
      <c r="A11" s="22" t="s">
        <v>2053</v>
      </c>
      <c r="B11" s="26" t="s">
        <v>2906</v>
      </c>
      <c r="C11" s="26" t="s">
        <v>2907</v>
      </c>
      <c r="D11" s="26" t="s">
        <v>2903</v>
      </c>
      <c r="E11" s="26" t="s">
        <v>2908</v>
      </c>
      <c r="F11" s="26" t="s">
        <v>2909</v>
      </c>
      <c r="G11" s="381">
        <v>10500000</v>
      </c>
      <c r="H11" s="26">
        <v>1</v>
      </c>
      <c r="I11" s="26" t="s">
        <v>2894</v>
      </c>
      <c r="J11" s="530">
        <v>100000000</v>
      </c>
    </row>
    <row r="12" spans="1:10" ht="25.5">
      <c r="A12" s="22" t="s">
        <v>1137</v>
      </c>
      <c r="B12" s="26" t="s">
        <v>2910</v>
      </c>
      <c r="C12" s="26" t="s">
        <v>2877</v>
      </c>
      <c r="D12" s="26" t="s">
        <v>2898</v>
      </c>
      <c r="E12" s="26" t="s">
        <v>2908</v>
      </c>
      <c r="F12" s="26" t="s">
        <v>2893</v>
      </c>
      <c r="G12" s="381">
        <v>12000000</v>
      </c>
      <c r="H12" s="26">
        <v>1</v>
      </c>
      <c r="I12" s="26" t="s">
        <v>2894</v>
      </c>
      <c r="J12" s="530">
        <v>50000000</v>
      </c>
    </row>
    <row r="13" spans="1:10" ht="25.5">
      <c r="A13" s="22" t="s">
        <v>2053</v>
      </c>
      <c r="B13" s="26" t="s">
        <v>2911</v>
      </c>
      <c r="C13" s="26" t="s">
        <v>2912</v>
      </c>
      <c r="D13" s="26" t="s">
        <v>2903</v>
      </c>
      <c r="E13" s="26" t="s">
        <v>2908</v>
      </c>
      <c r="F13" s="26" t="s">
        <v>2909</v>
      </c>
      <c r="G13" s="381">
        <v>9000000</v>
      </c>
      <c r="H13" s="26">
        <v>1</v>
      </c>
      <c r="I13" s="26" t="s">
        <v>2894</v>
      </c>
      <c r="J13" s="530">
        <v>100000000</v>
      </c>
    </row>
    <row r="14" spans="1:10" ht="25.5">
      <c r="A14" s="22" t="s">
        <v>2913</v>
      </c>
      <c r="B14" s="26" t="s">
        <v>2914</v>
      </c>
      <c r="C14" s="26" t="s">
        <v>2915</v>
      </c>
      <c r="D14" s="26" t="s">
        <v>616</v>
      </c>
      <c r="E14" s="26" t="s">
        <v>2915</v>
      </c>
      <c r="F14" s="26" t="s">
        <v>2909</v>
      </c>
      <c r="G14" s="381">
        <v>25000000</v>
      </c>
      <c r="H14" s="26">
        <v>3</v>
      </c>
      <c r="I14" s="26" t="s">
        <v>2894</v>
      </c>
      <c r="J14" s="530">
        <v>400000000</v>
      </c>
    </row>
    <row r="15" spans="1:10" ht="25.5">
      <c r="A15" s="22" t="s">
        <v>2826</v>
      </c>
      <c r="B15" s="26" t="s">
        <v>2916</v>
      </c>
      <c r="C15" s="26" t="s">
        <v>2844</v>
      </c>
      <c r="D15" s="26" t="s">
        <v>2917</v>
      </c>
      <c r="E15" s="26" t="s">
        <v>2908</v>
      </c>
      <c r="F15" s="26" t="s">
        <v>2909</v>
      </c>
      <c r="G15" s="381">
        <v>11000000</v>
      </c>
      <c r="H15" s="26">
        <v>2</v>
      </c>
      <c r="I15" s="26" t="s">
        <v>2918</v>
      </c>
      <c r="J15" s="530">
        <v>100000000</v>
      </c>
    </row>
    <row r="16" spans="1:10" ht="25.5">
      <c r="A16" s="22" t="s">
        <v>1137</v>
      </c>
      <c r="B16" s="26" t="s">
        <v>2919</v>
      </c>
      <c r="C16" s="26" t="s">
        <v>2920</v>
      </c>
      <c r="D16" s="26" t="s">
        <v>2243</v>
      </c>
      <c r="E16" s="26" t="s">
        <v>2908</v>
      </c>
      <c r="F16" s="26" t="s">
        <v>2909</v>
      </c>
      <c r="G16" s="381">
        <v>13000000</v>
      </c>
      <c r="H16" s="26">
        <v>1</v>
      </c>
      <c r="I16" s="26" t="s">
        <v>2894</v>
      </c>
      <c r="J16" s="530">
        <v>175000000</v>
      </c>
    </row>
    <row r="17" spans="1:10" s="74" customFormat="1" ht="25.5">
      <c r="A17" s="22" t="s">
        <v>1137</v>
      </c>
      <c r="B17" s="26" t="s">
        <v>2921</v>
      </c>
      <c r="C17" s="26" t="s">
        <v>2922</v>
      </c>
      <c r="D17" s="26" t="s">
        <v>2243</v>
      </c>
      <c r="E17" s="26" t="s">
        <v>2908</v>
      </c>
      <c r="F17" s="26" t="s">
        <v>2893</v>
      </c>
      <c r="G17" s="381">
        <v>10500000</v>
      </c>
      <c r="H17" s="26">
        <v>2</v>
      </c>
      <c r="I17" s="26" t="s">
        <v>2923</v>
      </c>
      <c r="J17" s="530">
        <v>50000000</v>
      </c>
    </row>
    <row r="18" spans="1:10" s="74" customFormat="1" ht="15.75">
      <c r="A18" s="1038" t="s">
        <v>189</v>
      </c>
      <c r="B18" s="1039"/>
      <c r="C18" s="1039"/>
      <c r="D18" s="1039"/>
      <c r="E18" s="1039"/>
      <c r="F18" s="1039"/>
      <c r="G18" s="536">
        <f>SUM(G7:G17)</f>
        <v>139000000</v>
      </c>
      <c r="H18" s="567"/>
      <c r="I18" s="567"/>
      <c r="J18" s="977">
        <f>SUM(J7:J17)</f>
        <v>1370000000</v>
      </c>
    </row>
    <row r="19" spans="1:10" ht="15.75">
      <c r="A19" s="1038" t="s">
        <v>1921</v>
      </c>
      <c r="B19" s="1039"/>
      <c r="C19" s="1039"/>
      <c r="D19" s="1039"/>
      <c r="E19" s="1039"/>
      <c r="F19" s="1039"/>
      <c r="G19" s="1039"/>
      <c r="H19" s="1039"/>
      <c r="I19" s="1039"/>
      <c r="J19" s="1040"/>
    </row>
    <row r="20" spans="1:10" ht="114">
      <c r="A20" s="978" t="s">
        <v>2377</v>
      </c>
      <c r="B20" s="68" t="s">
        <v>2378</v>
      </c>
      <c r="C20" s="316" t="s">
        <v>2379</v>
      </c>
      <c r="D20" s="69" t="s">
        <v>2380</v>
      </c>
      <c r="E20" s="69" t="s">
        <v>2381</v>
      </c>
      <c r="F20" s="69" t="s">
        <v>2382</v>
      </c>
      <c r="G20" s="491">
        <v>7000000</v>
      </c>
      <c r="H20" s="69" t="s">
        <v>2296</v>
      </c>
      <c r="I20" s="69" t="s">
        <v>2383</v>
      </c>
      <c r="J20" s="545">
        <v>80000000</v>
      </c>
    </row>
    <row r="21" spans="1:10" ht="114">
      <c r="A21" s="978" t="s">
        <v>2377</v>
      </c>
      <c r="B21" s="68" t="s">
        <v>2384</v>
      </c>
      <c r="C21" s="316" t="s">
        <v>2379</v>
      </c>
      <c r="D21" s="69" t="s">
        <v>1858</v>
      </c>
      <c r="E21" s="69" t="s">
        <v>2385</v>
      </c>
      <c r="F21" s="69" t="s">
        <v>2386</v>
      </c>
      <c r="G21" s="491">
        <v>8000000</v>
      </c>
      <c r="H21" s="316"/>
      <c r="I21" s="69" t="s">
        <v>2387</v>
      </c>
      <c r="J21" s="545">
        <v>45000000</v>
      </c>
    </row>
    <row r="22" spans="1:10" ht="114">
      <c r="A22" s="978" t="s">
        <v>2377</v>
      </c>
      <c r="B22" s="68" t="s">
        <v>2388</v>
      </c>
      <c r="C22" s="316" t="s">
        <v>2389</v>
      </c>
      <c r="D22" s="69" t="s">
        <v>2390</v>
      </c>
      <c r="E22" s="69" t="s">
        <v>2391</v>
      </c>
      <c r="F22" s="69" t="s">
        <v>2392</v>
      </c>
      <c r="G22" s="491">
        <v>8000000</v>
      </c>
      <c r="H22" s="316"/>
      <c r="I22" s="69" t="s">
        <v>2393</v>
      </c>
      <c r="J22" s="540">
        <v>40000000</v>
      </c>
    </row>
    <row r="23" spans="1:10" ht="99.75">
      <c r="A23" s="978" t="s">
        <v>2377</v>
      </c>
      <c r="B23" s="68" t="s">
        <v>2394</v>
      </c>
      <c r="C23" s="316" t="s">
        <v>2395</v>
      </c>
      <c r="D23" s="69" t="s">
        <v>2396</v>
      </c>
      <c r="E23" s="69" t="s">
        <v>2397</v>
      </c>
      <c r="F23" s="69" t="s">
        <v>2398</v>
      </c>
      <c r="G23" s="491">
        <v>10000000</v>
      </c>
      <c r="H23" s="69" t="s">
        <v>2296</v>
      </c>
      <c r="I23" s="963" t="s">
        <v>2399</v>
      </c>
      <c r="J23" s="545">
        <v>60000000</v>
      </c>
    </row>
    <row r="24" spans="1:10" ht="15.75">
      <c r="A24" s="1038" t="s">
        <v>189</v>
      </c>
      <c r="B24" s="1039"/>
      <c r="C24" s="1039"/>
      <c r="D24" s="1039"/>
      <c r="E24" s="1039"/>
      <c r="F24" s="1039"/>
      <c r="G24" s="536">
        <f>SUM(G20:G23)</f>
        <v>33000000</v>
      </c>
      <c r="H24" s="567"/>
      <c r="I24" s="567"/>
      <c r="J24" s="977">
        <f>SUM(J20:J23)</f>
        <v>225000000</v>
      </c>
    </row>
    <row r="25" spans="1:10" ht="15.75">
      <c r="A25" s="1038" t="s">
        <v>1787</v>
      </c>
      <c r="B25" s="1039"/>
      <c r="C25" s="1039"/>
      <c r="D25" s="1039"/>
      <c r="E25" s="1039"/>
      <c r="F25" s="1039"/>
      <c r="G25" s="1039"/>
      <c r="H25" s="1039"/>
      <c r="I25" s="1039"/>
      <c r="J25" s="1040"/>
    </row>
    <row r="26" spans="1:10" ht="24">
      <c r="A26" s="22" t="s">
        <v>1922</v>
      </c>
      <c r="B26" s="26" t="s">
        <v>1923</v>
      </c>
      <c r="C26" s="63" t="s">
        <v>1794</v>
      </c>
      <c r="D26" s="63" t="s">
        <v>1924</v>
      </c>
      <c r="E26" s="63" t="s">
        <v>1925</v>
      </c>
      <c r="F26" s="63" t="s">
        <v>1926</v>
      </c>
      <c r="G26" s="537">
        <v>20000000</v>
      </c>
      <c r="H26" s="50">
        <v>1</v>
      </c>
      <c r="I26" s="50" t="s">
        <v>1927</v>
      </c>
      <c r="J26" s="546">
        <v>85696135.266454577</v>
      </c>
    </row>
    <row r="27" spans="1:10" ht="24">
      <c r="A27" s="22" t="s">
        <v>1788</v>
      </c>
      <c r="B27" s="26" t="s">
        <v>1928</v>
      </c>
      <c r="C27" s="63" t="s">
        <v>1863</v>
      </c>
      <c r="D27" s="63" t="s">
        <v>1929</v>
      </c>
      <c r="E27" s="50" t="s">
        <v>1930</v>
      </c>
      <c r="F27" s="63" t="s">
        <v>1926</v>
      </c>
      <c r="G27" s="537">
        <v>50000000</v>
      </c>
      <c r="H27" s="50">
        <v>2</v>
      </c>
      <c r="I27" s="50" t="s">
        <v>1931</v>
      </c>
      <c r="J27" s="546">
        <v>82268289.855796397</v>
      </c>
    </row>
    <row r="28" spans="1:10" ht="25.5">
      <c r="A28" s="22" t="s">
        <v>1788</v>
      </c>
      <c r="B28" s="26" t="s">
        <v>1932</v>
      </c>
      <c r="C28" s="63" t="s">
        <v>1829</v>
      </c>
      <c r="D28" s="63" t="s">
        <v>1933</v>
      </c>
      <c r="E28" s="50" t="s">
        <v>1930</v>
      </c>
      <c r="F28" s="50" t="s">
        <v>1934</v>
      </c>
      <c r="G28" s="537">
        <v>20000000</v>
      </c>
      <c r="H28" s="50">
        <v>2</v>
      </c>
      <c r="I28" s="50" t="s">
        <v>1931</v>
      </c>
      <c r="J28" s="546">
        <v>102835362.3197455</v>
      </c>
    </row>
    <row r="29" spans="1:10">
      <c r="A29" s="979" t="s">
        <v>57</v>
      </c>
      <c r="B29" s="63" t="s">
        <v>1908</v>
      </c>
      <c r="C29" s="63" t="s">
        <v>1909</v>
      </c>
      <c r="D29" s="63" t="s">
        <v>1858</v>
      </c>
      <c r="E29" s="63" t="s">
        <v>1935</v>
      </c>
      <c r="F29" s="63" t="s">
        <v>1936</v>
      </c>
      <c r="G29" s="537">
        <v>50000000</v>
      </c>
      <c r="H29" s="50">
        <v>1</v>
      </c>
      <c r="I29" s="50" t="s">
        <v>1937</v>
      </c>
      <c r="J29" s="546">
        <v>107977130.43573277</v>
      </c>
    </row>
    <row r="30" spans="1:10" ht="15.75">
      <c r="A30" s="1038" t="s">
        <v>189</v>
      </c>
      <c r="B30" s="1039"/>
      <c r="C30" s="1039"/>
      <c r="D30" s="1039"/>
      <c r="E30" s="1039"/>
      <c r="F30" s="1039"/>
      <c r="G30" s="536">
        <f>SUM(G26:G29)</f>
        <v>140000000</v>
      </c>
      <c r="H30" s="567"/>
      <c r="I30" s="567"/>
      <c r="J30" s="977">
        <f>SUM(J26:J29)</f>
        <v>378776917.87772924</v>
      </c>
    </row>
    <row r="31" spans="1:10" ht="15.75">
      <c r="A31" s="1038" t="s">
        <v>1968</v>
      </c>
      <c r="B31" s="1039"/>
      <c r="C31" s="1039"/>
      <c r="D31" s="1039"/>
      <c r="E31" s="1039"/>
      <c r="F31" s="1039"/>
      <c r="G31" s="1039"/>
      <c r="H31" s="1039"/>
      <c r="I31" s="1039"/>
      <c r="J31" s="1040"/>
    </row>
    <row r="32" spans="1:10" ht="33.75">
      <c r="A32" s="65" t="s">
        <v>1969</v>
      </c>
      <c r="B32" s="21" t="s">
        <v>2079</v>
      </c>
      <c r="C32" s="66" t="s">
        <v>1986</v>
      </c>
      <c r="D32" s="66" t="s">
        <v>2080</v>
      </c>
      <c r="E32" s="66" t="s">
        <v>2081</v>
      </c>
      <c r="F32" s="66" t="s">
        <v>2082</v>
      </c>
      <c r="G32" s="485">
        <v>65000000</v>
      </c>
      <c r="H32" s="66">
        <v>1</v>
      </c>
      <c r="I32" s="66" t="s">
        <v>2083</v>
      </c>
      <c r="J32" s="547">
        <v>240000000</v>
      </c>
    </row>
    <row r="33" spans="1:10">
      <c r="A33" s="65" t="s">
        <v>1969</v>
      </c>
      <c r="B33" s="21" t="s">
        <v>1978</v>
      </c>
      <c r="C33" s="66" t="s">
        <v>2084</v>
      </c>
      <c r="D33" s="66" t="s">
        <v>2085</v>
      </c>
      <c r="E33" s="66" t="s">
        <v>2086</v>
      </c>
      <c r="F33" s="66" t="s">
        <v>2087</v>
      </c>
      <c r="G33" s="485">
        <v>28000000</v>
      </c>
      <c r="H33" s="66">
        <v>1</v>
      </c>
      <c r="I33" s="66" t="s">
        <v>2088</v>
      </c>
      <c r="J33" s="547">
        <v>140000000</v>
      </c>
    </row>
    <row r="34" spans="1:10" ht="33.75">
      <c r="A34" s="65" t="s">
        <v>1989</v>
      </c>
      <c r="B34" s="21" t="s">
        <v>2089</v>
      </c>
      <c r="C34" s="66" t="s">
        <v>2090</v>
      </c>
      <c r="D34" s="66" t="s">
        <v>2091</v>
      </c>
      <c r="E34" s="66" t="s">
        <v>2092</v>
      </c>
      <c r="F34" s="66" t="s">
        <v>2093</v>
      </c>
      <c r="G34" s="485">
        <v>55000000</v>
      </c>
      <c r="H34" s="66">
        <v>1</v>
      </c>
      <c r="I34" s="66" t="s">
        <v>2088</v>
      </c>
      <c r="J34" s="547">
        <v>180000000</v>
      </c>
    </row>
    <row r="35" spans="1:10" ht="22.5">
      <c r="A35" s="65" t="s">
        <v>2094</v>
      </c>
      <c r="B35" s="21" t="s">
        <v>2089</v>
      </c>
      <c r="C35" s="66" t="s">
        <v>2090</v>
      </c>
      <c r="D35" s="66" t="s">
        <v>2095</v>
      </c>
      <c r="E35" s="66" t="s">
        <v>2096</v>
      </c>
      <c r="F35" s="66" t="str">
        <f>+F34</f>
        <v xml:space="preserve">Colapso completo del puente </v>
      </c>
      <c r="G35" s="485">
        <v>40000000</v>
      </c>
      <c r="H35" s="66">
        <v>1</v>
      </c>
      <c r="I35" s="66" t="s">
        <v>2088</v>
      </c>
      <c r="J35" s="547">
        <v>120000000</v>
      </c>
    </row>
    <row r="36" spans="1:10" ht="22.5">
      <c r="A36" s="65" t="s">
        <v>1989</v>
      </c>
      <c r="B36" s="21" t="s">
        <v>2089</v>
      </c>
      <c r="C36" s="66" t="s">
        <v>2090</v>
      </c>
      <c r="D36" s="66" t="s">
        <v>2095</v>
      </c>
      <c r="E36" s="66" t="str">
        <f>+E35</f>
        <v xml:space="preserve">Puente de 6 m de largo, de una vía con bastiones de concreto masivo </v>
      </c>
      <c r="F36" s="66" t="s">
        <v>2082</v>
      </c>
      <c r="G36" s="485">
        <v>40000000</v>
      </c>
      <c r="H36" s="66">
        <v>1</v>
      </c>
      <c r="I36" s="66" t="str">
        <f>+I35</f>
        <v xml:space="preserve">Construcción de un puente de una vía </v>
      </c>
      <c r="J36" s="547">
        <v>120000000</v>
      </c>
    </row>
    <row r="37" spans="1:10" ht="22.5">
      <c r="A37" s="65" t="s">
        <v>1989</v>
      </c>
      <c r="B37" s="21" t="s">
        <v>2089</v>
      </c>
      <c r="C37" s="66" t="s">
        <v>2097</v>
      </c>
      <c r="D37" s="66" t="s">
        <v>2098</v>
      </c>
      <c r="E37" s="66" t="str">
        <f>+E36</f>
        <v xml:space="preserve">Puente de 6 m de largo, de una vía con bastiones de concreto masivo </v>
      </c>
      <c r="F37" s="66" t="s">
        <v>2099</v>
      </c>
      <c r="G37" s="485">
        <v>60000000</v>
      </c>
      <c r="H37" s="66">
        <v>1</v>
      </c>
      <c r="I37" s="66" t="s">
        <v>2100</v>
      </c>
      <c r="J37" s="547">
        <v>200000000</v>
      </c>
    </row>
    <row r="38" spans="1:10" ht="33.75">
      <c r="A38" s="65" t="s">
        <v>2067</v>
      </c>
      <c r="B38" s="21" t="s">
        <v>2067</v>
      </c>
      <c r="C38" s="66" t="s">
        <v>2101</v>
      </c>
      <c r="D38" s="66" t="s">
        <v>616</v>
      </c>
      <c r="E38" s="66" t="s">
        <v>2102</v>
      </c>
      <c r="F38" s="66" t="s">
        <v>2103</v>
      </c>
      <c r="G38" s="485">
        <v>12000000</v>
      </c>
      <c r="H38" s="66">
        <v>1</v>
      </c>
      <c r="I38" s="66" t="s">
        <v>2104</v>
      </c>
      <c r="J38" s="547">
        <v>45000000</v>
      </c>
    </row>
    <row r="39" spans="1:10" ht="45">
      <c r="A39" s="65" t="s">
        <v>2067</v>
      </c>
      <c r="B39" s="21" t="s">
        <v>2067</v>
      </c>
      <c r="C39" s="66" t="s">
        <v>2105</v>
      </c>
      <c r="D39" s="66" t="s">
        <v>1717</v>
      </c>
      <c r="E39" s="66" t="s">
        <v>2106</v>
      </c>
      <c r="F39" s="66" t="s">
        <v>2107</v>
      </c>
      <c r="G39" s="485">
        <v>38000000</v>
      </c>
      <c r="H39" s="66">
        <v>1</v>
      </c>
      <c r="I39" s="66" t="s">
        <v>2108</v>
      </c>
      <c r="J39" s="547">
        <v>200000000</v>
      </c>
    </row>
    <row r="40" spans="1:10" ht="33.75">
      <c r="A40" s="65" t="s">
        <v>2067</v>
      </c>
      <c r="B40" s="21" t="s">
        <v>2067</v>
      </c>
      <c r="C40" s="66" t="s">
        <v>2101</v>
      </c>
      <c r="D40" s="66" t="s">
        <v>1717</v>
      </c>
      <c r="E40" s="66" t="s">
        <v>2109</v>
      </c>
      <c r="F40" s="66" t="s">
        <v>2110</v>
      </c>
      <c r="G40" s="485">
        <v>40000000</v>
      </c>
      <c r="H40" s="66">
        <v>1</v>
      </c>
      <c r="I40" s="66" t="s">
        <v>2111</v>
      </c>
      <c r="J40" s="547">
        <v>120000000</v>
      </c>
    </row>
    <row r="41" spans="1:10" ht="33.75">
      <c r="A41" s="65" t="s">
        <v>2005</v>
      </c>
      <c r="B41" s="21" t="s">
        <v>2112</v>
      </c>
      <c r="C41" s="66" t="s">
        <v>2113</v>
      </c>
      <c r="D41" s="66" t="s">
        <v>2114</v>
      </c>
      <c r="E41" s="66" t="s">
        <v>2115</v>
      </c>
      <c r="F41" s="66" t="s">
        <v>2116</v>
      </c>
      <c r="G41" s="485">
        <v>18000000</v>
      </c>
      <c r="H41" s="66">
        <v>1</v>
      </c>
      <c r="I41" s="66" t="s">
        <v>2117</v>
      </c>
      <c r="J41" s="547">
        <v>220000000</v>
      </c>
    </row>
    <row r="42" spans="1:10" ht="90">
      <c r="A42" s="65" t="s">
        <v>2005</v>
      </c>
      <c r="B42" s="21" t="s">
        <v>2118</v>
      </c>
      <c r="C42" s="66" t="s">
        <v>2119</v>
      </c>
      <c r="D42" s="66" t="s">
        <v>2120</v>
      </c>
      <c r="E42" s="66" t="s">
        <v>2121</v>
      </c>
      <c r="F42" s="66" t="s">
        <v>2122</v>
      </c>
      <c r="G42" s="485">
        <v>20000000</v>
      </c>
      <c r="H42" s="66">
        <v>1</v>
      </c>
      <c r="I42" s="66" t="s">
        <v>2123</v>
      </c>
      <c r="J42" s="547">
        <v>80000000</v>
      </c>
    </row>
    <row r="43" spans="1:10" ht="33.75">
      <c r="A43" s="65" t="s">
        <v>2063</v>
      </c>
      <c r="B43" s="21" t="s">
        <v>2063</v>
      </c>
      <c r="C43" s="66" t="s">
        <v>2124</v>
      </c>
      <c r="D43" s="66" t="s">
        <v>2125</v>
      </c>
      <c r="E43" s="66" t="s">
        <v>2126</v>
      </c>
      <c r="F43" s="66" t="s">
        <v>2127</v>
      </c>
      <c r="G43" s="485">
        <v>10000000</v>
      </c>
      <c r="H43" s="66">
        <v>1</v>
      </c>
      <c r="I43" s="66" t="s">
        <v>2128</v>
      </c>
      <c r="J43" s="547">
        <v>25000000</v>
      </c>
    </row>
    <row r="44" spans="1:10" ht="45">
      <c r="A44" s="65" t="s">
        <v>2020</v>
      </c>
      <c r="B44" s="21" t="s">
        <v>2030</v>
      </c>
      <c r="C44" s="66" t="s">
        <v>2129</v>
      </c>
      <c r="D44" s="66" t="s">
        <v>2114</v>
      </c>
      <c r="E44" s="66" t="s">
        <v>2130</v>
      </c>
      <c r="F44" s="66" t="s">
        <v>2093</v>
      </c>
      <c r="G44" s="485">
        <v>26000000</v>
      </c>
      <c r="H44" s="66">
        <v>1</v>
      </c>
      <c r="I44" s="66" t="s">
        <v>2131</v>
      </c>
      <c r="J44" s="547">
        <v>180000000</v>
      </c>
    </row>
    <row r="45" spans="1:10" ht="33.75">
      <c r="A45" s="65" t="s">
        <v>2020</v>
      </c>
      <c r="B45" s="21" t="s">
        <v>2037</v>
      </c>
      <c r="C45" s="66" t="s">
        <v>2132</v>
      </c>
      <c r="D45" s="66" t="s">
        <v>2133</v>
      </c>
      <c r="E45" s="66" t="s">
        <v>2134</v>
      </c>
      <c r="F45" s="66" t="s">
        <v>2135</v>
      </c>
      <c r="G45" s="485">
        <v>30000000</v>
      </c>
      <c r="H45" s="66">
        <v>1</v>
      </c>
      <c r="I45" s="66" t="s">
        <v>2136</v>
      </c>
      <c r="J45" s="547">
        <v>75000000</v>
      </c>
    </row>
    <row r="46" spans="1:10" ht="22.5">
      <c r="A46" s="65" t="s">
        <v>2020</v>
      </c>
      <c r="B46" s="21" t="s">
        <v>2026</v>
      </c>
      <c r="C46" s="66" t="s">
        <v>2137</v>
      </c>
      <c r="D46" s="66" t="s">
        <v>2138</v>
      </c>
      <c r="E46" s="66" t="s">
        <v>2139</v>
      </c>
      <c r="F46" s="66" t="s">
        <v>2140</v>
      </c>
      <c r="G46" s="485">
        <v>25000000</v>
      </c>
      <c r="H46" s="66">
        <v>1</v>
      </c>
      <c r="I46" s="66" t="s">
        <v>2141</v>
      </c>
      <c r="J46" s="547">
        <v>250000000</v>
      </c>
    </row>
    <row r="47" spans="1:10" ht="33.75">
      <c r="A47" s="65" t="s">
        <v>2041</v>
      </c>
      <c r="B47" s="21" t="s">
        <v>1827</v>
      </c>
      <c r="C47" s="66" t="s">
        <v>2007</v>
      </c>
      <c r="D47" s="66" t="s">
        <v>2142</v>
      </c>
      <c r="E47" s="66" t="s">
        <v>2143</v>
      </c>
      <c r="F47" s="66" t="s">
        <v>2093</v>
      </c>
      <c r="G47" s="485">
        <v>40000000</v>
      </c>
      <c r="H47" s="66">
        <v>1</v>
      </c>
      <c r="I47" s="66" t="s">
        <v>2144</v>
      </c>
      <c r="J47" s="547">
        <v>220000000</v>
      </c>
    </row>
    <row r="48" spans="1:10" ht="33.75">
      <c r="A48" s="65" t="s">
        <v>2041</v>
      </c>
      <c r="B48" s="21" t="s">
        <v>2057</v>
      </c>
      <c r="C48" s="66" t="s">
        <v>2145</v>
      </c>
      <c r="D48" s="66" t="s">
        <v>2146</v>
      </c>
      <c r="E48" s="66" t="s">
        <v>2147</v>
      </c>
      <c r="F48" s="66" t="s">
        <v>2148</v>
      </c>
      <c r="G48" s="485">
        <v>20000000</v>
      </c>
      <c r="H48" s="66">
        <v>1</v>
      </c>
      <c r="I48" s="66" t="s">
        <v>2149</v>
      </c>
      <c r="J48" s="547">
        <v>180000000</v>
      </c>
    </row>
    <row r="49" spans="1:10" ht="15.75">
      <c r="A49" s="1038" t="s">
        <v>189</v>
      </c>
      <c r="B49" s="1039"/>
      <c r="C49" s="1039"/>
      <c r="D49" s="1039"/>
      <c r="E49" s="1039"/>
      <c r="F49" s="1039"/>
      <c r="G49" s="536">
        <f>SUM(G32:G48)</f>
        <v>567000000</v>
      </c>
      <c r="H49" s="567"/>
      <c r="I49" s="567"/>
      <c r="J49" s="977">
        <f>SUM(J32:J48)</f>
        <v>2595000000</v>
      </c>
    </row>
    <row r="50" spans="1:10" ht="15.75">
      <c r="A50" s="1038" t="s">
        <v>2292</v>
      </c>
      <c r="B50" s="1039"/>
      <c r="C50" s="1039"/>
      <c r="D50" s="1039"/>
      <c r="E50" s="1039"/>
      <c r="F50" s="1039"/>
      <c r="G50" s="1039"/>
      <c r="H50" s="1039"/>
      <c r="I50" s="1039"/>
      <c r="J50" s="1040"/>
    </row>
    <row r="51" spans="1:10" ht="78.75">
      <c r="A51" s="51" t="s">
        <v>2338</v>
      </c>
      <c r="B51" s="324" t="s">
        <v>2328</v>
      </c>
      <c r="C51" s="25" t="s">
        <v>2339</v>
      </c>
      <c r="D51" s="25" t="s">
        <v>842</v>
      </c>
      <c r="E51" s="25" t="s">
        <v>2340</v>
      </c>
      <c r="F51" s="25" t="s">
        <v>2341</v>
      </c>
      <c r="G51" s="73">
        <v>25000000</v>
      </c>
      <c r="H51" s="569" t="s">
        <v>2296</v>
      </c>
      <c r="I51" s="25" t="s">
        <v>2342</v>
      </c>
      <c r="J51" s="531">
        <v>250000000</v>
      </c>
    </row>
    <row r="52" spans="1:10" ht="15.75">
      <c r="A52" s="1038" t="s">
        <v>189</v>
      </c>
      <c r="B52" s="1039"/>
      <c r="C52" s="1039"/>
      <c r="D52" s="1039"/>
      <c r="E52" s="1039"/>
      <c r="F52" s="1039"/>
      <c r="G52" s="536">
        <f>SUM(G51)</f>
        <v>25000000</v>
      </c>
      <c r="H52" s="567"/>
      <c r="I52" s="567"/>
      <c r="J52" s="977">
        <f>SUM(J51)</f>
        <v>250000000</v>
      </c>
    </row>
    <row r="53" spans="1:10" ht="15.75">
      <c r="A53" s="1038" t="s">
        <v>2406</v>
      </c>
      <c r="B53" s="1039"/>
      <c r="C53" s="1039"/>
      <c r="D53" s="1039"/>
      <c r="E53" s="1039"/>
      <c r="F53" s="1039"/>
      <c r="G53" s="1039"/>
      <c r="H53" s="1039"/>
      <c r="I53" s="1039"/>
      <c r="J53" s="1040"/>
    </row>
    <row r="54" spans="1:10" ht="114">
      <c r="A54" s="322" t="s">
        <v>2407</v>
      </c>
      <c r="B54" s="964" t="s">
        <v>2408</v>
      </c>
      <c r="C54" s="72" t="s">
        <v>2409</v>
      </c>
      <c r="D54" s="69" t="s">
        <v>2410</v>
      </c>
      <c r="E54" s="69" t="s">
        <v>2411</v>
      </c>
      <c r="F54" s="69" t="s">
        <v>2412</v>
      </c>
      <c r="G54" s="491">
        <v>20000000</v>
      </c>
      <c r="H54" s="69">
        <v>1</v>
      </c>
      <c r="I54" s="69" t="s">
        <v>2413</v>
      </c>
      <c r="J54" s="545">
        <v>120000000</v>
      </c>
    </row>
    <row r="55" spans="1:10" ht="114">
      <c r="A55" s="322" t="s">
        <v>2053</v>
      </c>
      <c r="B55" s="964" t="s">
        <v>2414</v>
      </c>
      <c r="C55" s="72" t="s">
        <v>2415</v>
      </c>
      <c r="D55" s="69" t="s">
        <v>2416</v>
      </c>
      <c r="E55" s="69" t="s">
        <v>2417</v>
      </c>
      <c r="F55" s="69" t="s">
        <v>2418</v>
      </c>
      <c r="G55" s="491">
        <v>22000000</v>
      </c>
      <c r="H55" s="69">
        <v>2</v>
      </c>
      <c r="I55" s="69" t="s">
        <v>2419</v>
      </c>
      <c r="J55" s="545">
        <v>60000000</v>
      </c>
    </row>
    <row r="56" spans="1:10" ht="15.75">
      <c r="A56" s="1038" t="s">
        <v>189</v>
      </c>
      <c r="B56" s="1039"/>
      <c r="C56" s="1039"/>
      <c r="D56" s="1039"/>
      <c r="E56" s="1039"/>
      <c r="F56" s="1039"/>
      <c r="G56" s="536">
        <f>SUM(G54:G55)</f>
        <v>42000000</v>
      </c>
      <c r="H56" s="567"/>
      <c r="I56" s="567"/>
      <c r="J56" s="977">
        <f>SUM(J54:J55)</f>
        <v>180000000</v>
      </c>
    </row>
    <row r="57" spans="1:10" ht="15.75">
      <c r="A57" s="1038" t="s">
        <v>2429</v>
      </c>
      <c r="B57" s="1039"/>
      <c r="C57" s="1039"/>
      <c r="D57" s="1039"/>
      <c r="E57" s="1039"/>
      <c r="F57" s="1039"/>
      <c r="G57" s="1039"/>
      <c r="H57" s="1039"/>
      <c r="I57" s="1039"/>
      <c r="J57" s="1040"/>
    </row>
    <row r="58" spans="1:10" ht="56.25">
      <c r="A58" s="27" t="s">
        <v>2430</v>
      </c>
      <c r="B58" s="300" t="s">
        <v>2465</v>
      </c>
      <c r="C58" s="300" t="s">
        <v>2466</v>
      </c>
      <c r="D58" s="300" t="s">
        <v>2467</v>
      </c>
      <c r="E58" s="25" t="s">
        <v>2468</v>
      </c>
      <c r="F58" s="25" t="s">
        <v>2469</v>
      </c>
      <c r="G58" s="73">
        <v>300000000</v>
      </c>
      <c r="H58" s="569" t="s">
        <v>31</v>
      </c>
      <c r="I58" s="25" t="s">
        <v>2470</v>
      </c>
      <c r="J58" s="531">
        <v>68000000</v>
      </c>
    </row>
    <row r="59" spans="1:10" ht="45">
      <c r="A59" s="51" t="s">
        <v>2430</v>
      </c>
      <c r="B59" s="324" t="s">
        <v>2471</v>
      </c>
      <c r="C59" s="25" t="s">
        <v>2472</v>
      </c>
      <c r="D59" s="25" t="s">
        <v>2467</v>
      </c>
      <c r="E59" s="25" t="s">
        <v>2473</v>
      </c>
      <c r="F59" s="25" t="s">
        <v>2474</v>
      </c>
      <c r="G59" s="73">
        <v>5000000</v>
      </c>
      <c r="H59" s="25" t="s">
        <v>31</v>
      </c>
      <c r="I59" s="25" t="s">
        <v>2475</v>
      </c>
      <c r="J59" s="531">
        <v>300000000</v>
      </c>
    </row>
    <row r="60" spans="1:10" ht="38.25">
      <c r="A60" s="51" t="s">
        <v>2430</v>
      </c>
      <c r="B60" s="324" t="s">
        <v>2476</v>
      </c>
      <c r="C60" s="25" t="s">
        <v>2477</v>
      </c>
      <c r="D60" s="25" t="s">
        <v>2478</v>
      </c>
      <c r="E60" s="25" t="s">
        <v>2473</v>
      </c>
      <c r="F60" s="25" t="s">
        <v>2474</v>
      </c>
      <c r="G60" s="73">
        <v>40000000</v>
      </c>
      <c r="H60" s="25" t="s">
        <v>31</v>
      </c>
      <c r="I60" s="25" t="s">
        <v>2479</v>
      </c>
      <c r="J60" s="531">
        <v>86000000</v>
      </c>
    </row>
    <row r="61" spans="1:10" ht="33.75">
      <c r="A61" s="51" t="s">
        <v>2480</v>
      </c>
      <c r="B61" s="324" t="s">
        <v>2481</v>
      </c>
      <c r="C61" s="25" t="s">
        <v>2482</v>
      </c>
      <c r="D61" s="25" t="s">
        <v>2483</v>
      </c>
      <c r="E61" s="25" t="s">
        <v>2484</v>
      </c>
      <c r="F61" s="25" t="s">
        <v>2485</v>
      </c>
      <c r="G61" s="73">
        <v>20000000</v>
      </c>
      <c r="H61" s="25" t="s">
        <v>31</v>
      </c>
      <c r="I61" s="25" t="s">
        <v>2486</v>
      </c>
      <c r="J61" s="531">
        <v>40000000</v>
      </c>
    </row>
    <row r="62" spans="1:10" ht="25.5">
      <c r="A62" s="27" t="s">
        <v>2487</v>
      </c>
      <c r="B62" s="324" t="s">
        <v>2488</v>
      </c>
      <c r="C62" s="569" t="s">
        <v>2489</v>
      </c>
      <c r="D62" s="569" t="s">
        <v>2490</v>
      </c>
      <c r="E62" s="569" t="s">
        <v>2491</v>
      </c>
      <c r="F62" s="569" t="s">
        <v>2492</v>
      </c>
      <c r="G62" s="429">
        <v>200000000</v>
      </c>
      <c r="H62" s="569" t="s">
        <v>330</v>
      </c>
      <c r="I62" s="569" t="s">
        <v>2493</v>
      </c>
      <c r="J62" s="934">
        <v>300000000</v>
      </c>
    </row>
    <row r="63" spans="1:10">
      <c r="A63" s="51" t="s">
        <v>2430</v>
      </c>
      <c r="B63" s="324" t="s">
        <v>2494</v>
      </c>
      <c r="C63" s="25" t="s">
        <v>2466</v>
      </c>
      <c r="D63" s="25" t="s">
        <v>2467</v>
      </c>
      <c r="E63" s="25" t="s">
        <v>2495</v>
      </c>
      <c r="F63" s="25" t="s">
        <v>2496</v>
      </c>
      <c r="G63" s="429">
        <v>40000000</v>
      </c>
      <c r="H63" s="25" t="s">
        <v>125</v>
      </c>
      <c r="I63" s="25" t="s">
        <v>2497</v>
      </c>
      <c r="J63" s="934">
        <v>45000000</v>
      </c>
    </row>
    <row r="64" spans="1:10" ht="22.5">
      <c r="A64" s="27" t="s">
        <v>2430</v>
      </c>
      <c r="B64" s="300" t="s">
        <v>2494</v>
      </c>
      <c r="C64" s="569" t="s">
        <v>2472</v>
      </c>
      <c r="D64" s="569" t="s">
        <v>2467</v>
      </c>
      <c r="E64" s="569" t="s">
        <v>2498</v>
      </c>
      <c r="F64" s="569" t="s">
        <v>2499</v>
      </c>
      <c r="G64" s="429">
        <v>20000000</v>
      </c>
      <c r="H64" s="569" t="s">
        <v>330</v>
      </c>
      <c r="I64" s="25" t="s">
        <v>2500</v>
      </c>
      <c r="J64" s="934">
        <v>300000000</v>
      </c>
    </row>
    <row r="65" spans="1:10" ht="22.5">
      <c r="A65" s="51" t="s">
        <v>2430</v>
      </c>
      <c r="B65" s="324" t="s">
        <v>2501</v>
      </c>
      <c r="C65" s="25" t="s">
        <v>2477</v>
      </c>
      <c r="D65" s="25" t="s">
        <v>2478</v>
      </c>
      <c r="E65" s="25" t="s">
        <v>2498</v>
      </c>
      <c r="F65" s="25" t="s">
        <v>2499</v>
      </c>
      <c r="G65" s="429">
        <v>75000000</v>
      </c>
      <c r="H65" s="25" t="s">
        <v>125</v>
      </c>
      <c r="I65" s="25" t="s">
        <v>2502</v>
      </c>
      <c r="J65" s="934">
        <v>100000000</v>
      </c>
    </row>
    <row r="66" spans="1:10">
      <c r="A66" s="51" t="s">
        <v>2480</v>
      </c>
      <c r="B66" s="324" t="s">
        <v>19</v>
      </c>
      <c r="C66" s="25" t="s">
        <v>2503</v>
      </c>
      <c r="D66" s="25" t="s">
        <v>2483</v>
      </c>
      <c r="E66" s="25" t="s">
        <v>2491</v>
      </c>
      <c r="F66" s="25" t="s">
        <v>2504</v>
      </c>
      <c r="G66" s="429">
        <v>100000000</v>
      </c>
      <c r="H66" s="25" t="s">
        <v>330</v>
      </c>
      <c r="I66" s="25" t="s">
        <v>364</v>
      </c>
      <c r="J66" s="934">
        <v>250000000</v>
      </c>
    </row>
    <row r="67" spans="1:10" ht="15.75">
      <c r="A67" s="1038" t="s">
        <v>189</v>
      </c>
      <c r="B67" s="1039"/>
      <c r="C67" s="1039"/>
      <c r="D67" s="1039"/>
      <c r="E67" s="1039"/>
      <c r="F67" s="1039"/>
      <c r="G67" s="536">
        <f>SUM(G58:G66)</f>
        <v>800000000</v>
      </c>
      <c r="H67" s="567"/>
      <c r="I67" s="567"/>
      <c r="J67" s="977">
        <f>SUM(J58:J66)</f>
        <v>1489000000</v>
      </c>
    </row>
    <row r="68" spans="1:10" ht="15.75">
      <c r="A68" s="1038" t="s">
        <v>2784</v>
      </c>
      <c r="B68" s="1039"/>
      <c r="C68" s="1039"/>
      <c r="D68" s="1039"/>
      <c r="E68" s="1039"/>
      <c r="F68" s="1039"/>
      <c r="G68" s="1039"/>
      <c r="H68" s="1039"/>
      <c r="I68" s="1039"/>
      <c r="J68" s="1040"/>
    </row>
    <row r="69" spans="1:10">
      <c r="A69" s="22" t="s">
        <v>2595</v>
      </c>
      <c r="B69" s="26" t="s">
        <v>2900</v>
      </c>
      <c r="C69" s="569" t="s">
        <v>3154</v>
      </c>
      <c r="D69" s="569" t="s">
        <v>3155</v>
      </c>
      <c r="E69" s="569" t="s">
        <v>3156</v>
      </c>
      <c r="F69" s="35" t="s">
        <v>3157</v>
      </c>
      <c r="G69" s="73">
        <v>80000000</v>
      </c>
      <c r="H69" s="569">
        <v>1</v>
      </c>
      <c r="I69" s="35" t="s">
        <v>3158</v>
      </c>
      <c r="J69" s="43">
        <v>200000000</v>
      </c>
    </row>
    <row r="70" spans="1:10" ht="33.75">
      <c r="A70" s="22" t="s">
        <v>2525</v>
      </c>
      <c r="B70" s="26" t="s">
        <v>421</v>
      </c>
      <c r="C70" s="569" t="s">
        <v>3159</v>
      </c>
      <c r="D70" s="569" t="s">
        <v>3160</v>
      </c>
      <c r="E70" s="35" t="s">
        <v>3161</v>
      </c>
      <c r="F70" s="35" t="s">
        <v>3162</v>
      </c>
      <c r="G70" s="73">
        <v>50000000</v>
      </c>
      <c r="H70" s="569">
        <v>1</v>
      </c>
      <c r="I70" s="35" t="s">
        <v>3163</v>
      </c>
      <c r="J70" s="43">
        <v>100000000</v>
      </c>
    </row>
    <row r="71" spans="1:10" ht="33.75">
      <c r="A71" s="22" t="s">
        <v>2509</v>
      </c>
      <c r="B71" s="26" t="s">
        <v>3164</v>
      </c>
      <c r="C71" s="569" t="s">
        <v>3165</v>
      </c>
      <c r="D71" s="569" t="s">
        <v>2243</v>
      </c>
      <c r="E71" s="97" t="s">
        <v>3166</v>
      </c>
      <c r="F71" s="35" t="s">
        <v>3167</v>
      </c>
      <c r="G71" s="73">
        <v>60000000</v>
      </c>
      <c r="H71" s="569">
        <v>1</v>
      </c>
      <c r="I71" s="35" t="s">
        <v>3168</v>
      </c>
      <c r="J71" s="43">
        <v>100000000</v>
      </c>
    </row>
    <row r="72" spans="1:10" ht="45">
      <c r="A72" s="22" t="s">
        <v>2525</v>
      </c>
      <c r="B72" s="26" t="s">
        <v>2512</v>
      </c>
      <c r="C72" s="569" t="s">
        <v>3169</v>
      </c>
      <c r="D72" s="569" t="s">
        <v>3170</v>
      </c>
      <c r="E72" s="97" t="s">
        <v>3171</v>
      </c>
      <c r="F72" s="35" t="s">
        <v>3172</v>
      </c>
      <c r="G72" s="73">
        <v>150000000</v>
      </c>
      <c r="H72" s="569">
        <v>1</v>
      </c>
      <c r="I72" s="35" t="s">
        <v>3173</v>
      </c>
      <c r="J72" s="43">
        <v>150000000</v>
      </c>
    </row>
    <row r="73" spans="1:10" ht="33.75">
      <c r="A73" s="22" t="s">
        <v>2598</v>
      </c>
      <c r="B73" s="26" t="s">
        <v>3174</v>
      </c>
      <c r="C73" s="569" t="s">
        <v>3175</v>
      </c>
      <c r="D73" s="569" t="s">
        <v>3176</v>
      </c>
      <c r="E73" s="98" t="s">
        <v>3177</v>
      </c>
      <c r="F73" s="35" t="s">
        <v>3178</v>
      </c>
      <c r="G73" s="73">
        <v>60000000</v>
      </c>
      <c r="H73" s="569">
        <v>1</v>
      </c>
      <c r="I73" s="35" t="s">
        <v>3173</v>
      </c>
      <c r="J73" s="43">
        <v>100000000</v>
      </c>
    </row>
    <row r="74" spans="1:10">
      <c r="A74" s="39" t="s">
        <v>2525</v>
      </c>
      <c r="B74" s="52" t="s">
        <v>3179</v>
      </c>
      <c r="C74" s="25" t="s">
        <v>3180</v>
      </c>
      <c r="D74" s="25" t="s">
        <v>2243</v>
      </c>
      <c r="E74" s="25" t="s">
        <v>3181</v>
      </c>
      <c r="F74" s="109" t="s">
        <v>3182</v>
      </c>
      <c r="G74" s="73">
        <v>50000000</v>
      </c>
      <c r="H74" s="25">
        <v>1</v>
      </c>
      <c r="I74" s="35" t="s">
        <v>3173</v>
      </c>
      <c r="J74" s="43">
        <v>150000000</v>
      </c>
    </row>
    <row r="75" spans="1:10" ht="33.75">
      <c r="A75" s="22" t="s">
        <v>2509</v>
      </c>
      <c r="B75" s="26" t="s">
        <v>3183</v>
      </c>
      <c r="C75" s="569" t="s">
        <v>3184</v>
      </c>
      <c r="D75" s="569" t="s">
        <v>2243</v>
      </c>
      <c r="E75" s="569" t="s">
        <v>3185</v>
      </c>
      <c r="F75" s="35" t="s">
        <v>3186</v>
      </c>
      <c r="G75" s="73">
        <v>150000000</v>
      </c>
      <c r="H75" s="569">
        <v>1</v>
      </c>
      <c r="I75" s="35" t="s">
        <v>3173</v>
      </c>
      <c r="J75" s="43">
        <v>150000000</v>
      </c>
    </row>
    <row r="76" spans="1:10" ht="33.75">
      <c r="A76" s="22" t="s">
        <v>2595</v>
      </c>
      <c r="B76" s="26" t="s">
        <v>3187</v>
      </c>
      <c r="C76" s="569" t="s">
        <v>3154</v>
      </c>
      <c r="D76" s="569" t="s">
        <v>3188</v>
      </c>
      <c r="E76" s="98" t="s">
        <v>3189</v>
      </c>
      <c r="F76" s="35" t="s">
        <v>3190</v>
      </c>
      <c r="G76" s="73">
        <v>150000000</v>
      </c>
      <c r="H76" s="569">
        <v>1</v>
      </c>
      <c r="I76" s="35" t="s">
        <v>3173</v>
      </c>
      <c r="J76" s="43">
        <v>200000000</v>
      </c>
    </row>
    <row r="77" spans="1:10" ht="45">
      <c r="A77" s="22" t="s">
        <v>2595</v>
      </c>
      <c r="B77" s="26" t="s">
        <v>126</v>
      </c>
      <c r="C77" s="569" t="s">
        <v>3191</v>
      </c>
      <c r="D77" s="569" t="s">
        <v>2120</v>
      </c>
      <c r="E77" s="98" t="s">
        <v>3192</v>
      </c>
      <c r="F77" s="35" t="s">
        <v>3193</v>
      </c>
      <c r="G77" s="73">
        <v>50000000</v>
      </c>
      <c r="H77" s="569">
        <v>1</v>
      </c>
      <c r="I77" s="35" t="s">
        <v>3194</v>
      </c>
      <c r="J77" s="43">
        <v>50000000</v>
      </c>
    </row>
    <row r="78" spans="1:10" ht="45">
      <c r="A78" s="22" t="s">
        <v>2525</v>
      </c>
      <c r="B78" s="26" t="s">
        <v>421</v>
      </c>
      <c r="C78" s="569" t="s">
        <v>3159</v>
      </c>
      <c r="D78" s="569" t="s">
        <v>3195</v>
      </c>
      <c r="E78" s="98" t="s">
        <v>3196</v>
      </c>
      <c r="F78" s="35" t="s">
        <v>3197</v>
      </c>
      <c r="G78" s="73">
        <v>75000000</v>
      </c>
      <c r="H78" s="569">
        <v>1</v>
      </c>
      <c r="I78" s="35" t="s">
        <v>3173</v>
      </c>
      <c r="J78" s="43">
        <v>150000000</v>
      </c>
    </row>
    <row r="79" spans="1:10" ht="33.75">
      <c r="A79" s="22" t="s">
        <v>2598</v>
      </c>
      <c r="B79" s="26" t="s">
        <v>3174</v>
      </c>
      <c r="C79" s="569" t="s">
        <v>3175</v>
      </c>
      <c r="D79" s="569" t="s">
        <v>3198</v>
      </c>
      <c r="E79" s="98" t="s">
        <v>3196</v>
      </c>
      <c r="F79" s="35" t="s">
        <v>3178</v>
      </c>
      <c r="G79" s="73">
        <v>75000000</v>
      </c>
      <c r="H79" s="569">
        <v>1</v>
      </c>
      <c r="I79" s="35" t="s">
        <v>3173</v>
      </c>
      <c r="J79" s="43">
        <v>150000000</v>
      </c>
    </row>
    <row r="80" spans="1:10" ht="33.75">
      <c r="A80" s="22" t="s">
        <v>2598</v>
      </c>
      <c r="B80" s="26" t="s">
        <v>3199</v>
      </c>
      <c r="C80" s="569" t="s">
        <v>3200</v>
      </c>
      <c r="D80" s="569" t="s">
        <v>3201</v>
      </c>
      <c r="E80" s="98" t="s">
        <v>3202</v>
      </c>
      <c r="F80" s="35" t="s">
        <v>3203</v>
      </c>
      <c r="G80" s="73">
        <v>50000000</v>
      </c>
      <c r="H80" s="569">
        <v>2</v>
      </c>
      <c r="I80" s="35" t="s">
        <v>3204</v>
      </c>
      <c r="J80" s="43">
        <v>65000000</v>
      </c>
    </row>
    <row r="81" spans="1:10">
      <c r="A81" s="22" t="s">
        <v>2595</v>
      </c>
      <c r="B81" s="26" t="s">
        <v>3187</v>
      </c>
      <c r="C81" s="569" t="s">
        <v>3205</v>
      </c>
      <c r="D81" s="569" t="s">
        <v>3206</v>
      </c>
      <c r="E81" s="35" t="s">
        <v>3207</v>
      </c>
      <c r="F81" s="35" t="s">
        <v>3208</v>
      </c>
      <c r="G81" s="73">
        <v>10000000</v>
      </c>
      <c r="H81" s="569">
        <v>2</v>
      </c>
      <c r="I81" s="35" t="s">
        <v>3209</v>
      </c>
      <c r="J81" s="43">
        <v>10000000</v>
      </c>
    </row>
    <row r="82" spans="1:10" ht="45">
      <c r="A82" s="22" t="s">
        <v>2509</v>
      </c>
      <c r="B82" s="26" t="s">
        <v>3210</v>
      </c>
      <c r="C82" s="569" t="s">
        <v>3184</v>
      </c>
      <c r="D82" s="569" t="s">
        <v>2243</v>
      </c>
      <c r="E82" s="99" t="s">
        <v>3211</v>
      </c>
      <c r="F82" s="35" t="s">
        <v>3172</v>
      </c>
      <c r="G82" s="73">
        <v>25000000</v>
      </c>
      <c r="H82" s="569">
        <v>2</v>
      </c>
      <c r="I82" s="35" t="s">
        <v>3212</v>
      </c>
      <c r="J82" s="43">
        <v>25000000</v>
      </c>
    </row>
    <row r="83" spans="1:10" ht="22.5">
      <c r="A83" s="22" t="s">
        <v>2509</v>
      </c>
      <c r="B83" s="26" t="s">
        <v>3213</v>
      </c>
      <c r="C83" s="569" t="s">
        <v>3184</v>
      </c>
      <c r="D83" s="569" t="s">
        <v>2243</v>
      </c>
      <c r="E83" s="99" t="s">
        <v>3201</v>
      </c>
      <c r="F83" s="35" t="s">
        <v>3214</v>
      </c>
      <c r="G83" s="73">
        <v>125000000</v>
      </c>
      <c r="H83" s="569">
        <v>2</v>
      </c>
      <c r="I83" s="35" t="s">
        <v>3173</v>
      </c>
      <c r="J83" s="43">
        <v>125000000</v>
      </c>
    </row>
    <row r="84" spans="1:10" ht="45">
      <c r="A84" s="22" t="s">
        <v>2509</v>
      </c>
      <c r="B84" s="26" t="s">
        <v>3215</v>
      </c>
      <c r="C84" s="569" t="s">
        <v>3216</v>
      </c>
      <c r="D84" s="569" t="s">
        <v>2243</v>
      </c>
      <c r="E84" s="99" t="s">
        <v>3211</v>
      </c>
      <c r="F84" s="35" t="s">
        <v>3217</v>
      </c>
      <c r="G84" s="73">
        <v>25000000</v>
      </c>
      <c r="H84" s="569">
        <v>2</v>
      </c>
      <c r="I84" s="35" t="s">
        <v>3212</v>
      </c>
      <c r="J84" s="43">
        <v>25000000</v>
      </c>
    </row>
    <row r="85" spans="1:10" ht="45">
      <c r="A85" s="22" t="s">
        <v>2525</v>
      </c>
      <c r="B85" s="26" t="s">
        <v>3179</v>
      </c>
      <c r="C85" s="569" t="s">
        <v>3184</v>
      </c>
      <c r="D85" s="569" t="s">
        <v>2243</v>
      </c>
      <c r="E85" s="99" t="s">
        <v>3211</v>
      </c>
      <c r="F85" s="35" t="s">
        <v>3217</v>
      </c>
      <c r="G85" s="73">
        <v>25000000</v>
      </c>
      <c r="H85" s="569">
        <v>2</v>
      </c>
      <c r="I85" s="35" t="s">
        <v>3212</v>
      </c>
      <c r="J85" s="43">
        <v>25000000</v>
      </c>
    </row>
    <row r="86" spans="1:10" ht="45">
      <c r="A86" s="22" t="s">
        <v>2525</v>
      </c>
      <c r="B86" s="26" t="s">
        <v>3213</v>
      </c>
      <c r="C86" s="569" t="s">
        <v>3184</v>
      </c>
      <c r="D86" s="569" t="s">
        <v>2243</v>
      </c>
      <c r="E86" s="99" t="s">
        <v>3211</v>
      </c>
      <c r="F86" s="35" t="s">
        <v>3217</v>
      </c>
      <c r="G86" s="73">
        <v>25000000</v>
      </c>
      <c r="H86" s="569">
        <v>2</v>
      </c>
      <c r="I86" s="35" t="s">
        <v>3212</v>
      </c>
      <c r="J86" s="43">
        <v>25000000</v>
      </c>
    </row>
    <row r="87" spans="1:10" ht="56.25">
      <c r="A87" s="22" t="s">
        <v>2598</v>
      </c>
      <c r="B87" s="26" t="s">
        <v>3218</v>
      </c>
      <c r="C87" s="569" t="s">
        <v>3175</v>
      </c>
      <c r="D87" s="569" t="s">
        <v>3201</v>
      </c>
      <c r="E87" s="98" t="s">
        <v>3177</v>
      </c>
      <c r="F87" s="35" t="s">
        <v>3219</v>
      </c>
      <c r="G87" s="73">
        <v>25000000</v>
      </c>
      <c r="H87" s="569">
        <v>2</v>
      </c>
      <c r="I87" s="35" t="s">
        <v>3220</v>
      </c>
      <c r="J87" s="43">
        <v>50000000</v>
      </c>
    </row>
    <row r="88" spans="1:10" ht="56.25">
      <c r="A88" s="22" t="s">
        <v>2598</v>
      </c>
      <c r="B88" s="26" t="s">
        <v>3221</v>
      </c>
      <c r="C88" s="569" t="s">
        <v>3200</v>
      </c>
      <c r="D88" s="569" t="s">
        <v>3222</v>
      </c>
      <c r="E88" s="98" t="s">
        <v>3223</v>
      </c>
      <c r="F88" s="35" t="s">
        <v>3224</v>
      </c>
      <c r="G88" s="73">
        <v>25000000</v>
      </c>
      <c r="H88" s="569">
        <v>2</v>
      </c>
      <c r="I88" s="35" t="s">
        <v>3225</v>
      </c>
      <c r="J88" s="43">
        <v>30000000</v>
      </c>
    </row>
    <row r="89" spans="1:10" ht="33.75">
      <c r="A89" s="22" t="s">
        <v>2598</v>
      </c>
      <c r="B89" s="26" t="s">
        <v>3199</v>
      </c>
      <c r="C89" s="569" t="s">
        <v>3200</v>
      </c>
      <c r="D89" s="569" t="s">
        <v>3201</v>
      </c>
      <c r="E89" s="98" t="s">
        <v>3202</v>
      </c>
      <c r="F89" s="35" t="s">
        <v>3203</v>
      </c>
      <c r="G89" s="73">
        <v>25000000</v>
      </c>
      <c r="H89" s="569">
        <v>2</v>
      </c>
      <c r="I89" s="35" t="s">
        <v>3226</v>
      </c>
      <c r="J89" s="43">
        <v>50000000</v>
      </c>
    </row>
    <row r="90" spans="1:10" ht="33.75">
      <c r="A90" s="22" t="s">
        <v>2505</v>
      </c>
      <c r="B90" s="26" t="s">
        <v>3227</v>
      </c>
      <c r="C90" s="569" t="s">
        <v>3228</v>
      </c>
      <c r="D90" s="569" t="s">
        <v>3229</v>
      </c>
      <c r="E90" s="100" t="s">
        <v>3230</v>
      </c>
      <c r="F90" s="35" t="s">
        <v>3231</v>
      </c>
      <c r="G90" s="73">
        <v>20000000</v>
      </c>
      <c r="H90" s="569">
        <v>2</v>
      </c>
      <c r="I90" s="35" t="s">
        <v>3226</v>
      </c>
      <c r="J90" s="43">
        <v>50000000</v>
      </c>
    </row>
    <row r="91" spans="1:10" ht="15.75">
      <c r="A91" s="1038" t="s">
        <v>189</v>
      </c>
      <c r="B91" s="1039"/>
      <c r="C91" s="1039"/>
      <c r="D91" s="1039"/>
      <c r="E91" s="1039"/>
      <c r="F91" s="1039"/>
      <c r="G91" s="536">
        <f>SUM(G69:G90)</f>
        <v>1330000000</v>
      </c>
      <c r="H91" s="567"/>
      <c r="I91" s="567"/>
      <c r="J91" s="977">
        <f>SUM(J69:J90)</f>
        <v>1980000000</v>
      </c>
    </row>
    <row r="92" spans="1:10" ht="15.75">
      <c r="A92" s="1038" t="s">
        <v>3335</v>
      </c>
      <c r="B92" s="1039"/>
      <c r="C92" s="1039"/>
      <c r="D92" s="1039"/>
      <c r="E92" s="1039"/>
      <c r="F92" s="1039"/>
      <c r="G92" s="1039"/>
      <c r="H92" s="1039"/>
      <c r="I92" s="1039"/>
      <c r="J92" s="1040"/>
    </row>
    <row r="93" spans="1:10" ht="25.5">
      <c r="A93" s="51" t="s">
        <v>2394</v>
      </c>
      <c r="B93" s="324" t="s">
        <v>3329</v>
      </c>
      <c r="C93" s="25" t="s">
        <v>3330</v>
      </c>
      <c r="D93" s="25" t="s">
        <v>3331</v>
      </c>
      <c r="E93" s="25" t="s">
        <v>3332</v>
      </c>
      <c r="F93" s="25" t="s">
        <v>3333</v>
      </c>
      <c r="G93" s="73">
        <v>200000000</v>
      </c>
      <c r="H93" s="25" t="s">
        <v>330</v>
      </c>
      <c r="I93" s="25" t="s">
        <v>3334</v>
      </c>
      <c r="J93" s="526">
        <v>400000000</v>
      </c>
    </row>
    <row r="94" spans="1:10" ht="15.75">
      <c r="A94" s="1038" t="s">
        <v>189</v>
      </c>
      <c r="B94" s="1039"/>
      <c r="C94" s="1039"/>
      <c r="D94" s="1039"/>
      <c r="E94" s="1039"/>
      <c r="F94" s="1039"/>
      <c r="G94" s="536">
        <f>SUM(G93)</f>
        <v>200000000</v>
      </c>
      <c r="H94" s="567"/>
      <c r="I94" s="567"/>
      <c r="J94" s="977">
        <f>SUM(J93)</f>
        <v>400000000</v>
      </c>
    </row>
    <row r="95" spans="1:10" ht="15.75">
      <c r="A95" s="1038" t="s">
        <v>24528</v>
      </c>
      <c r="B95" s="1039"/>
      <c r="C95" s="1039"/>
      <c r="D95" s="1039"/>
      <c r="E95" s="1039"/>
      <c r="F95" s="1039"/>
      <c r="G95" s="1039"/>
      <c r="H95" s="1039"/>
      <c r="I95" s="1039"/>
      <c r="J95" s="1040"/>
    </row>
    <row r="96" spans="1:10" ht="22.5">
      <c r="A96" s="39" t="s">
        <v>24528</v>
      </c>
      <c r="B96" s="52"/>
      <c r="C96" s="25" t="s">
        <v>24836</v>
      </c>
      <c r="D96" s="367" t="s">
        <v>24837</v>
      </c>
      <c r="E96" s="367" t="s">
        <v>3143</v>
      </c>
      <c r="F96" s="367" t="s">
        <v>24838</v>
      </c>
      <c r="G96" s="535"/>
      <c r="H96" s="367">
        <v>1</v>
      </c>
      <c r="I96" s="25" t="s">
        <v>24839</v>
      </c>
      <c r="J96" s="980">
        <v>75000000</v>
      </c>
    </row>
    <row r="97" spans="1:10" ht="45">
      <c r="A97" s="39" t="s">
        <v>24528</v>
      </c>
      <c r="B97" s="52"/>
      <c r="C97" s="25" t="s">
        <v>24840</v>
      </c>
      <c r="D97" s="367" t="s">
        <v>24837</v>
      </c>
      <c r="E97" s="367" t="s">
        <v>3143</v>
      </c>
      <c r="F97" s="367" t="s">
        <v>24841</v>
      </c>
      <c r="G97" s="535"/>
      <c r="H97" s="367">
        <v>1</v>
      </c>
      <c r="I97" s="25" t="s">
        <v>24842</v>
      </c>
      <c r="J97" s="980">
        <v>1335642</v>
      </c>
    </row>
    <row r="98" spans="1:10" ht="15.75">
      <c r="A98" s="1038" t="s">
        <v>189</v>
      </c>
      <c r="B98" s="1039"/>
      <c r="C98" s="1039"/>
      <c r="D98" s="1039"/>
      <c r="E98" s="1039"/>
      <c r="F98" s="1039"/>
      <c r="G98" s="536">
        <f>SUM(G96:G97)</f>
        <v>0</v>
      </c>
      <c r="H98" s="567"/>
      <c r="I98" s="567"/>
      <c r="J98" s="977">
        <f>SUM(J96:J97)</f>
        <v>76335642</v>
      </c>
    </row>
    <row r="99" spans="1:10" ht="15.75">
      <c r="A99" s="1038" t="s">
        <v>9797</v>
      </c>
      <c r="B99" s="1039"/>
      <c r="C99" s="1039"/>
      <c r="D99" s="1039"/>
      <c r="E99" s="1039"/>
      <c r="F99" s="1039"/>
      <c r="G99" s="1039"/>
      <c r="H99" s="1039"/>
      <c r="I99" s="1039"/>
      <c r="J99" s="1040"/>
    </row>
    <row r="100" spans="1:10" ht="22.5">
      <c r="A100" s="27" t="s">
        <v>1707</v>
      </c>
      <c r="B100" s="300" t="s">
        <v>1658</v>
      </c>
      <c r="C100" s="569" t="s">
        <v>9922</v>
      </c>
      <c r="D100" s="569" t="s">
        <v>9923</v>
      </c>
      <c r="E100" s="569" t="s">
        <v>9924</v>
      </c>
      <c r="F100" s="569" t="s">
        <v>9925</v>
      </c>
      <c r="G100" s="73">
        <v>3000000</v>
      </c>
      <c r="H100" s="569">
        <v>1</v>
      </c>
      <c r="I100" s="569" t="s">
        <v>9926</v>
      </c>
      <c r="J100" s="531">
        <v>8000000</v>
      </c>
    </row>
    <row r="101" spans="1:10" ht="45">
      <c r="A101" s="27" t="s">
        <v>1707</v>
      </c>
      <c r="B101" s="300" t="s">
        <v>1658</v>
      </c>
      <c r="C101" s="569" t="s">
        <v>9927</v>
      </c>
      <c r="D101" s="569" t="s">
        <v>9928</v>
      </c>
      <c r="E101" s="569" t="s">
        <v>9929</v>
      </c>
      <c r="F101" s="569" t="s">
        <v>9930</v>
      </c>
      <c r="G101" s="73">
        <v>15000000</v>
      </c>
      <c r="H101" s="569">
        <v>1</v>
      </c>
      <c r="I101" s="569" t="s">
        <v>9931</v>
      </c>
      <c r="J101" s="531">
        <v>68556910</v>
      </c>
    </row>
    <row r="102" spans="1:10" ht="90">
      <c r="A102" s="27" t="s">
        <v>4347</v>
      </c>
      <c r="B102" s="300" t="s">
        <v>9932</v>
      </c>
      <c r="C102" s="569" t="s">
        <v>9933</v>
      </c>
      <c r="D102" s="569" t="s">
        <v>9934</v>
      </c>
      <c r="E102" s="569" t="s">
        <v>9935</v>
      </c>
      <c r="F102" s="569" t="s">
        <v>9936</v>
      </c>
      <c r="G102" s="73">
        <v>7500000</v>
      </c>
      <c r="H102" s="569">
        <v>1</v>
      </c>
      <c r="I102" s="569" t="s">
        <v>9937</v>
      </c>
      <c r="J102" s="531">
        <v>20000000</v>
      </c>
    </row>
    <row r="103" spans="1:10" ht="33.75">
      <c r="A103" s="27" t="s">
        <v>4347</v>
      </c>
      <c r="B103" s="300" t="s">
        <v>9938</v>
      </c>
      <c r="C103" s="569" t="s">
        <v>9939</v>
      </c>
      <c r="D103" s="569" t="s">
        <v>9940</v>
      </c>
      <c r="E103" s="569" t="s">
        <v>9941</v>
      </c>
      <c r="F103" s="569" t="s">
        <v>9942</v>
      </c>
      <c r="G103" s="73">
        <v>4500000</v>
      </c>
      <c r="H103" s="569">
        <v>1</v>
      </c>
      <c r="I103" s="569" t="s">
        <v>9943</v>
      </c>
      <c r="J103" s="531">
        <v>12500000</v>
      </c>
    </row>
    <row r="104" spans="1:10" ht="33.75">
      <c r="A104" s="27" t="s">
        <v>4347</v>
      </c>
      <c r="B104" s="300" t="s">
        <v>3666</v>
      </c>
      <c r="C104" s="569" t="s">
        <v>9939</v>
      </c>
      <c r="D104" s="569" t="s">
        <v>5947</v>
      </c>
      <c r="E104" s="569" t="s">
        <v>9944</v>
      </c>
      <c r="F104" s="569" t="s">
        <v>9945</v>
      </c>
      <c r="G104" s="73">
        <v>20000000</v>
      </c>
      <c r="H104" s="569">
        <v>1</v>
      </c>
      <c r="I104" s="569" t="s">
        <v>9946</v>
      </c>
      <c r="J104" s="531">
        <v>94265749</v>
      </c>
    </row>
    <row r="105" spans="1:10" ht="15.75">
      <c r="A105" s="1038" t="s">
        <v>91</v>
      </c>
      <c r="B105" s="1039"/>
      <c r="C105" s="1039"/>
      <c r="D105" s="1039"/>
      <c r="E105" s="1039"/>
      <c r="F105" s="1039"/>
      <c r="G105" s="536">
        <f>SUM(G100:G104)</f>
        <v>50000000</v>
      </c>
      <c r="H105" s="567"/>
      <c r="I105" s="567"/>
      <c r="J105" s="977">
        <f>SUM(J100:J104)</f>
        <v>203322659</v>
      </c>
    </row>
    <row r="106" spans="1:10" ht="15.75">
      <c r="A106" s="1038" t="s">
        <v>3444</v>
      </c>
      <c r="B106" s="1039"/>
      <c r="C106" s="1039"/>
      <c r="D106" s="1039"/>
      <c r="E106" s="1039"/>
      <c r="F106" s="1039"/>
      <c r="G106" s="1039"/>
      <c r="H106" s="1039"/>
      <c r="I106" s="1039"/>
      <c r="J106" s="1040"/>
    </row>
    <row r="107" spans="1:10" ht="57">
      <c r="A107" s="315" t="s">
        <v>3341</v>
      </c>
      <c r="B107" s="965" t="s">
        <v>3445</v>
      </c>
      <c r="C107" s="316" t="s">
        <v>3446</v>
      </c>
      <c r="D107" s="316" t="s">
        <v>3447</v>
      </c>
      <c r="E107" s="316" t="s">
        <v>3448</v>
      </c>
      <c r="F107" s="316" t="s">
        <v>3449</v>
      </c>
      <c r="G107" s="491">
        <v>70000000</v>
      </c>
      <c r="H107" s="316">
        <v>1</v>
      </c>
      <c r="I107" s="316" t="s">
        <v>3450</v>
      </c>
      <c r="J107" s="540">
        <v>150000000</v>
      </c>
    </row>
    <row r="108" spans="1:10" ht="99.75">
      <c r="A108" s="315" t="s">
        <v>3341</v>
      </c>
      <c r="B108" s="965" t="s">
        <v>3392</v>
      </c>
      <c r="C108" s="316" t="s">
        <v>3451</v>
      </c>
      <c r="D108" s="316" t="s">
        <v>3452</v>
      </c>
      <c r="E108" s="316" t="s">
        <v>3453</v>
      </c>
      <c r="F108" s="316" t="s">
        <v>3454</v>
      </c>
      <c r="G108" s="491">
        <v>50000000</v>
      </c>
      <c r="H108" s="316">
        <v>2</v>
      </c>
      <c r="I108" s="316" t="s">
        <v>3455</v>
      </c>
      <c r="J108" s="540">
        <v>170000000</v>
      </c>
    </row>
    <row r="109" spans="1:10" ht="71.25">
      <c r="A109" s="315" t="s">
        <v>3341</v>
      </c>
      <c r="B109" s="965" t="s">
        <v>3456</v>
      </c>
      <c r="C109" s="316" t="s">
        <v>3457</v>
      </c>
      <c r="D109" s="316" t="s">
        <v>3458</v>
      </c>
      <c r="E109" s="316" t="s">
        <v>3459</v>
      </c>
      <c r="F109" s="316" t="s">
        <v>3460</v>
      </c>
      <c r="G109" s="491">
        <v>100000000</v>
      </c>
      <c r="H109" s="316">
        <v>2</v>
      </c>
      <c r="I109" s="316" t="s">
        <v>3461</v>
      </c>
      <c r="J109" s="540">
        <v>150000000</v>
      </c>
    </row>
    <row r="110" spans="1:10" ht="71.25">
      <c r="A110" s="315" t="s">
        <v>3396</v>
      </c>
      <c r="B110" s="965" t="s">
        <v>3462</v>
      </c>
      <c r="C110" s="316" t="s">
        <v>3463</v>
      </c>
      <c r="D110" s="316" t="s">
        <v>3464</v>
      </c>
      <c r="E110" s="316" t="s">
        <v>3465</v>
      </c>
      <c r="F110" s="316" t="s">
        <v>3466</v>
      </c>
      <c r="G110" s="491">
        <v>100000000</v>
      </c>
      <c r="H110" s="316">
        <v>2</v>
      </c>
      <c r="I110" s="316" t="s">
        <v>3461</v>
      </c>
      <c r="J110" s="540">
        <v>150000000</v>
      </c>
    </row>
    <row r="111" spans="1:10" ht="15.75">
      <c r="A111" s="1038" t="s">
        <v>189</v>
      </c>
      <c r="B111" s="1039"/>
      <c r="C111" s="1039"/>
      <c r="D111" s="1039"/>
      <c r="E111" s="1039"/>
      <c r="F111" s="1039"/>
      <c r="G111" s="536">
        <f>SUM(G107:G110)</f>
        <v>320000000</v>
      </c>
      <c r="H111" s="567"/>
      <c r="I111" s="567"/>
      <c r="J111" s="977">
        <f>SUM(J107:J110)</f>
        <v>620000000</v>
      </c>
    </row>
    <row r="112" spans="1:10" ht="16.5" customHeight="1">
      <c r="A112" s="1038" t="s">
        <v>6203</v>
      </c>
      <c r="B112" s="1039"/>
      <c r="C112" s="1039"/>
      <c r="D112" s="1039"/>
      <c r="E112" s="1039"/>
      <c r="F112" s="1039"/>
      <c r="G112" s="1039"/>
      <c r="H112" s="1039"/>
      <c r="I112" s="1039"/>
      <c r="J112" s="1040"/>
    </row>
    <row r="113" spans="1:10" ht="22.5">
      <c r="A113" s="981" t="s">
        <v>5899</v>
      </c>
      <c r="B113" s="246" t="s">
        <v>6204</v>
      </c>
      <c r="C113" s="246" t="s">
        <v>6205</v>
      </c>
      <c r="D113" s="569" t="s">
        <v>6206</v>
      </c>
      <c r="E113" s="569" t="s">
        <v>6207</v>
      </c>
      <c r="F113" s="265" t="s">
        <v>6208</v>
      </c>
      <c r="G113" s="73">
        <v>125000000</v>
      </c>
      <c r="H113" s="569">
        <v>2</v>
      </c>
      <c r="I113" s="569" t="s">
        <v>6209</v>
      </c>
      <c r="J113" s="43">
        <v>450000000</v>
      </c>
    </row>
    <row r="114" spans="1:10" ht="30">
      <c r="A114" s="981" t="s">
        <v>5899</v>
      </c>
      <c r="B114" s="246" t="s">
        <v>6210</v>
      </c>
      <c r="C114" s="246" t="s">
        <v>6211</v>
      </c>
      <c r="D114" s="569" t="s">
        <v>6206</v>
      </c>
      <c r="E114" s="569" t="s">
        <v>6212</v>
      </c>
      <c r="F114" s="265" t="s">
        <v>6213</v>
      </c>
      <c r="G114" s="73">
        <v>12000000</v>
      </c>
      <c r="H114" s="569">
        <v>3</v>
      </c>
      <c r="I114" s="569" t="s">
        <v>6214</v>
      </c>
      <c r="J114" s="43">
        <v>45000000</v>
      </c>
    </row>
    <row r="115" spans="1:10" ht="45">
      <c r="A115" s="981" t="s">
        <v>5899</v>
      </c>
      <c r="B115" s="246" t="s">
        <v>6215</v>
      </c>
      <c r="C115" s="246" t="s">
        <v>6216</v>
      </c>
      <c r="D115" s="569" t="s">
        <v>6217</v>
      </c>
      <c r="E115" s="569" t="s">
        <v>6218</v>
      </c>
      <c r="F115" s="265" t="s">
        <v>6219</v>
      </c>
      <c r="G115" s="73">
        <v>12000000</v>
      </c>
      <c r="H115" s="569">
        <v>4</v>
      </c>
      <c r="I115" s="569" t="s">
        <v>6220</v>
      </c>
      <c r="J115" s="43">
        <v>89000000</v>
      </c>
    </row>
    <row r="116" spans="1:10" ht="30">
      <c r="A116" s="981" t="s">
        <v>5899</v>
      </c>
      <c r="B116" s="246" t="s">
        <v>2323</v>
      </c>
      <c r="C116" s="246" t="s">
        <v>6221</v>
      </c>
      <c r="D116" s="569" t="s">
        <v>6222</v>
      </c>
      <c r="E116" s="569" t="s">
        <v>6223</v>
      </c>
      <c r="F116" s="265" t="s">
        <v>6224</v>
      </c>
      <c r="G116" s="73">
        <v>17000000</v>
      </c>
      <c r="H116" s="569">
        <v>4</v>
      </c>
      <c r="I116" s="569" t="s">
        <v>6225</v>
      </c>
      <c r="J116" s="43">
        <v>28000000</v>
      </c>
    </row>
    <row r="117" spans="1:10" ht="45">
      <c r="A117" s="981" t="s">
        <v>5899</v>
      </c>
      <c r="B117" s="246" t="s">
        <v>6210</v>
      </c>
      <c r="C117" s="265" t="s">
        <v>6226</v>
      </c>
      <c r="D117" s="569" t="s">
        <v>6206</v>
      </c>
      <c r="E117" s="569" t="s">
        <v>6223</v>
      </c>
      <c r="F117" s="265" t="s">
        <v>6227</v>
      </c>
      <c r="G117" s="73">
        <v>8000000</v>
      </c>
      <c r="H117" s="569">
        <v>5</v>
      </c>
      <c r="I117" s="569" t="s">
        <v>6220</v>
      </c>
      <c r="J117" s="43">
        <v>19000000</v>
      </c>
    </row>
    <row r="118" spans="1:10" ht="75">
      <c r="A118" s="981" t="s">
        <v>5956</v>
      </c>
      <c r="B118" s="246" t="s">
        <v>6228</v>
      </c>
      <c r="C118" s="246" t="s">
        <v>6228</v>
      </c>
      <c r="D118" s="569" t="s">
        <v>6229</v>
      </c>
      <c r="E118" s="569" t="s">
        <v>6230</v>
      </c>
      <c r="F118" s="265" t="s">
        <v>6231</v>
      </c>
      <c r="G118" s="73">
        <v>180000000</v>
      </c>
      <c r="H118" s="569">
        <v>1</v>
      </c>
      <c r="I118" s="569" t="s">
        <v>6232</v>
      </c>
      <c r="J118" s="43">
        <v>450000000</v>
      </c>
    </row>
    <row r="119" spans="1:10" ht="45">
      <c r="A119" s="981" t="s">
        <v>5998</v>
      </c>
      <c r="B119" s="246" t="s">
        <v>6233</v>
      </c>
      <c r="C119" s="265" t="s">
        <v>6234</v>
      </c>
      <c r="D119" s="569" t="s">
        <v>6235</v>
      </c>
      <c r="E119" s="569" t="s">
        <v>6236</v>
      </c>
      <c r="F119" s="265" t="s">
        <v>6219</v>
      </c>
      <c r="G119" s="73">
        <v>15000000</v>
      </c>
      <c r="H119" s="569">
        <v>2</v>
      </c>
      <c r="I119" s="569" t="s">
        <v>6225</v>
      </c>
      <c r="J119" s="43">
        <v>26000000</v>
      </c>
    </row>
    <row r="120" spans="1:10" ht="67.5">
      <c r="A120" s="981" t="s">
        <v>5998</v>
      </c>
      <c r="B120" s="246" t="s">
        <v>6237</v>
      </c>
      <c r="C120" s="265" t="s">
        <v>6238</v>
      </c>
      <c r="D120" s="569" t="s">
        <v>6239</v>
      </c>
      <c r="E120" s="569" t="s">
        <v>6223</v>
      </c>
      <c r="F120" s="265" t="s">
        <v>6219</v>
      </c>
      <c r="G120" s="73">
        <v>17000000</v>
      </c>
      <c r="H120" s="569">
        <v>1</v>
      </c>
      <c r="I120" s="569" t="s">
        <v>6232</v>
      </c>
      <c r="J120" s="43">
        <v>47000000</v>
      </c>
    </row>
    <row r="121" spans="1:10" ht="30">
      <c r="A121" s="981" t="s">
        <v>6028</v>
      </c>
      <c r="B121" s="246" t="s">
        <v>6240</v>
      </c>
      <c r="C121" s="265" t="s">
        <v>6241</v>
      </c>
      <c r="D121" s="569" t="s">
        <v>6242</v>
      </c>
      <c r="E121" s="569" t="s">
        <v>6223</v>
      </c>
      <c r="F121" s="265" t="s">
        <v>6213</v>
      </c>
      <c r="G121" s="73">
        <v>15000000</v>
      </c>
      <c r="H121" s="569">
        <v>1</v>
      </c>
      <c r="I121" s="569" t="s">
        <v>6243</v>
      </c>
      <c r="J121" s="43">
        <v>68000000</v>
      </c>
    </row>
    <row r="122" spans="1:10" ht="45">
      <c r="A122" s="981" t="s">
        <v>6028</v>
      </c>
      <c r="B122" s="246" t="s">
        <v>3536</v>
      </c>
      <c r="C122" s="265" t="s">
        <v>6244</v>
      </c>
      <c r="D122" s="569" t="s">
        <v>6245</v>
      </c>
      <c r="E122" s="569" t="s">
        <v>6223</v>
      </c>
      <c r="F122" s="265" t="s">
        <v>6246</v>
      </c>
      <c r="G122" s="73">
        <v>160000000</v>
      </c>
      <c r="H122" s="569">
        <v>1</v>
      </c>
      <c r="I122" s="569" t="s">
        <v>6247</v>
      </c>
      <c r="J122" s="43">
        <v>355000000</v>
      </c>
    </row>
    <row r="123" spans="1:10" ht="45">
      <c r="A123" s="981" t="s">
        <v>6028</v>
      </c>
      <c r="B123" s="246" t="s">
        <v>6248</v>
      </c>
      <c r="C123" s="265" t="s">
        <v>6249</v>
      </c>
      <c r="D123" s="569" t="s">
        <v>6245</v>
      </c>
      <c r="E123" s="569" t="s">
        <v>6223</v>
      </c>
      <c r="F123" s="265" t="s">
        <v>6219</v>
      </c>
      <c r="G123" s="73">
        <v>190000000</v>
      </c>
      <c r="H123" s="569"/>
      <c r="I123" s="569" t="s">
        <v>6250</v>
      </c>
      <c r="J123" s="43">
        <v>325000000</v>
      </c>
    </row>
    <row r="124" spans="1:10" ht="30">
      <c r="A124" s="981" t="s">
        <v>6028</v>
      </c>
      <c r="B124" s="266" t="s">
        <v>1674</v>
      </c>
      <c r="C124" s="267" t="s">
        <v>6251</v>
      </c>
      <c r="D124" s="569" t="s">
        <v>6252</v>
      </c>
      <c r="E124" s="569" t="s">
        <v>6223</v>
      </c>
      <c r="F124" s="267" t="s">
        <v>6253</v>
      </c>
      <c r="G124" s="73">
        <v>12000000</v>
      </c>
      <c r="H124" s="569">
        <v>5</v>
      </c>
      <c r="I124" s="569" t="s">
        <v>6243</v>
      </c>
      <c r="J124" s="43">
        <v>35000000</v>
      </c>
    </row>
    <row r="125" spans="1:10" ht="22.5">
      <c r="A125" s="981" t="s">
        <v>6037</v>
      </c>
      <c r="B125" s="266" t="s">
        <v>6049</v>
      </c>
      <c r="C125" s="267" t="s">
        <v>6049</v>
      </c>
      <c r="D125" s="569" t="s">
        <v>6037</v>
      </c>
      <c r="E125" s="569" t="s">
        <v>6223</v>
      </c>
      <c r="F125" s="267" t="s">
        <v>6254</v>
      </c>
      <c r="G125" s="73">
        <v>17000000</v>
      </c>
      <c r="H125" s="569">
        <v>4</v>
      </c>
      <c r="I125" s="569" t="s">
        <v>6225</v>
      </c>
      <c r="J125" s="43">
        <v>47000000</v>
      </c>
    </row>
    <row r="126" spans="1:10" ht="45">
      <c r="A126" s="981" t="s">
        <v>6255</v>
      </c>
      <c r="B126" s="246" t="s">
        <v>6256</v>
      </c>
      <c r="C126" s="44" t="s">
        <v>6257</v>
      </c>
      <c r="D126" s="569" t="s">
        <v>6258</v>
      </c>
      <c r="E126" s="569" t="s">
        <v>6223</v>
      </c>
      <c r="F126" s="265" t="s">
        <v>6246</v>
      </c>
      <c r="G126" s="73">
        <v>120000000</v>
      </c>
      <c r="H126" s="569">
        <v>1</v>
      </c>
      <c r="I126" s="569" t="s">
        <v>6259</v>
      </c>
      <c r="J126" s="43">
        <v>340000000</v>
      </c>
    </row>
    <row r="127" spans="1:10" ht="30">
      <c r="A127" s="981" t="s">
        <v>6255</v>
      </c>
      <c r="B127" s="246" t="s">
        <v>6256</v>
      </c>
      <c r="C127" s="44" t="s">
        <v>6260</v>
      </c>
      <c r="D127" s="569" t="s">
        <v>6261</v>
      </c>
      <c r="E127" s="569" t="s">
        <v>1320</v>
      </c>
      <c r="F127" s="265" t="s">
        <v>6262</v>
      </c>
      <c r="G127" s="73">
        <v>2300000</v>
      </c>
      <c r="H127" s="569">
        <v>2</v>
      </c>
      <c r="I127" s="569" t="s">
        <v>6263</v>
      </c>
      <c r="J127" s="43">
        <v>33000000</v>
      </c>
    </row>
    <row r="128" spans="1:10" ht="45">
      <c r="A128" s="981" t="s">
        <v>6255</v>
      </c>
      <c r="B128" s="268" t="s">
        <v>6264</v>
      </c>
      <c r="C128" s="263" t="s">
        <v>6265</v>
      </c>
      <c r="D128" s="569" t="s">
        <v>6266</v>
      </c>
      <c r="E128" s="569" t="s">
        <v>6267</v>
      </c>
      <c r="F128" s="263" t="s">
        <v>6246</v>
      </c>
      <c r="G128" s="73">
        <v>105000000</v>
      </c>
      <c r="H128" s="569">
        <v>1</v>
      </c>
      <c r="I128" s="569" t="s">
        <v>6268</v>
      </c>
      <c r="J128" s="43"/>
    </row>
    <row r="129" spans="1:10" ht="30">
      <c r="A129" s="981" t="s">
        <v>6255</v>
      </c>
      <c r="B129" s="246" t="s">
        <v>6269</v>
      </c>
      <c r="C129" s="265" t="s">
        <v>6270</v>
      </c>
      <c r="D129" s="569" t="s">
        <v>6271</v>
      </c>
      <c r="E129" s="569" t="s">
        <v>6272</v>
      </c>
      <c r="F129" s="263" t="s">
        <v>6273</v>
      </c>
      <c r="G129" s="73">
        <v>85000000</v>
      </c>
      <c r="H129" s="569">
        <v>1</v>
      </c>
      <c r="I129" s="569" t="s">
        <v>6274</v>
      </c>
      <c r="J129" s="43">
        <v>340000000</v>
      </c>
    </row>
    <row r="130" spans="1:10" ht="45">
      <c r="A130" s="981" t="s">
        <v>6275</v>
      </c>
      <c r="B130" s="246" t="s">
        <v>6276</v>
      </c>
      <c r="C130" s="265" t="s">
        <v>6277</v>
      </c>
      <c r="D130" s="569" t="s">
        <v>6278</v>
      </c>
      <c r="E130" s="569" t="s">
        <v>6223</v>
      </c>
      <c r="F130" s="263" t="s">
        <v>6279</v>
      </c>
      <c r="G130" s="73">
        <v>25000000</v>
      </c>
      <c r="H130" s="569"/>
      <c r="I130" s="569" t="s">
        <v>6280</v>
      </c>
      <c r="J130" s="43">
        <v>50000000</v>
      </c>
    </row>
    <row r="131" spans="1:10" ht="63.75">
      <c r="A131" s="39" t="s">
        <v>19</v>
      </c>
      <c r="B131" s="52" t="s">
        <v>24790</v>
      </c>
      <c r="C131" s="25" t="s">
        <v>24791</v>
      </c>
      <c r="D131" s="367" t="s">
        <v>24792</v>
      </c>
      <c r="E131" s="367" t="s">
        <v>24793</v>
      </c>
      <c r="F131" s="367" t="s">
        <v>24794</v>
      </c>
      <c r="G131" s="535"/>
      <c r="H131" s="367">
        <v>1</v>
      </c>
      <c r="I131" s="25" t="s">
        <v>24795</v>
      </c>
      <c r="J131" s="980">
        <v>69549636.489999995</v>
      </c>
    </row>
    <row r="132" spans="1:10" ht="63.75">
      <c r="A132" s="39" t="s">
        <v>24796</v>
      </c>
      <c r="B132" s="52" t="s">
        <v>24797</v>
      </c>
      <c r="C132" s="25" t="s">
        <v>24798</v>
      </c>
      <c r="D132" s="367" t="s">
        <v>24799</v>
      </c>
      <c r="E132" s="367" t="s">
        <v>24800</v>
      </c>
      <c r="F132" s="367" t="s">
        <v>24794</v>
      </c>
      <c r="G132" s="535"/>
      <c r="H132" s="367">
        <v>2</v>
      </c>
      <c r="I132" s="25" t="s">
        <v>24795</v>
      </c>
      <c r="J132" s="980">
        <v>441427155</v>
      </c>
    </row>
    <row r="133" spans="1:10" ht="33.75">
      <c r="A133" s="39" t="s">
        <v>6364</v>
      </c>
      <c r="B133" s="52" t="s">
        <v>24318</v>
      </c>
      <c r="C133" s="25" t="s">
        <v>24801</v>
      </c>
      <c r="D133" s="367" t="s">
        <v>24802</v>
      </c>
      <c r="E133" s="367" t="s">
        <v>24803</v>
      </c>
      <c r="F133" s="367" t="s">
        <v>24804</v>
      </c>
      <c r="G133" s="535"/>
      <c r="H133" s="367">
        <v>3</v>
      </c>
      <c r="I133" s="25" t="s">
        <v>24805</v>
      </c>
      <c r="J133" s="980">
        <v>50500000</v>
      </c>
    </row>
    <row r="134" spans="1:10" ht="25.5">
      <c r="A134" s="39" t="s">
        <v>6364</v>
      </c>
      <c r="B134" s="52" t="s">
        <v>24806</v>
      </c>
      <c r="C134" s="25" t="s">
        <v>24807</v>
      </c>
      <c r="D134" s="367" t="s">
        <v>24808</v>
      </c>
      <c r="E134" s="367" t="s">
        <v>24809</v>
      </c>
      <c r="F134" s="367" t="s">
        <v>24810</v>
      </c>
      <c r="G134" s="535"/>
      <c r="H134" s="367">
        <v>4</v>
      </c>
      <c r="I134" s="25" t="s">
        <v>24811</v>
      </c>
      <c r="J134" s="980">
        <v>25000000</v>
      </c>
    </row>
    <row r="135" spans="1:10" ht="33.75">
      <c r="A135" s="39" t="s">
        <v>19</v>
      </c>
      <c r="B135" s="52" t="s">
        <v>24812</v>
      </c>
      <c r="C135" s="25" t="s">
        <v>24813</v>
      </c>
      <c r="D135" s="367" t="s">
        <v>24814</v>
      </c>
      <c r="E135" s="367" t="s">
        <v>24815</v>
      </c>
      <c r="F135" s="367" t="s">
        <v>24816</v>
      </c>
      <c r="G135" s="535"/>
      <c r="H135" s="367">
        <v>5</v>
      </c>
      <c r="I135" s="25" t="s">
        <v>24817</v>
      </c>
      <c r="J135" s="980">
        <v>110356788.75</v>
      </c>
    </row>
    <row r="136" spans="1:10" ht="51">
      <c r="A136" s="39" t="s">
        <v>1127</v>
      </c>
      <c r="B136" s="52" t="s">
        <v>24156</v>
      </c>
      <c r="C136" s="25" t="s">
        <v>24818</v>
      </c>
      <c r="D136" s="367" t="s">
        <v>9244</v>
      </c>
      <c r="E136" s="367" t="s">
        <v>24803</v>
      </c>
      <c r="F136" s="367" t="s">
        <v>24819</v>
      </c>
      <c r="G136" s="535"/>
      <c r="H136" s="367">
        <v>6</v>
      </c>
      <c r="I136" s="25" t="s">
        <v>24820</v>
      </c>
      <c r="J136" s="980">
        <v>48375000</v>
      </c>
    </row>
    <row r="137" spans="1:10" ht="15.75">
      <c r="A137" s="1038" t="s">
        <v>189</v>
      </c>
      <c r="B137" s="1039"/>
      <c r="C137" s="1039"/>
      <c r="D137" s="1039"/>
      <c r="E137" s="1039"/>
      <c r="F137" s="1039"/>
      <c r="G137" s="536">
        <f>SUM(G113:G136)</f>
        <v>1117300000</v>
      </c>
      <c r="H137" s="567"/>
      <c r="I137" s="567"/>
      <c r="J137" s="977">
        <f>SUM(J113:J136)</f>
        <v>3492208580.2399998</v>
      </c>
    </row>
    <row r="138" spans="1:10" ht="15.75" customHeight="1">
      <c r="A138" s="1038" t="s">
        <v>3719</v>
      </c>
      <c r="B138" s="1039"/>
      <c r="C138" s="1039"/>
      <c r="D138" s="1039"/>
      <c r="E138" s="1039"/>
      <c r="F138" s="1039"/>
      <c r="G138" s="1039"/>
      <c r="H138" s="1039"/>
      <c r="I138" s="1039"/>
      <c r="J138" s="1040"/>
    </row>
    <row r="139" spans="1:10" ht="22.5">
      <c r="A139" s="22" t="s">
        <v>3672</v>
      </c>
      <c r="B139" s="583" t="s">
        <v>3673</v>
      </c>
      <c r="C139" s="26" t="s">
        <v>3578</v>
      </c>
      <c r="D139" s="25" t="s">
        <v>3674</v>
      </c>
      <c r="E139" s="25" t="s">
        <v>3675</v>
      </c>
      <c r="F139" s="569" t="s">
        <v>3676</v>
      </c>
      <c r="G139" s="73">
        <v>20000000</v>
      </c>
      <c r="H139" s="569" t="s">
        <v>1599</v>
      </c>
      <c r="I139" s="569" t="s">
        <v>3677</v>
      </c>
      <c r="J139" s="43">
        <v>40000000</v>
      </c>
    </row>
    <row r="140" spans="1:10" ht="22.5">
      <c r="A140" s="39" t="s">
        <v>3672</v>
      </c>
      <c r="B140" s="108" t="s">
        <v>3678</v>
      </c>
      <c r="C140" s="26" t="s">
        <v>3595</v>
      </c>
      <c r="D140" s="25" t="s">
        <v>3679</v>
      </c>
      <c r="E140" s="25" t="s">
        <v>3680</v>
      </c>
      <c r="F140" s="25" t="s">
        <v>3681</v>
      </c>
      <c r="G140" s="73">
        <v>30000000</v>
      </c>
      <c r="H140" s="25" t="s">
        <v>1628</v>
      </c>
      <c r="I140" s="25" t="s">
        <v>1282</v>
      </c>
      <c r="J140" s="526">
        <v>40000000</v>
      </c>
    </row>
    <row r="141" spans="1:10" ht="22.5">
      <c r="A141" s="39" t="s">
        <v>3672</v>
      </c>
      <c r="B141" s="108" t="s">
        <v>3678</v>
      </c>
      <c r="C141" s="26" t="s">
        <v>3595</v>
      </c>
      <c r="D141" s="25" t="s">
        <v>3679</v>
      </c>
      <c r="E141" s="25" t="s">
        <v>3682</v>
      </c>
      <c r="F141" s="109" t="s">
        <v>3681</v>
      </c>
      <c r="G141" s="73">
        <v>20000000</v>
      </c>
      <c r="H141" s="569" t="s">
        <v>1612</v>
      </c>
      <c r="I141" s="25" t="s">
        <v>3683</v>
      </c>
      <c r="J141" s="526">
        <v>30000000</v>
      </c>
    </row>
    <row r="142" spans="1:10" ht="25.5">
      <c r="A142" s="39" t="s">
        <v>3672</v>
      </c>
      <c r="B142" s="108" t="s">
        <v>3684</v>
      </c>
      <c r="C142" s="26" t="s">
        <v>3685</v>
      </c>
      <c r="D142" s="25" t="s">
        <v>3686</v>
      </c>
      <c r="E142" s="25" t="s">
        <v>3682</v>
      </c>
      <c r="F142" s="109" t="s">
        <v>3687</v>
      </c>
      <c r="G142" s="73">
        <v>15000000</v>
      </c>
      <c r="H142" s="569" t="s">
        <v>1599</v>
      </c>
      <c r="I142" s="25" t="s">
        <v>3688</v>
      </c>
      <c r="J142" s="526">
        <v>12000000</v>
      </c>
    </row>
    <row r="143" spans="1:10" ht="33.75">
      <c r="A143" s="39" t="s">
        <v>3689</v>
      </c>
      <c r="B143" s="108" t="s">
        <v>3690</v>
      </c>
      <c r="C143" s="26" t="s">
        <v>3691</v>
      </c>
      <c r="D143" s="25" t="s">
        <v>3692</v>
      </c>
      <c r="E143" s="25" t="s">
        <v>3693</v>
      </c>
      <c r="F143" s="109" t="s">
        <v>3694</v>
      </c>
      <c r="G143" s="73">
        <v>50000000</v>
      </c>
      <c r="H143" s="569" t="s">
        <v>1628</v>
      </c>
      <c r="I143" s="25" t="s">
        <v>3695</v>
      </c>
      <c r="J143" s="526">
        <v>60000000</v>
      </c>
    </row>
    <row r="144" spans="1:10" ht="25.5">
      <c r="A144" s="39" t="s">
        <v>3689</v>
      </c>
      <c r="B144" s="108" t="s">
        <v>3696</v>
      </c>
      <c r="C144" s="26" t="s">
        <v>3567</v>
      </c>
      <c r="D144" s="25" t="s">
        <v>3697</v>
      </c>
      <c r="E144" s="25" t="s">
        <v>3698</v>
      </c>
      <c r="F144" s="109" t="s">
        <v>3699</v>
      </c>
      <c r="G144" s="73">
        <v>2000000</v>
      </c>
      <c r="H144" s="569" t="s">
        <v>1599</v>
      </c>
      <c r="I144" s="25" t="s">
        <v>3700</v>
      </c>
      <c r="J144" s="526">
        <v>25000000</v>
      </c>
    </row>
    <row r="145" spans="1:10" ht="25.5">
      <c r="A145" s="39" t="s">
        <v>3689</v>
      </c>
      <c r="B145" s="108" t="s">
        <v>3701</v>
      </c>
      <c r="C145" s="26" t="s">
        <v>3553</v>
      </c>
      <c r="D145" s="25"/>
      <c r="E145" s="25" t="s">
        <v>3702</v>
      </c>
      <c r="F145" s="109" t="s">
        <v>3699</v>
      </c>
      <c r="G145" s="73">
        <v>1000000</v>
      </c>
      <c r="H145" s="569" t="s">
        <v>1628</v>
      </c>
      <c r="I145" s="25" t="s">
        <v>3703</v>
      </c>
      <c r="J145" s="526">
        <v>60000000</v>
      </c>
    </row>
    <row r="146" spans="1:10" ht="25.5">
      <c r="A146" s="39" t="s">
        <v>3689</v>
      </c>
      <c r="B146" s="108" t="s">
        <v>3704</v>
      </c>
      <c r="C146" s="26" t="s">
        <v>3705</v>
      </c>
      <c r="D146" s="25" t="s">
        <v>3706</v>
      </c>
      <c r="E146" s="25" t="s">
        <v>3707</v>
      </c>
      <c r="F146" s="109" t="s">
        <v>3708</v>
      </c>
      <c r="G146" s="73">
        <v>10000000</v>
      </c>
      <c r="H146" s="569" t="s">
        <v>1628</v>
      </c>
      <c r="I146" s="25" t="s">
        <v>3683</v>
      </c>
      <c r="J146" s="526">
        <v>25000000</v>
      </c>
    </row>
    <row r="147" spans="1:10" ht="22.5">
      <c r="A147" s="22" t="s">
        <v>3709</v>
      </c>
      <c r="B147" s="49" t="s">
        <v>3710</v>
      </c>
      <c r="C147" s="26" t="s">
        <v>3570</v>
      </c>
      <c r="D147" s="569" t="s">
        <v>3686</v>
      </c>
      <c r="E147" s="569" t="s">
        <v>3711</v>
      </c>
      <c r="F147" s="35" t="s">
        <v>3681</v>
      </c>
      <c r="G147" s="73">
        <v>20000000</v>
      </c>
      <c r="H147" s="569" t="s">
        <v>1628</v>
      </c>
      <c r="I147" s="569" t="s">
        <v>1282</v>
      </c>
      <c r="J147" s="43">
        <v>40000000</v>
      </c>
    </row>
    <row r="148" spans="1:10" ht="22.5">
      <c r="A148" s="22" t="s">
        <v>3709</v>
      </c>
      <c r="B148" s="49" t="s">
        <v>3712</v>
      </c>
      <c r="C148" s="26" t="s">
        <v>3539</v>
      </c>
      <c r="D148" s="569"/>
      <c r="E148" s="569" t="s">
        <v>3713</v>
      </c>
      <c r="F148" s="35" t="s">
        <v>3714</v>
      </c>
      <c r="G148" s="73">
        <v>1000000</v>
      </c>
      <c r="H148" s="569" t="s">
        <v>1599</v>
      </c>
      <c r="I148" s="569" t="s">
        <v>3715</v>
      </c>
      <c r="J148" s="43">
        <v>20000000</v>
      </c>
    </row>
    <row r="149" spans="1:10" ht="22.5">
      <c r="A149" s="326" t="s">
        <v>3709</v>
      </c>
      <c r="B149" s="49" t="s">
        <v>3716</v>
      </c>
      <c r="C149" s="26" t="s">
        <v>3543</v>
      </c>
      <c r="D149" s="35"/>
      <c r="E149" s="35" t="s">
        <v>3713</v>
      </c>
      <c r="F149" s="35" t="s">
        <v>3714</v>
      </c>
      <c r="G149" s="73">
        <v>1000000</v>
      </c>
      <c r="H149" s="569" t="s">
        <v>1628</v>
      </c>
      <c r="I149" s="35" t="s">
        <v>3715</v>
      </c>
      <c r="J149" s="43">
        <v>20000000</v>
      </c>
    </row>
    <row r="150" spans="1:10" ht="22.5">
      <c r="A150" s="326" t="s">
        <v>3709</v>
      </c>
      <c r="B150" s="49" t="s">
        <v>3717</v>
      </c>
      <c r="C150" s="26" t="s">
        <v>3545</v>
      </c>
      <c r="D150" s="25"/>
      <c r="E150" s="25" t="s">
        <v>3702</v>
      </c>
      <c r="F150" s="109" t="s">
        <v>3718</v>
      </c>
      <c r="G150" s="73">
        <v>1000000</v>
      </c>
      <c r="H150" s="569" t="s">
        <v>1599</v>
      </c>
      <c r="I150" s="35" t="s">
        <v>3715</v>
      </c>
      <c r="J150" s="43">
        <v>20000000</v>
      </c>
    </row>
    <row r="151" spans="1:10" ht="15.75">
      <c r="A151" s="1038" t="s">
        <v>189</v>
      </c>
      <c r="B151" s="1039"/>
      <c r="C151" s="1039"/>
      <c r="D151" s="1039"/>
      <c r="E151" s="1039"/>
      <c r="F151" s="1039"/>
      <c r="G151" s="536">
        <f>SUM(G139:G150)</f>
        <v>171000000</v>
      </c>
      <c r="H151" s="567"/>
      <c r="I151" s="567"/>
      <c r="J151" s="977">
        <f>SUM(J139:J150)</f>
        <v>392000000</v>
      </c>
    </row>
    <row r="152" spans="1:10" ht="15.75">
      <c r="A152" s="1038" t="s">
        <v>6416</v>
      </c>
      <c r="B152" s="1039"/>
      <c r="C152" s="1039"/>
      <c r="D152" s="1039"/>
      <c r="E152" s="1039"/>
      <c r="F152" s="1039"/>
      <c r="G152" s="1039"/>
      <c r="H152" s="1039"/>
      <c r="I152" s="1039"/>
      <c r="J152" s="1040"/>
    </row>
    <row r="153" spans="1:10" ht="63.75">
      <c r="A153" s="638" t="s">
        <v>6417</v>
      </c>
      <c r="B153" s="284" t="s">
        <v>7086</v>
      </c>
      <c r="C153" s="284" t="s">
        <v>7087</v>
      </c>
      <c r="D153" s="284" t="s">
        <v>7088</v>
      </c>
      <c r="E153" s="284" t="s">
        <v>7089</v>
      </c>
      <c r="F153" s="284" t="s">
        <v>7090</v>
      </c>
      <c r="G153" s="401">
        <v>150000000</v>
      </c>
      <c r="H153" s="284" t="s">
        <v>2296</v>
      </c>
      <c r="I153" s="284" t="s">
        <v>7091</v>
      </c>
      <c r="J153" s="982">
        <f>40*8000000</f>
        <v>320000000</v>
      </c>
    </row>
    <row r="154" spans="1:10" ht="15.75">
      <c r="A154" s="1038" t="s">
        <v>6444</v>
      </c>
      <c r="B154" s="1039"/>
      <c r="C154" s="1039"/>
      <c r="D154" s="1039"/>
      <c r="E154" s="1039"/>
      <c r="F154" s="1039"/>
      <c r="G154" s="536">
        <f>SUM(G153:G153)</f>
        <v>150000000</v>
      </c>
      <c r="H154" s="567"/>
      <c r="I154" s="567"/>
      <c r="J154" s="977">
        <f>SUM(J153:J153)</f>
        <v>320000000</v>
      </c>
    </row>
    <row r="155" spans="1:10" ht="15.75">
      <c r="A155" s="1038" t="s">
        <v>23610</v>
      </c>
      <c r="B155" s="1039"/>
      <c r="C155" s="1039"/>
      <c r="D155" s="1039"/>
      <c r="E155" s="1039"/>
      <c r="F155" s="1039"/>
      <c r="G155" s="1039"/>
      <c r="H155" s="1039"/>
      <c r="I155" s="1039"/>
      <c r="J155" s="1040"/>
    </row>
    <row r="156" spans="1:10" ht="33.75">
      <c r="A156" s="27" t="s">
        <v>25188</v>
      </c>
      <c r="B156" s="300" t="s">
        <v>25189</v>
      </c>
      <c r="C156" s="569" t="s">
        <v>25190</v>
      </c>
      <c r="D156" s="569" t="s">
        <v>25191</v>
      </c>
      <c r="E156" s="569" t="s">
        <v>25192</v>
      </c>
      <c r="F156" s="569" t="s">
        <v>25193</v>
      </c>
      <c r="G156" s="73">
        <v>100000000</v>
      </c>
      <c r="H156" s="569">
        <v>1</v>
      </c>
      <c r="I156" s="569" t="s">
        <v>25194</v>
      </c>
      <c r="J156" s="531">
        <v>200000000</v>
      </c>
    </row>
    <row r="157" spans="1:10" ht="33.75">
      <c r="A157" s="27" t="s">
        <v>25195</v>
      </c>
      <c r="B157" s="300" t="s">
        <v>6398</v>
      </c>
      <c r="C157" s="569" t="s">
        <v>25196</v>
      </c>
      <c r="D157" s="569" t="s">
        <v>25197</v>
      </c>
      <c r="E157" s="569" t="s">
        <v>25198</v>
      </c>
      <c r="F157" s="569" t="s">
        <v>25199</v>
      </c>
      <c r="G157" s="73">
        <v>100000000</v>
      </c>
      <c r="H157" s="569">
        <v>1</v>
      </c>
      <c r="I157" s="569" t="s">
        <v>25194</v>
      </c>
      <c r="J157" s="531">
        <v>200000000</v>
      </c>
    </row>
    <row r="158" spans="1:10" ht="33.75">
      <c r="A158" s="27" t="s">
        <v>19</v>
      </c>
      <c r="B158" s="300" t="s">
        <v>1819</v>
      </c>
      <c r="C158" s="569" t="s">
        <v>25200</v>
      </c>
      <c r="D158" s="569" t="s">
        <v>25201</v>
      </c>
      <c r="E158" s="569" t="s">
        <v>25198</v>
      </c>
      <c r="F158" s="569" t="s">
        <v>25199</v>
      </c>
      <c r="G158" s="73">
        <v>100000000</v>
      </c>
      <c r="H158" s="569">
        <v>1</v>
      </c>
      <c r="I158" s="569" t="s">
        <v>25194</v>
      </c>
      <c r="J158" s="531">
        <v>200000000</v>
      </c>
    </row>
    <row r="159" spans="1:10" ht="33.75">
      <c r="A159" s="27" t="s">
        <v>6473</v>
      </c>
      <c r="B159" s="300" t="s">
        <v>25202</v>
      </c>
      <c r="C159" s="569" t="s">
        <v>25203</v>
      </c>
      <c r="D159" s="569" t="s">
        <v>25204</v>
      </c>
      <c r="E159" s="569" t="s">
        <v>25205</v>
      </c>
      <c r="F159" s="569" t="s">
        <v>25206</v>
      </c>
      <c r="G159" s="73">
        <v>70000000</v>
      </c>
      <c r="H159" s="569">
        <v>1</v>
      </c>
      <c r="I159" s="569" t="s">
        <v>25194</v>
      </c>
      <c r="J159" s="531">
        <v>100000000</v>
      </c>
    </row>
    <row r="160" spans="1:10" ht="33.75">
      <c r="A160" s="27" t="s">
        <v>25197</v>
      </c>
      <c r="B160" s="300" t="s">
        <v>25207</v>
      </c>
      <c r="C160" s="569" t="s">
        <v>25208</v>
      </c>
      <c r="D160" s="569" t="s">
        <v>25191</v>
      </c>
      <c r="E160" s="569" t="s">
        <v>25198</v>
      </c>
      <c r="F160" s="569" t="s">
        <v>25199</v>
      </c>
      <c r="G160" s="73">
        <v>80000000</v>
      </c>
      <c r="H160" s="569">
        <v>1</v>
      </c>
      <c r="I160" s="569" t="s">
        <v>25194</v>
      </c>
      <c r="J160" s="531">
        <v>200000000</v>
      </c>
    </row>
    <row r="161" spans="1:10" ht="33.75">
      <c r="A161" s="27" t="s">
        <v>107</v>
      </c>
      <c r="B161" s="300" t="s">
        <v>1879</v>
      </c>
      <c r="C161" s="569" t="s">
        <v>25208</v>
      </c>
      <c r="D161" s="569" t="s">
        <v>25204</v>
      </c>
      <c r="E161" s="569" t="s">
        <v>25209</v>
      </c>
      <c r="F161" s="569" t="s">
        <v>25210</v>
      </c>
      <c r="G161" s="73">
        <v>150000000</v>
      </c>
      <c r="H161" s="569">
        <v>1</v>
      </c>
      <c r="I161" s="569" t="s">
        <v>25194</v>
      </c>
      <c r="J161" s="531">
        <v>200000000</v>
      </c>
    </row>
    <row r="162" spans="1:10" ht="33.75">
      <c r="A162" s="27" t="s">
        <v>4038</v>
      </c>
      <c r="B162" s="300" t="s">
        <v>25211</v>
      </c>
      <c r="C162" s="569" t="s">
        <v>25212</v>
      </c>
      <c r="D162" s="569" t="s">
        <v>25213</v>
      </c>
      <c r="E162" s="569" t="s">
        <v>25198</v>
      </c>
      <c r="F162" s="569" t="s">
        <v>25199</v>
      </c>
      <c r="G162" s="73">
        <v>100000000</v>
      </c>
      <c r="H162" s="569">
        <v>1</v>
      </c>
      <c r="I162" s="569" t="s">
        <v>25194</v>
      </c>
      <c r="J162" s="531">
        <v>200000000</v>
      </c>
    </row>
    <row r="163" spans="1:10" ht="15.75">
      <c r="A163" s="1038" t="s">
        <v>189</v>
      </c>
      <c r="B163" s="1039"/>
      <c r="C163" s="1039"/>
      <c r="D163" s="1039"/>
      <c r="E163" s="1039"/>
      <c r="F163" s="1039"/>
      <c r="G163" s="536">
        <f>SUM(G156:G162)</f>
        <v>700000000</v>
      </c>
      <c r="H163" s="567"/>
      <c r="I163" s="567"/>
      <c r="J163" s="977">
        <f>SUM(J156:J162)</f>
        <v>1300000000</v>
      </c>
    </row>
    <row r="164" spans="1:10" ht="15.75">
      <c r="A164" s="1038" t="s">
        <v>9997</v>
      </c>
      <c r="B164" s="1039"/>
      <c r="C164" s="1039"/>
      <c r="D164" s="1039"/>
      <c r="E164" s="1039"/>
      <c r="F164" s="1039"/>
      <c r="G164" s="1039"/>
      <c r="H164" s="1039"/>
      <c r="I164" s="1039"/>
      <c r="J164" s="1040"/>
    </row>
    <row r="165" spans="1:10" ht="45">
      <c r="A165" s="39" t="s">
        <v>24505</v>
      </c>
      <c r="B165" s="52" t="s">
        <v>24506</v>
      </c>
      <c r="C165" s="25" t="s">
        <v>24831</v>
      </c>
      <c r="D165" s="367" t="s">
        <v>24832</v>
      </c>
      <c r="E165" s="367" t="s">
        <v>24833</v>
      </c>
      <c r="F165" s="367" t="s">
        <v>24834</v>
      </c>
      <c r="G165" s="535" t="s">
        <v>13746</v>
      </c>
      <c r="H165" s="367">
        <v>1</v>
      </c>
      <c r="I165" s="25" t="s">
        <v>24835</v>
      </c>
      <c r="J165" s="980" t="s">
        <v>13746</v>
      </c>
    </row>
    <row r="166" spans="1:10" ht="15.75">
      <c r="A166" s="1038"/>
      <c r="B166" s="1039"/>
      <c r="C166" s="1039"/>
      <c r="D166" s="1039"/>
      <c r="E166" s="1039"/>
      <c r="F166" s="1039"/>
      <c r="G166" s="536">
        <f>SUM(G165)</f>
        <v>0</v>
      </c>
      <c r="H166" s="567"/>
      <c r="I166" s="567"/>
      <c r="J166" s="977">
        <f>SUM(J165)</f>
        <v>0</v>
      </c>
    </row>
    <row r="167" spans="1:10" ht="15.75">
      <c r="A167" s="1038" t="s">
        <v>6445</v>
      </c>
      <c r="B167" s="1039"/>
      <c r="C167" s="1039"/>
      <c r="D167" s="1039"/>
      <c r="E167" s="1039"/>
      <c r="F167" s="1039"/>
      <c r="G167" s="1039"/>
      <c r="H167" s="1039"/>
      <c r="I167" s="1039"/>
      <c r="J167" s="1040"/>
    </row>
    <row r="168" spans="1:10" ht="51">
      <c r="A168" s="638" t="s">
        <v>7092</v>
      </c>
      <c r="B168" s="284" t="s">
        <v>7093</v>
      </c>
      <c r="C168" s="284" t="s">
        <v>7094</v>
      </c>
      <c r="D168" s="284" t="s">
        <v>7095</v>
      </c>
      <c r="E168" s="284" t="s">
        <v>7096</v>
      </c>
      <c r="F168" s="284" t="s">
        <v>7097</v>
      </c>
      <c r="G168" s="401">
        <v>55000000</v>
      </c>
      <c r="H168" s="284" t="s">
        <v>7098</v>
      </c>
      <c r="I168" s="284" t="s">
        <v>7099</v>
      </c>
      <c r="J168" s="982">
        <f>247307316.91+12000000</f>
        <v>259307316.91</v>
      </c>
    </row>
    <row r="169" spans="1:10" ht="38.25">
      <c r="A169" s="638" t="s">
        <v>7092</v>
      </c>
      <c r="B169" s="284" t="s">
        <v>7100</v>
      </c>
      <c r="C169" s="284" t="s">
        <v>7101</v>
      </c>
      <c r="D169" s="284" t="s">
        <v>7102</v>
      </c>
      <c r="E169" s="284" t="s">
        <v>7103</v>
      </c>
      <c r="F169" s="284" t="s">
        <v>7104</v>
      </c>
      <c r="G169" s="401">
        <v>80000000</v>
      </c>
      <c r="H169" s="284" t="s">
        <v>30</v>
      </c>
      <c r="I169" s="284" t="s">
        <v>7105</v>
      </c>
      <c r="J169" s="982">
        <f>254365115.85+12000000</f>
        <v>266365115.84999999</v>
      </c>
    </row>
    <row r="170" spans="1:10" ht="38.25">
      <c r="A170" s="638" t="s">
        <v>7106</v>
      </c>
      <c r="B170" s="284" t="s">
        <v>7107</v>
      </c>
      <c r="C170" s="284" t="s">
        <v>7108</v>
      </c>
      <c r="D170" s="284" t="s">
        <v>7109</v>
      </c>
      <c r="E170" s="284" t="s">
        <v>7110</v>
      </c>
      <c r="F170" s="284" t="s">
        <v>7111</v>
      </c>
      <c r="G170" s="401">
        <v>47000000</v>
      </c>
      <c r="H170" s="284" t="s">
        <v>30</v>
      </c>
      <c r="I170" s="284" t="s">
        <v>7105</v>
      </c>
      <c r="J170" s="982">
        <f>271076731.94+12000000</f>
        <v>283076731.94</v>
      </c>
    </row>
    <row r="171" spans="1:10" ht="38.25">
      <c r="A171" s="638" t="s">
        <v>7112</v>
      </c>
      <c r="B171" s="284" t="s">
        <v>7113</v>
      </c>
      <c r="C171" s="284" t="s">
        <v>7114</v>
      </c>
      <c r="D171" s="284" t="s">
        <v>7115</v>
      </c>
      <c r="E171" s="284" t="s">
        <v>7103</v>
      </c>
      <c r="F171" s="284" t="s">
        <v>7111</v>
      </c>
      <c r="G171" s="401">
        <v>47000000</v>
      </c>
      <c r="H171" s="284" t="s">
        <v>30</v>
      </c>
      <c r="I171" s="284" t="s">
        <v>7116</v>
      </c>
      <c r="J171" s="982">
        <f>254365115.85+12000000</f>
        <v>266365115.84999999</v>
      </c>
    </row>
    <row r="172" spans="1:10" ht="51">
      <c r="A172" s="638" t="s">
        <v>7117</v>
      </c>
      <c r="B172" s="284" t="s">
        <v>7118</v>
      </c>
      <c r="C172" s="284" t="s">
        <v>7119</v>
      </c>
      <c r="D172" s="284" t="s">
        <v>7120</v>
      </c>
      <c r="E172" s="284" t="s">
        <v>7121</v>
      </c>
      <c r="F172" s="284" t="s">
        <v>7122</v>
      </c>
      <c r="G172" s="401">
        <v>50000000</v>
      </c>
      <c r="H172" s="284" t="s">
        <v>30</v>
      </c>
      <c r="I172" s="284" t="s">
        <v>7123</v>
      </c>
      <c r="J172" s="982">
        <v>267851731.94</v>
      </c>
    </row>
    <row r="173" spans="1:10">
      <c r="A173" s="640"/>
      <c r="B173" s="377"/>
      <c r="C173" s="377"/>
      <c r="D173" s="377"/>
      <c r="E173" s="272"/>
      <c r="F173" s="377"/>
      <c r="G173" s="493"/>
      <c r="H173" s="377"/>
      <c r="I173" s="377"/>
      <c r="J173" s="983"/>
    </row>
    <row r="174" spans="1:10" ht="15.75">
      <c r="A174" s="1038" t="s">
        <v>6444</v>
      </c>
      <c r="B174" s="1039"/>
      <c r="C174" s="1039"/>
      <c r="D174" s="1039"/>
      <c r="E174" s="1039"/>
      <c r="F174" s="1039"/>
      <c r="G174" s="536">
        <f>SUM(G168:G173)</f>
        <v>279000000</v>
      </c>
      <c r="H174" s="567"/>
      <c r="I174" s="567"/>
      <c r="J174" s="977">
        <f>SUM(J168:J173)</f>
        <v>1342966012.49</v>
      </c>
    </row>
    <row r="175" spans="1:10" ht="15.75">
      <c r="A175" s="1038" t="s">
        <v>6458</v>
      </c>
      <c r="B175" s="1039"/>
      <c r="C175" s="1039"/>
      <c r="D175" s="1039"/>
      <c r="E175" s="1039"/>
      <c r="F175" s="1039"/>
      <c r="G175" s="1039"/>
      <c r="H175" s="1039"/>
      <c r="I175" s="1039"/>
      <c r="J175" s="1040"/>
    </row>
    <row r="176" spans="1:10" ht="25.5">
      <c r="A176" s="638" t="s">
        <v>6478</v>
      </c>
      <c r="B176" s="284" t="s">
        <v>6480</v>
      </c>
      <c r="C176" s="284" t="s">
        <v>6481</v>
      </c>
      <c r="D176" s="284" t="s">
        <v>7124</v>
      </c>
      <c r="E176" s="284" t="s">
        <v>7125</v>
      </c>
      <c r="F176" s="284" t="s">
        <v>7126</v>
      </c>
      <c r="G176" s="401">
        <v>100000000</v>
      </c>
      <c r="H176" s="284" t="s">
        <v>4572</v>
      </c>
      <c r="I176" s="284" t="s">
        <v>7127</v>
      </c>
      <c r="J176" s="982">
        <v>250000000</v>
      </c>
    </row>
    <row r="177" spans="1:10" ht="25.5">
      <c r="A177" s="638" t="s">
        <v>7128</v>
      </c>
      <c r="B177" s="284" t="s">
        <v>7129</v>
      </c>
      <c r="C177" s="284" t="s">
        <v>7130</v>
      </c>
      <c r="D177" s="284" t="s">
        <v>4824</v>
      </c>
      <c r="E177" s="284" t="s">
        <v>7131</v>
      </c>
      <c r="F177" s="284" t="s">
        <v>7126</v>
      </c>
      <c r="G177" s="401">
        <v>200000000</v>
      </c>
      <c r="H177" s="284" t="s">
        <v>4572</v>
      </c>
      <c r="I177" s="284" t="s">
        <v>7127</v>
      </c>
      <c r="J177" s="982">
        <v>600000000</v>
      </c>
    </row>
    <row r="178" spans="1:10" ht="25.5">
      <c r="A178" s="638" t="s">
        <v>1846</v>
      </c>
      <c r="B178" s="284" t="s">
        <v>7132</v>
      </c>
      <c r="C178" s="284" t="s">
        <v>7133</v>
      </c>
      <c r="D178" s="284" t="s">
        <v>7134</v>
      </c>
      <c r="E178" s="284" t="s">
        <v>7135</v>
      </c>
      <c r="F178" s="284" t="s">
        <v>7136</v>
      </c>
      <c r="G178" s="401">
        <v>90000000</v>
      </c>
      <c r="H178" s="284" t="s">
        <v>4572</v>
      </c>
      <c r="I178" s="284" t="s">
        <v>7127</v>
      </c>
      <c r="J178" s="982">
        <v>200000000</v>
      </c>
    </row>
    <row r="179" spans="1:10" ht="25.5">
      <c r="A179" s="638" t="s">
        <v>6473</v>
      </c>
      <c r="B179" s="284" t="s">
        <v>6510</v>
      </c>
      <c r="C179" s="284" t="s">
        <v>6511</v>
      </c>
      <c r="D179" s="284" t="s">
        <v>7137</v>
      </c>
      <c r="E179" s="284" t="s">
        <v>7138</v>
      </c>
      <c r="F179" s="284" t="s">
        <v>7126</v>
      </c>
      <c r="G179" s="401">
        <v>100000000</v>
      </c>
      <c r="H179" s="284" t="s">
        <v>4572</v>
      </c>
      <c r="I179" s="284" t="s">
        <v>7127</v>
      </c>
      <c r="J179" s="982">
        <v>550000000</v>
      </c>
    </row>
    <row r="180" spans="1:10">
      <c r="A180" s="640"/>
      <c r="B180" s="377"/>
      <c r="C180" s="377"/>
      <c r="D180" s="377"/>
      <c r="E180" s="272"/>
      <c r="F180" s="377"/>
      <c r="G180" s="493"/>
      <c r="H180" s="377"/>
      <c r="I180" s="377"/>
      <c r="J180" s="983"/>
    </row>
    <row r="181" spans="1:10" ht="15.75">
      <c r="A181" s="1038" t="s">
        <v>6444</v>
      </c>
      <c r="B181" s="1039"/>
      <c r="C181" s="1039"/>
      <c r="D181" s="1039"/>
      <c r="E181" s="1039"/>
      <c r="F181" s="1039"/>
      <c r="G181" s="536">
        <f>SUM(G176:G180)</f>
        <v>490000000</v>
      </c>
      <c r="H181" s="567"/>
      <c r="I181" s="567"/>
      <c r="J181" s="977">
        <f>SUM(J176:J180)</f>
        <v>1600000000</v>
      </c>
    </row>
    <row r="182" spans="1:10" ht="15.75">
      <c r="A182" s="1038" t="s">
        <v>6522</v>
      </c>
      <c r="B182" s="1039"/>
      <c r="C182" s="1039"/>
      <c r="D182" s="1039"/>
      <c r="E182" s="1039"/>
      <c r="F182" s="1039"/>
      <c r="G182" s="1039"/>
      <c r="H182" s="1039"/>
      <c r="I182" s="1039"/>
      <c r="J182" s="1040"/>
    </row>
    <row r="183" spans="1:10" ht="38.25">
      <c r="A183" s="638" t="s">
        <v>4203</v>
      </c>
      <c r="B183" s="284" t="s">
        <v>7139</v>
      </c>
      <c r="C183" s="284"/>
      <c r="D183" s="284" t="s">
        <v>7140</v>
      </c>
      <c r="E183" s="284" t="s">
        <v>7141</v>
      </c>
      <c r="F183" s="273" t="s">
        <v>7142</v>
      </c>
      <c r="G183" s="401">
        <v>180000000</v>
      </c>
      <c r="H183" s="284" t="s">
        <v>1711</v>
      </c>
      <c r="I183" s="284" t="s">
        <v>7143</v>
      </c>
      <c r="J183" s="982">
        <v>180000000</v>
      </c>
    </row>
    <row r="184" spans="1:10" ht="71.45" customHeight="1">
      <c r="A184" s="638" t="s">
        <v>7144</v>
      </c>
      <c r="B184" s="284" t="s">
        <v>7145</v>
      </c>
      <c r="C184" s="284"/>
      <c r="D184" s="284" t="s">
        <v>7146</v>
      </c>
      <c r="E184" s="284" t="s">
        <v>1945</v>
      </c>
      <c r="F184" s="284" t="s">
        <v>7147</v>
      </c>
      <c r="G184" s="401">
        <v>70000000</v>
      </c>
      <c r="H184" s="284" t="s">
        <v>1711</v>
      </c>
      <c r="I184" s="284" t="s">
        <v>7148</v>
      </c>
      <c r="J184" s="982">
        <v>70000000</v>
      </c>
    </row>
    <row r="185" spans="1:10">
      <c r="A185" s="638" t="s">
        <v>7149</v>
      </c>
      <c r="B185" s="284" t="s">
        <v>6551</v>
      </c>
      <c r="C185" s="284"/>
      <c r="D185" s="284" t="s">
        <v>7150</v>
      </c>
      <c r="E185" s="284" t="s">
        <v>1945</v>
      </c>
      <c r="F185" s="284" t="s">
        <v>7147</v>
      </c>
      <c r="G185" s="401">
        <v>70000000</v>
      </c>
      <c r="H185" s="284" t="s">
        <v>1711</v>
      </c>
      <c r="I185" s="284" t="s">
        <v>7148</v>
      </c>
      <c r="J185" s="982">
        <v>70000000</v>
      </c>
    </row>
    <row r="186" spans="1:10">
      <c r="A186" s="640"/>
      <c r="B186" s="377"/>
      <c r="C186" s="377"/>
      <c r="D186" s="377"/>
      <c r="E186" s="272"/>
      <c r="F186" s="377"/>
      <c r="G186" s="493"/>
      <c r="H186" s="377"/>
      <c r="I186" s="377"/>
      <c r="J186" s="983"/>
    </row>
    <row r="187" spans="1:10" ht="15.75">
      <c r="A187" s="1038" t="s">
        <v>6444</v>
      </c>
      <c r="B187" s="1039"/>
      <c r="C187" s="1039"/>
      <c r="D187" s="1039"/>
      <c r="E187" s="1039"/>
      <c r="F187" s="1039"/>
      <c r="G187" s="536">
        <f>SUM(G183:G186)</f>
        <v>320000000</v>
      </c>
      <c r="H187" s="567"/>
      <c r="I187" s="567"/>
      <c r="J187" s="977">
        <f>SUM(J183:J186)</f>
        <v>320000000</v>
      </c>
    </row>
    <row r="188" spans="1:10" ht="15.75">
      <c r="A188" s="1038" t="s">
        <v>6619</v>
      </c>
      <c r="B188" s="1039"/>
      <c r="C188" s="1039"/>
      <c r="D188" s="1039"/>
      <c r="E188" s="1039"/>
      <c r="F188" s="1039"/>
      <c r="G188" s="1039"/>
      <c r="H188" s="1039"/>
      <c r="I188" s="1039"/>
      <c r="J188" s="1040"/>
    </row>
    <row r="189" spans="1:10" ht="267.75">
      <c r="A189" s="638" t="s">
        <v>7151</v>
      </c>
      <c r="B189" s="284" t="s">
        <v>7152</v>
      </c>
      <c r="C189" s="284" t="s">
        <v>7153</v>
      </c>
      <c r="D189" s="284" t="s">
        <v>7154</v>
      </c>
      <c r="E189" s="284" t="s">
        <v>7155</v>
      </c>
      <c r="F189" s="284" t="s">
        <v>7156</v>
      </c>
      <c r="G189" s="401">
        <v>150000000</v>
      </c>
      <c r="H189" s="284" t="s">
        <v>1628</v>
      </c>
      <c r="I189" s="284" t="s">
        <v>7157</v>
      </c>
      <c r="J189" s="982">
        <v>110000000</v>
      </c>
    </row>
    <row r="190" spans="1:10">
      <c r="A190" s="640"/>
      <c r="B190" s="377"/>
      <c r="C190" s="377"/>
      <c r="D190" s="377"/>
      <c r="E190" s="272"/>
      <c r="F190" s="377"/>
      <c r="G190" s="493"/>
      <c r="H190" s="377"/>
      <c r="I190" s="377"/>
      <c r="J190" s="983"/>
    </row>
    <row r="191" spans="1:10" ht="15.75">
      <c r="A191" s="1038" t="s">
        <v>6444</v>
      </c>
      <c r="B191" s="1039"/>
      <c r="C191" s="1039"/>
      <c r="D191" s="1039"/>
      <c r="E191" s="1039"/>
      <c r="F191" s="1039"/>
      <c r="G191" s="536">
        <f>SUM(G189:G190)</f>
        <v>150000000</v>
      </c>
      <c r="H191" s="567"/>
      <c r="I191" s="567"/>
      <c r="J191" s="977">
        <f>SUM(J189:J190)</f>
        <v>110000000</v>
      </c>
    </row>
    <row r="192" spans="1:10" ht="15.75">
      <c r="A192" s="1038" t="s">
        <v>6620</v>
      </c>
      <c r="B192" s="1039"/>
      <c r="C192" s="1039"/>
      <c r="D192" s="1039"/>
      <c r="E192" s="1039"/>
      <c r="F192" s="1039"/>
      <c r="G192" s="1039"/>
      <c r="H192" s="1039"/>
      <c r="I192" s="1039"/>
      <c r="J192" s="1040"/>
    </row>
    <row r="193" spans="1:10" ht="38.25">
      <c r="A193" s="920" t="s">
        <v>6621</v>
      </c>
      <c r="B193" s="278" t="s">
        <v>134</v>
      </c>
      <c r="C193" s="279" t="s">
        <v>7158</v>
      </c>
      <c r="D193" s="279" t="s">
        <v>7159</v>
      </c>
      <c r="E193" s="279" t="s">
        <v>7160</v>
      </c>
      <c r="F193" s="278" t="s">
        <v>7161</v>
      </c>
      <c r="G193" s="541">
        <v>15000000</v>
      </c>
      <c r="H193" s="278">
        <v>1</v>
      </c>
      <c r="I193" s="278" t="s">
        <v>7162</v>
      </c>
      <c r="J193" s="984">
        <v>140000000</v>
      </c>
    </row>
    <row r="194" spans="1:10" ht="51">
      <c r="A194" s="920" t="s">
        <v>7163</v>
      </c>
      <c r="B194" s="278" t="s">
        <v>7164</v>
      </c>
      <c r="C194" s="278" t="s">
        <v>7165</v>
      </c>
      <c r="D194" s="278" t="s">
        <v>7164</v>
      </c>
      <c r="E194" s="278" t="s">
        <v>7166</v>
      </c>
      <c r="F194" s="278" t="s">
        <v>7167</v>
      </c>
      <c r="G194" s="541">
        <v>60000000</v>
      </c>
      <c r="H194" s="278">
        <v>1</v>
      </c>
      <c r="I194" s="278" t="s">
        <v>7168</v>
      </c>
      <c r="J194" s="984">
        <v>80000000</v>
      </c>
    </row>
    <row r="195" spans="1:10" ht="38.25">
      <c r="A195" s="920" t="s">
        <v>6621</v>
      </c>
      <c r="B195" s="278" t="s">
        <v>134</v>
      </c>
      <c r="C195" s="279" t="s">
        <v>7169</v>
      </c>
      <c r="D195" s="279" t="s">
        <v>134</v>
      </c>
      <c r="E195" s="279" t="s">
        <v>7170</v>
      </c>
      <c r="F195" s="278" t="s">
        <v>7171</v>
      </c>
      <c r="G195" s="541">
        <v>50000000</v>
      </c>
      <c r="H195" s="278">
        <v>1</v>
      </c>
      <c r="I195" s="278" t="s">
        <v>7168</v>
      </c>
      <c r="J195" s="984">
        <v>80000000</v>
      </c>
    </row>
    <row r="196" spans="1:10" ht="25.5">
      <c r="A196" s="920" t="s">
        <v>6627</v>
      </c>
      <c r="B196" s="278" t="s">
        <v>7172</v>
      </c>
      <c r="C196" s="278" t="s">
        <v>7173</v>
      </c>
      <c r="D196" s="278" t="s">
        <v>7172</v>
      </c>
      <c r="E196" s="278" t="s">
        <v>7174</v>
      </c>
      <c r="F196" s="278" t="s">
        <v>7175</v>
      </c>
      <c r="G196" s="541">
        <v>40000000</v>
      </c>
      <c r="H196" s="278">
        <v>1</v>
      </c>
      <c r="I196" s="278" t="s">
        <v>7168</v>
      </c>
      <c r="J196" s="984">
        <v>80000000</v>
      </c>
    </row>
    <row r="197" spans="1:10">
      <c r="A197" s="640"/>
      <c r="B197" s="377"/>
      <c r="C197" s="377"/>
      <c r="D197" s="377"/>
      <c r="E197" s="272"/>
      <c r="F197" s="377"/>
      <c r="G197" s="493"/>
      <c r="H197" s="377"/>
      <c r="I197" s="377"/>
      <c r="J197" s="983"/>
    </row>
    <row r="198" spans="1:10" ht="15.75">
      <c r="A198" s="1038" t="s">
        <v>6444</v>
      </c>
      <c r="B198" s="1039"/>
      <c r="C198" s="1039"/>
      <c r="D198" s="1039"/>
      <c r="E198" s="1039"/>
      <c r="F198" s="1039"/>
      <c r="G198" s="536">
        <f>SUM(G193:G197)</f>
        <v>165000000</v>
      </c>
      <c r="H198" s="567"/>
      <c r="I198" s="567"/>
      <c r="J198" s="977">
        <f>SUM(J193:J197)</f>
        <v>380000000</v>
      </c>
    </row>
    <row r="199" spans="1:10" ht="15.75">
      <c r="A199" s="1038" t="s">
        <v>6634</v>
      </c>
      <c r="B199" s="1039"/>
      <c r="C199" s="1039"/>
      <c r="D199" s="1039"/>
      <c r="E199" s="1039"/>
      <c r="F199" s="1039"/>
      <c r="G199" s="1039"/>
      <c r="H199" s="1039"/>
      <c r="I199" s="1039"/>
      <c r="J199" s="1040"/>
    </row>
    <row r="200" spans="1:10" ht="56.25">
      <c r="A200" s="985" t="s">
        <v>24689</v>
      </c>
      <c r="B200" s="966" t="s">
        <v>24689</v>
      </c>
      <c r="C200" s="25" t="s">
        <v>24690</v>
      </c>
      <c r="D200" s="367" t="s">
        <v>815</v>
      </c>
      <c r="E200" s="367" t="s">
        <v>24691</v>
      </c>
      <c r="F200" s="367" t="s">
        <v>24692</v>
      </c>
      <c r="G200" s="535">
        <v>250000</v>
      </c>
      <c r="H200" s="367">
        <v>1</v>
      </c>
      <c r="I200" s="25" t="s">
        <v>24693</v>
      </c>
      <c r="J200" s="980">
        <v>575000</v>
      </c>
    </row>
    <row r="201" spans="1:10" ht="56.25">
      <c r="A201" s="39" t="s">
        <v>6726</v>
      </c>
      <c r="B201" s="52" t="s">
        <v>24825</v>
      </c>
      <c r="C201" s="25" t="s">
        <v>24826</v>
      </c>
      <c r="D201" s="367" t="s">
        <v>24827</v>
      </c>
      <c r="E201" s="367" t="s">
        <v>24828</v>
      </c>
      <c r="F201" s="367" t="s">
        <v>24829</v>
      </c>
      <c r="G201" s="535">
        <v>25000000</v>
      </c>
      <c r="H201" s="367">
        <v>1</v>
      </c>
      <c r="I201" s="25" t="s">
        <v>24830</v>
      </c>
      <c r="J201" s="980">
        <v>70000000</v>
      </c>
    </row>
    <row r="202" spans="1:10" ht="15.75">
      <c r="A202" s="1038" t="s">
        <v>6444</v>
      </c>
      <c r="B202" s="1039"/>
      <c r="C202" s="1039"/>
      <c r="D202" s="1039"/>
      <c r="E202" s="1039"/>
      <c r="F202" s="1039"/>
      <c r="G202" s="536">
        <f>SUM(G200:G201)</f>
        <v>25250000</v>
      </c>
      <c r="H202" s="567"/>
      <c r="I202" s="567"/>
      <c r="J202" s="977">
        <f>SUM(J200:J201)</f>
        <v>70575000</v>
      </c>
    </row>
    <row r="203" spans="1:10" ht="15.75">
      <c r="A203" s="1038" t="s">
        <v>7066</v>
      </c>
      <c r="B203" s="1039"/>
      <c r="C203" s="1039"/>
      <c r="D203" s="1039"/>
      <c r="E203" s="1039"/>
      <c r="F203" s="1039"/>
      <c r="G203" s="1039"/>
      <c r="H203" s="1039"/>
      <c r="I203" s="1039"/>
      <c r="J203" s="1040"/>
    </row>
    <row r="204" spans="1:10" ht="25.5">
      <c r="A204" s="638" t="s">
        <v>1879</v>
      </c>
      <c r="B204" s="284" t="s">
        <v>1707</v>
      </c>
      <c r="C204" s="284" t="s">
        <v>7068</v>
      </c>
      <c r="D204" s="284" t="s">
        <v>7176</v>
      </c>
      <c r="E204" s="284" t="s">
        <v>7177</v>
      </c>
      <c r="F204" s="284" t="s">
        <v>7178</v>
      </c>
      <c r="G204" s="401">
        <v>120000000</v>
      </c>
      <c r="H204" s="284" t="s">
        <v>31</v>
      </c>
      <c r="I204" s="284" t="s">
        <v>7179</v>
      </c>
      <c r="J204" s="982">
        <v>325000000</v>
      </c>
    </row>
    <row r="205" spans="1:10">
      <c r="A205" s="640"/>
      <c r="B205" s="377"/>
      <c r="C205" s="377"/>
      <c r="D205" s="377"/>
      <c r="E205" s="272"/>
      <c r="F205" s="377"/>
      <c r="G205" s="493"/>
      <c r="H205" s="377"/>
      <c r="I205" s="377"/>
      <c r="J205" s="983"/>
    </row>
    <row r="206" spans="1:10" ht="15.75">
      <c r="A206" s="1038" t="s">
        <v>6444</v>
      </c>
      <c r="B206" s="1039"/>
      <c r="C206" s="1039"/>
      <c r="D206" s="1039"/>
      <c r="E206" s="1039"/>
      <c r="F206" s="1039"/>
      <c r="G206" s="536">
        <f>SUM(G204:G205)</f>
        <v>120000000</v>
      </c>
      <c r="H206" s="567"/>
      <c r="I206" s="567"/>
      <c r="J206" s="977">
        <f>SUM(J204:J205)</f>
        <v>325000000</v>
      </c>
    </row>
    <row r="207" spans="1:10" ht="15.75">
      <c r="A207" s="1038" t="s">
        <v>7085</v>
      </c>
      <c r="B207" s="1039"/>
      <c r="C207" s="1039"/>
      <c r="D207" s="1039"/>
      <c r="E207" s="1039"/>
      <c r="F207" s="1039"/>
      <c r="G207" s="1039"/>
      <c r="H207" s="1039"/>
      <c r="I207" s="1039"/>
      <c r="J207" s="1040"/>
    </row>
    <row r="208" spans="1:10" ht="25.5">
      <c r="A208" s="638" t="s">
        <v>81</v>
      </c>
      <c r="B208" s="284" t="s">
        <v>359</v>
      </c>
      <c r="C208" s="284" t="s">
        <v>360</v>
      </c>
      <c r="D208" s="284" t="s">
        <v>361</v>
      </c>
      <c r="E208" s="284" t="s">
        <v>362</v>
      </c>
      <c r="F208" s="284" t="s">
        <v>363</v>
      </c>
      <c r="G208" s="401">
        <v>330000000</v>
      </c>
      <c r="H208" s="284">
        <v>1</v>
      </c>
      <c r="I208" s="284" t="s">
        <v>364</v>
      </c>
      <c r="J208" s="982">
        <v>455535000</v>
      </c>
    </row>
    <row r="209" spans="1:10" ht="25.5">
      <c r="A209" s="638" t="s">
        <v>365</v>
      </c>
      <c r="B209" s="284" t="s">
        <v>366</v>
      </c>
      <c r="C209" s="284" t="s">
        <v>367</v>
      </c>
      <c r="D209" s="284" t="s">
        <v>368</v>
      </c>
      <c r="E209" s="284" t="s">
        <v>369</v>
      </c>
      <c r="F209" s="284" t="s">
        <v>370</v>
      </c>
      <c r="G209" s="401">
        <v>396000000</v>
      </c>
      <c r="H209" s="284">
        <v>1</v>
      </c>
      <c r="I209" s="284" t="s">
        <v>364</v>
      </c>
      <c r="J209" s="982">
        <v>546642000</v>
      </c>
    </row>
    <row r="210" spans="1:10">
      <c r="A210" s="640"/>
      <c r="B210" s="377"/>
      <c r="C210" s="377"/>
      <c r="D210" s="377"/>
      <c r="E210" s="272"/>
      <c r="F210" s="377"/>
      <c r="G210" s="493"/>
      <c r="H210" s="377"/>
      <c r="I210" s="377"/>
      <c r="J210" s="983"/>
    </row>
    <row r="211" spans="1:10" ht="15.75">
      <c r="A211" s="1038" t="s">
        <v>6444</v>
      </c>
      <c r="B211" s="1039"/>
      <c r="C211" s="1039"/>
      <c r="D211" s="1039"/>
      <c r="E211" s="1039"/>
      <c r="F211" s="1039"/>
      <c r="G211" s="536">
        <f>SUM(G208:G210)</f>
        <v>726000000</v>
      </c>
      <c r="H211" s="567"/>
      <c r="I211" s="567"/>
      <c r="J211" s="977">
        <f>SUM(J208:J210)</f>
        <v>1002177000</v>
      </c>
    </row>
    <row r="212" spans="1:10" ht="15.75">
      <c r="A212" s="1038" t="s">
        <v>5761</v>
      </c>
      <c r="B212" s="1039"/>
      <c r="C212" s="1039"/>
      <c r="D212" s="1039"/>
      <c r="E212" s="1039"/>
      <c r="F212" s="1039"/>
      <c r="G212" s="1039"/>
      <c r="H212" s="1039"/>
      <c r="I212" s="1039"/>
      <c r="J212" s="1040"/>
    </row>
    <row r="213" spans="1:10" ht="252">
      <c r="A213" s="986" t="s">
        <v>5637</v>
      </c>
      <c r="B213" s="251" t="s">
        <v>5638</v>
      </c>
      <c r="C213" s="251" t="s">
        <v>5639</v>
      </c>
      <c r="D213" s="251" t="s">
        <v>5640</v>
      </c>
      <c r="E213" s="251" t="s">
        <v>5641</v>
      </c>
      <c r="F213" s="251" t="s">
        <v>5642</v>
      </c>
      <c r="G213" s="542"/>
      <c r="H213" s="251"/>
      <c r="I213" s="251" t="s">
        <v>5643</v>
      </c>
      <c r="J213" s="987">
        <v>116937603.64</v>
      </c>
    </row>
    <row r="214" spans="1:10" ht="267.75">
      <c r="A214" s="986" t="s">
        <v>4300</v>
      </c>
      <c r="B214" s="251" t="s">
        <v>4300</v>
      </c>
      <c r="C214" s="251" t="s">
        <v>5644</v>
      </c>
      <c r="D214" s="251" t="s">
        <v>5645</v>
      </c>
      <c r="E214" s="251" t="s">
        <v>5646</v>
      </c>
      <c r="F214" s="251" t="s">
        <v>5647</v>
      </c>
      <c r="G214" s="542"/>
      <c r="H214" s="251"/>
      <c r="I214" s="251" t="s">
        <v>5643</v>
      </c>
      <c r="J214" s="987">
        <v>280650248.74000001</v>
      </c>
    </row>
    <row r="215" spans="1:10" ht="45">
      <c r="A215" s="39" t="s">
        <v>5761</v>
      </c>
      <c r="B215" s="52" t="s">
        <v>24725</v>
      </c>
      <c r="C215" s="25" t="s">
        <v>24726</v>
      </c>
      <c r="D215" s="367" t="s">
        <v>5772</v>
      </c>
      <c r="E215" s="367" t="s">
        <v>24727</v>
      </c>
      <c r="F215" s="367" t="s">
        <v>24728</v>
      </c>
      <c r="G215" s="535">
        <v>0</v>
      </c>
      <c r="H215" s="367" t="s">
        <v>1628</v>
      </c>
      <c r="I215" s="25" t="s">
        <v>24729</v>
      </c>
      <c r="J215" s="980">
        <v>5404154.5800000001</v>
      </c>
    </row>
    <row r="216" spans="1:10" ht="45">
      <c r="A216" s="39" t="s">
        <v>4085</v>
      </c>
      <c r="B216" s="52" t="s">
        <v>4431</v>
      </c>
      <c r="C216" s="25" t="s">
        <v>24730</v>
      </c>
      <c r="D216" s="367" t="s">
        <v>2120</v>
      </c>
      <c r="E216" s="367" t="s">
        <v>24731</v>
      </c>
      <c r="F216" s="367" t="s">
        <v>24732</v>
      </c>
      <c r="G216" s="535" t="s">
        <v>3307</v>
      </c>
      <c r="H216" s="367" t="s">
        <v>31</v>
      </c>
      <c r="I216" s="25" t="s">
        <v>24733</v>
      </c>
      <c r="J216" s="980">
        <v>5000000</v>
      </c>
    </row>
    <row r="217" spans="1:10" ht="15.75">
      <c r="A217" s="1038" t="s">
        <v>189</v>
      </c>
      <c r="B217" s="1039"/>
      <c r="C217" s="1039"/>
      <c r="D217" s="1039"/>
      <c r="E217" s="1039"/>
      <c r="F217" s="1039"/>
      <c r="G217" s="536">
        <f>SUM(G213:G216)</f>
        <v>0</v>
      </c>
      <c r="H217" s="567"/>
      <c r="I217" s="567"/>
      <c r="J217" s="977">
        <f>SUM(J213:J216)</f>
        <v>407992006.95999998</v>
      </c>
    </row>
    <row r="218" spans="1:10" ht="15.75">
      <c r="A218" s="1038" t="s">
        <v>5634</v>
      </c>
      <c r="B218" s="1039"/>
      <c r="C218" s="1039"/>
      <c r="D218" s="1039"/>
      <c r="E218" s="1039"/>
      <c r="F218" s="1039"/>
      <c r="G218" s="1039"/>
      <c r="H218" s="1039"/>
      <c r="I218" s="1039"/>
      <c r="J218" s="1040"/>
    </row>
    <row r="219" spans="1:10" ht="47.25">
      <c r="A219" s="988" t="s">
        <v>5421</v>
      </c>
      <c r="B219" s="252" t="s">
        <v>5648</v>
      </c>
      <c r="C219" s="253" t="s">
        <v>5649</v>
      </c>
      <c r="D219" s="253" t="s">
        <v>5650</v>
      </c>
      <c r="E219" s="253" t="s">
        <v>5651</v>
      </c>
      <c r="F219" s="253" t="s">
        <v>5652</v>
      </c>
      <c r="G219" s="543">
        <v>1500000</v>
      </c>
      <c r="H219" s="253">
        <v>1</v>
      </c>
      <c r="I219" s="253" t="s">
        <v>5653</v>
      </c>
      <c r="J219" s="989">
        <v>176000000</v>
      </c>
    </row>
    <row r="220" spans="1:10" ht="63">
      <c r="A220" s="988" t="s">
        <v>5421</v>
      </c>
      <c r="B220" s="252" t="s">
        <v>5421</v>
      </c>
      <c r="C220" s="253" t="s">
        <v>5654</v>
      </c>
      <c r="D220" s="253" t="s">
        <v>5650</v>
      </c>
      <c r="E220" s="253" t="s">
        <v>5651</v>
      </c>
      <c r="F220" s="253" t="s">
        <v>5652</v>
      </c>
      <c r="G220" s="543">
        <v>1500000</v>
      </c>
      <c r="H220" s="253">
        <v>1</v>
      </c>
      <c r="I220" s="253" t="s">
        <v>5653</v>
      </c>
      <c r="J220" s="989">
        <v>176000000</v>
      </c>
    </row>
    <row r="221" spans="1:10" ht="47.25">
      <c r="A221" s="988" t="s">
        <v>5421</v>
      </c>
      <c r="B221" s="252" t="s">
        <v>5421</v>
      </c>
      <c r="C221" s="254" t="s">
        <v>5655</v>
      </c>
      <c r="D221" s="253" t="s">
        <v>5650</v>
      </c>
      <c r="E221" s="253" t="s">
        <v>5651</v>
      </c>
      <c r="F221" s="253" t="s">
        <v>5652</v>
      </c>
      <c r="G221" s="543">
        <v>1500000</v>
      </c>
      <c r="H221" s="253">
        <v>1</v>
      </c>
      <c r="I221" s="253" t="s">
        <v>5653</v>
      </c>
      <c r="J221" s="989">
        <v>176000000</v>
      </c>
    </row>
    <row r="222" spans="1:10" ht="15.75">
      <c r="A222" s="1038" t="s">
        <v>189</v>
      </c>
      <c r="B222" s="1039"/>
      <c r="C222" s="1039"/>
      <c r="D222" s="1039"/>
      <c r="E222" s="1039"/>
      <c r="F222" s="1039"/>
      <c r="G222" s="536">
        <f>SUM(G219:G221)</f>
        <v>4500000</v>
      </c>
      <c r="H222" s="567"/>
      <c r="I222" s="567"/>
      <c r="J222" s="977">
        <f>SUM(J219:J221)</f>
        <v>528000000</v>
      </c>
    </row>
    <row r="223" spans="1:10" ht="15.75">
      <c r="A223" s="1038" t="s">
        <v>5635</v>
      </c>
      <c r="B223" s="1039"/>
      <c r="C223" s="1039"/>
      <c r="D223" s="1039"/>
      <c r="E223" s="1039"/>
      <c r="F223" s="1039"/>
      <c r="G223" s="1039"/>
      <c r="H223" s="1039"/>
      <c r="I223" s="1039"/>
      <c r="J223" s="1040"/>
    </row>
    <row r="224" spans="1:10" ht="30">
      <c r="A224" s="255" t="s">
        <v>5444</v>
      </c>
      <c r="B224" s="256" t="s">
        <v>5656</v>
      </c>
      <c r="C224" s="256" t="s">
        <v>5463</v>
      </c>
      <c r="D224" s="242" t="s">
        <v>5657</v>
      </c>
      <c r="E224" s="242" t="s">
        <v>940</v>
      </c>
      <c r="F224" s="242" t="s">
        <v>5658</v>
      </c>
      <c r="G224" s="592">
        <v>2000000</v>
      </c>
      <c r="H224" s="256">
        <v>3</v>
      </c>
      <c r="I224" s="244" t="s">
        <v>5659</v>
      </c>
      <c r="J224" s="257">
        <v>8000000</v>
      </c>
    </row>
    <row r="225" spans="1:10" ht="30">
      <c r="A225" s="255" t="str">
        <f t="shared" ref="A225:A239" si="0">+A224</f>
        <v>SAN RAFAEL</v>
      </c>
      <c r="B225" s="256" t="s">
        <v>5660</v>
      </c>
      <c r="C225" s="256" t="str">
        <f>+C224</f>
        <v>C-3-07-041</v>
      </c>
      <c r="D225" s="242" t="s">
        <v>5661</v>
      </c>
      <c r="E225" s="242" t="s">
        <v>5662</v>
      </c>
      <c r="F225" s="242" t="s">
        <v>5663</v>
      </c>
      <c r="G225" s="592">
        <v>3000000</v>
      </c>
      <c r="H225" s="256">
        <v>3</v>
      </c>
      <c r="I225" s="244" t="s">
        <v>5664</v>
      </c>
      <c r="J225" s="257">
        <v>5000000</v>
      </c>
    </row>
    <row r="226" spans="1:10" ht="60">
      <c r="A226" s="255" t="str">
        <f t="shared" si="0"/>
        <v>SAN RAFAEL</v>
      </c>
      <c r="B226" s="242" t="s">
        <v>5665</v>
      </c>
      <c r="C226" s="256" t="str">
        <f>+C225</f>
        <v>C-3-07-041</v>
      </c>
      <c r="D226" s="242" t="s">
        <v>5666</v>
      </c>
      <c r="E226" s="242" t="s">
        <v>5667</v>
      </c>
      <c r="F226" s="244" t="s">
        <v>5668</v>
      </c>
      <c r="G226" s="592">
        <v>50000000</v>
      </c>
      <c r="H226" s="256">
        <v>1</v>
      </c>
      <c r="I226" s="244" t="s">
        <v>5669</v>
      </c>
      <c r="J226" s="257">
        <v>205000000</v>
      </c>
    </row>
    <row r="227" spans="1:10" ht="45">
      <c r="A227" s="255" t="str">
        <f t="shared" si="0"/>
        <v>SAN RAFAEL</v>
      </c>
      <c r="B227" s="260" t="s">
        <v>5660</v>
      </c>
      <c r="C227" s="256" t="str">
        <f>+C226</f>
        <v>C-3-07-041</v>
      </c>
      <c r="D227" s="259" t="s">
        <v>5670</v>
      </c>
      <c r="E227" s="242" t="s">
        <v>5667</v>
      </c>
      <c r="F227" s="258" t="s">
        <v>5671</v>
      </c>
      <c r="G227" s="592">
        <v>100000000</v>
      </c>
      <c r="H227" s="256">
        <v>1</v>
      </c>
      <c r="I227" s="244" t="s">
        <v>5672</v>
      </c>
      <c r="J227" s="257">
        <v>205000000</v>
      </c>
    </row>
    <row r="228" spans="1:10" ht="75">
      <c r="A228" s="255" t="str">
        <f t="shared" si="0"/>
        <v>SAN RAFAEL</v>
      </c>
      <c r="B228" s="259" t="s">
        <v>5673</v>
      </c>
      <c r="C228" s="256" t="s">
        <v>5457</v>
      </c>
      <c r="D228" s="259" t="s">
        <v>5674</v>
      </c>
      <c r="E228" s="242"/>
      <c r="F228" s="259" t="s">
        <v>5675</v>
      </c>
      <c r="G228" s="592">
        <v>25000000</v>
      </c>
      <c r="H228" s="256">
        <v>2</v>
      </c>
      <c r="I228" s="244" t="s">
        <v>5676</v>
      </c>
      <c r="J228" s="257">
        <v>160000000</v>
      </c>
    </row>
    <row r="229" spans="1:10" s="9" customFormat="1" ht="45">
      <c r="A229" s="255" t="str">
        <f t="shared" si="0"/>
        <v>SAN RAFAEL</v>
      </c>
      <c r="B229" s="259" t="s">
        <v>5677</v>
      </c>
      <c r="C229" s="256" t="str">
        <f>+C227</f>
        <v>C-3-07-041</v>
      </c>
      <c r="D229" s="259" t="s">
        <v>5678</v>
      </c>
      <c r="E229" s="242"/>
      <c r="F229" s="259" t="s">
        <v>5679</v>
      </c>
      <c r="G229" s="592">
        <v>8000000</v>
      </c>
      <c r="H229" s="256">
        <v>2</v>
      </c>
      <c r="I229" s="244" t="s">
        <v>5680</v>
      </c>
      <c r="J229" s="257">
        <v>15000000</v>
      </c>
    </row>
    <row r="230" spans="1:10" s="9" customFormat="1" ht="45">
      <c r="A230" s="255" t="str">
        <f t="shared" si="0"/>
        <v>SAN RAFAEL</v>
      </c>
      <c r="B230" s="259" t="s">
        <v>5681</v>
      </c>
      <c r="C230" s="256" t="str">
        <f>+C229</f>
        <v>C-3-07-041</v>
      </c>
      <c r="D230" s="259" t="s">
        <v>5682</v>
      </c>
      <c r="E230" s="242"/>
      <c r="F230" s="259" t="s">
        <v>5683</v>
      </c>
      <c r="G230" s="592">
        <v>3000000</v>
      </c>
      <c r="H230" s="256">
        <v>3</v>
      </c>
      <c r="I230" s="244" t="s">
        <v>5684</v>
      </c>
      <c r="J230" s="257">
        <v>5000000</v>
      </c>
    </row>
    <row r="231" spans="1:10" s="9" customFormat="1" ht="45">
      <c r="A231" s="255" t="str">
        <f t="shared" si="0"/>
        <v>SAN RAFAEL</v>
      </c>
      <c r="B231" s="259" t="s">
        <v>5685</v>
      </c>
      <c r="C231" s="256" t="str">
        <f t="shared" ref="C231:C239" si="1">+C230</f>
        <v>C-3-07-041</v>
      </c>
      <c r="D231" s="259" t="s">
        <v>5686</v>
      </c>
      <c r="E231" s="242"/>
      <c r="F231" s="259" t="s">
        <v>5687</v>
      </c>
      <c r="G231" s="592">
        <v>2500000</v>
      </c>
      <c r="H231" s="256">
        <v>3</v>
      </c>
      <c r="I231" s="244" t="s">
        <v>5688</v>
      </c>
      <c r="J231" s="257">
        <v>5000000</v>
      </c>
    </row>
    <row r="232" spans="1:10" ht="60">
      <c r="A232" s="255" t="str">
        <f t="shared" si="0"/>
        <v>SAN RAFAEL</v>
      </c>
      <c r="B232" s="259" t="s">
        <v>5689</v>
      </c>
      <c r="C232" s="256" t="str">
        <f t="shared" si="1"/>
        <v>C-3-07-041</v>
      </c>
      <c r="D232" s="259" t="s">
        <v>5690</v>
      </c>
      <c r="E232" s="242"/>
      <c r="F232" s="259" t="s">
        <v>5691</v>
      </c>
      <c r="G232" s="592">
        <v>5500000</v>
      </c>
      <c r="H232" s="256">
        <v>3</v>
      </c>
      <c r="I232" s="244" t="s">
        <v>5692</v>
      </c>
      <c r="J232" s="257">
        <v>8000000</v>
      </c>
    </row>
    <row r="233" spans="1:10" ht="45">
      <c r="A233" s="255" t="str">
        <f t="shared" si="0"/>
        <v>SAN RAFAEL</v>
      </c>
      <c r="B233" s="259" t="s">
        <v>5693</v>
      </c>
      <c r="C233" s="256" t="str">
        <f t="shared" si="1"/>
        <v>C-3-07-041</v>
      </c>
      <c r="D233" s="259" t="s">
        <v>5690</v>
      </c>
      <c r="E233" s="242"/>
      <c r="F233" s="259" t="s">
        <v>5694</v>
      </c>
      <c r="G233" s="592">
        <v>15000000</v>
      </c>
      <c r="H233" s="256">
        <v>1</v>
      </c>
      <c r="I233" s="244" t="s">
        <v>5676</v>
      </c>
      <c r="J233" s="257">
        <v>30000000</v>
      </c>
    </row>
    <row r="234" spans="1:10" ht="60">
      <c r="A234" s="255" t="str">
        <f t="shared" si="0"/>
        <v>SAN RAFAEL</v>
      </c>
      <c r="B234" s="259" t="s">
        <v>5695</v>
      </c>
      <c r="C234" s="256" t="str">
        <f t="shared" si="1"/>
        <v>C-3-07-041</v>
      </c>
      <c r="D234" s="259" t="s">
        <v>5696</v>
      </c>
      <c r="E234" s="242"/>
      <c r="F234" s="260" t="s">
        <v>5697</v>
      </c>
      <c r="G234" s="592">
        <v>5500000</v>
      </c>
      <c r="H234" s="256">
        <v>2</v>
      </c>
      <c r="I234" s="244" t="s">
        <v>5698</v>
      </c>
      <c r="J234" s="257">
        <v>10500000</v>
      </c>
    </row>
    <row r="235" spans="1:10" ht="45">
      <c r="A235" s="255" t="str">
        <f t="shared" si="0"/>
        <v>SAN RAFAEL</v>
      </c>
      <c r="B235" s="259" t="s">
        <v>5699</v>
      </c>
      <c r="C235" s="256" t="s">
        <v>5700</v>
      </c>
      <c r="D235" s="259" t="s">
        <v>5701</v>
      </c>
      <c r="E235" s="242"/>
      <c r="F235" s="259" t="s">
        <v>5702</v>
      </c>
      <c r="G235" s="592">
        <v>1000000</v>
      </c>
      <c r="H235" s="256">
        <v>3</v>
      </c>
      <c r="I235" s="244" t="s">
        <v>5703</v>
      </c>
      <c r="J235" s="257">
        <v>7500000</v>
      </c>
    </row>
    <row r="236" spans="1:10" ht="90">
      <c r="A236" s="255" t="str">
        <f t="shared" si="0"/>
        <v>SAN RAFAEL</v>
      </c>
      <c r="B236" s="259" t="s">
        <v>5704</v>
      </c>
      <c r="C236" s="256" t="str">
        <f t="shared" si="1"/>
        <v>C-3-07-029</v>
      </c>
      <c r="D236" s="259" t="s">
        <v>5705</v>
      </c>
      <c r="E236" s="242"/>
      <c r="F236" s="259" t="s">
        <v>5706</v>
      </c>
      <c r="G236" s="592">
        <v>10000000</v>
      </c>
      <c r="H236" s="256">
        <v>1</v>
      </c>
      <c r="I236" s="244" t="s">
        <v>5707</v>
      </c>
      <c r="J236" s="257">
        <v>40000000</v>
      </c>
    </row>
    <row r="237" spans="1:10" ht="60">
      <c r="A237" s="255" t="str">
        <f t="shared" si="0"/>
        <v>SAN RAFAEL</v>
      </c>
      <c r="B237" s="259" t="s">
        <v>5708</v>
      </c>
      <c r="C237" s="256" t="str">
        <f t="shared" si="1"/>
        <v>C-3-07-029</v>
      </c>
      <c r="D237" s="259" t="s">
        <v>5709</v>
      </c>
      <c r="E237" s="242"/>
      <c r="F237" s="259" t="s">
        <v>5710</v>
      </c>
      <c r="G237" s="592">
        <v>2000000</v>
      </c>
      <c r="H237" s="256">
        <v>3</v>
      </c>
      <c r="I237" s="244" t="s">
        <v>5711</v>
      </c>
      <c r="J237" s="257">
        <v>12000000</v>
      </c>
    </row>
    <row r="238" spans="1:10" ht="60">
      <c r="A238" s="255" t="str">
        <f t="shared" si="0"/>
        <v>SAN RAFAEL</v>
      </c>
      <c r="B238" s="259" t="s">
        <v>5712</v>
      </c>
      <c r="C238" s="256" t="str">
        <f t="shared" si="1"/>
        <v>C-3-07-029</v>
      </c>
      <c r="D238" s="259" t="s">
        <v>5713</v>
      </c>
      <c r="E238" s="242"/>
      <c r="F238" s="259" t="s">
        <v>5714</v>
      </c>
      <c r="G238" s="592">
        <v>60000000</v>
      </c>
      <c r="H238" s="256">
        <v>1</v>
      </c>
      <c r="I238" s="244" t="s">
        <v>5669</v>
      </c>
      <c r="J238" s="257">
        <v>205000000</v>
      </c>
    </row>
    <row r="239" spans="1:10" ht="30">
      <c r="A239" s="255" t="str">
        <f t="shared" si="0"/>
        <v>SAN RAFAEL</v>
      </c>
      <c r="B239" s="259" t="s">
        <v>5715</v>
      </c>
      <c r="C239" s="256" t="str">
        <f t="shared" si="1"/>
        <v>C-3-07-029</v>
      </c>
      <c r="D239" s="259" t="s">
        <v>5716</v>
      </c>
      <c r="E239" s="242"/>
      <c r="F239" s="259" t="s">
        <v>5717</v>
      </c>
      <c r="G239" s="592">
        <v>8000000</v>
      </c>
      <c r="H239" s="256">
        <v>2</v>
      </c>
      <c r="I239" s="244" t="s">
        <v>5703</v>
      </c>
      <c r="J239" s="257">
        <v>25000000</v>
      </c>
    </row>
    <row r="240" spans="1:10" ht="15.75">
      <c r="A240" s="1038" t="s">
        <v>189</v>
      </c>
      <c r="B240" s="1039"/>
      <c r="C240" s="1039"/>
      <c r="D240" s="1039"/>
      <c r="E240" s="1039"/>
      <c r="F240" s="1039"/>
      <c r="G240" s="536">
        <f>SUM(G224:G239)</f>
        <v>300500000</v>
      </c>
      <c r="H240" s="567"/>
      <c r="I240" s="567"/>
      <c r="J240" s="977">
        <f>SUM(J224:J239)</f>
        <v>946000000</v>
      </c>
    </row>
    <row r="241" spans="1:10" ht="15.75">
      <c r="A241" s="1038" t="s">
        <v>5636</v>
      </c>
      <c r="B241" s="1039"/>
      <c r="C241" s="1039"/>
      <c r="D241" s="1039"/>
      <c r="E241" s="1039"/>
      <c r="F241" s="1039"/>
      <c r="G241" s="1039"/>
      <c r="H241" s="1039"/>
      <c r="I241" s="1039"/>
      <c r="J241" s="1040"/>
    </row>
    <row r="242" spans="1:10" ht="47.25">
      <c r="A242" s="990" t="s">
        <v>19</v>
      </c>
      <c r="B242" s="261" t="s">
        <v>5577</v>
      </c>
      <c r="C242" s="261" t="s">
        <v>5718</v>
      </c>
      <c r="D242" s="253" t="s">
        <v>5719</v>
      </c>
      <c r="E242" s="253" t="s">
        <v>5720</v>
      </c>
      <c r="F242" s="253" t="s">
        <v>5721</v>
      </c>
      <c r="G242" s="538">
        <v>2000000</v>
      </c>
      <c r="H242" s="253">
        <v>1</v>
      </c>
      <c r="I242" s="253" t="s">
        <v>5722</v>
      </c>
      <c r="J242" s="991">
        <v>13500000</v>
      </c>
    </row>
    <row r="243" spans="1:10" ht="47.25">
      <c r="A243" s="990" t="s">
        <v>19</v>
      </c>
      <c r="B243" s="261" t="s">
        <v>5723</v>
      </c>
      <c r="C243" s="261" t="s">
        <v>5724</v>
      </c>
      <c r="D243" s="253" t="s">
        <v>5723</v>
      </c>
      <c r="E243" s="253" t="s">
        <v>5725</v>
      </c>
      <c r="F243" s="253" t="s">
        <v>5726</v>
      </c>
      <c r="G243" s="538">
        <v>45000000</v>
      </c>
      <c r="H243" s="253">
        <v>1</v>
      </c>
      <c r="I243" s="253" t="s">
        <v>5727</v>
      </c>
      <c r="J243" s="991">
        <v>392000000</v>
      </c>
    </row>
    <row r="244" spans="1:10" ht="47.25">
      <c r="A244" s="990" t="s">
        <v>19</v>
      </c>
      <c r="B244" s="261" t="s">
        <v>5723</v>
      </c>
      <c r="C244" s="261" t="s">
        <v>5728</v>
      </c>
      <c r="D244" s="253" t="s">
        <v>5723</v>
      </c>
      <c r="E244" s="253" t="s">
        <v>5729</v>
      </c>
      <c r="F244" s="253" t="s">
        <v>5730</v>
      </c>
      <c r="G244" s="538">
        <v>2000000</v>
      </c>
      <c r="H244" s="253">
        <v>1</v>
      </c>
      <c r="I244" s="253" t="s">
        <v>5722</v>
      </c>
      <c r="J244" s="991">
        <v>14500000</v>
      </c>
    </row>
    <row r="245" spans="1:10" ht="63">
      <c r="A245" s="990" t="s">
        <v>19</v>
      </c>
      <c r="B245" s="261" t="s">
        <v>4202</v>
      </c>
      <c r="C245" s="261" t="s">
        <v>5731</v>
      </c>
      <c r="D245" s="253"/>
      <c r="E245" s="253" t="s">
        <v>5732</v>
      </c>
      <c r="F245" s="253" t="s">
        <v>5733</v>
      </c>
      <c r="G245" s="538">
        <v>2000000</v>
      </c>
      <c r="H245" s="253">
        <v>1</v>
      </c>
      <c r="I245" s="253" t="s">
        <v>5722</v>
      </c>
      <c r="J245" s="991">
        <v>13500000</v>
      </c>
    </row>
    <row r="246" spans="1:10" ht="47.25">
      <c r="A246" s="990" t="s">
        <v>19</v>
      </c>
      <c r="B246" s="261" t="s">
        <v>5564</v>
      </c>
      <c r="C246" s="261" t="s">
        <v>5734</v>
      </c>
      <c r="D246" s="253" t="s">
        <v>5735</v>
      </c>
      <c r="E246" s="253" t="s">
        <v>5736</v>
      </c>
      <c r="F246" s="253" t="s">
        <v>5726</v>
      </c>
      <c r="G246" s="538">
        <v>10000000</v>
      </c>
      <c r="H246" s="253">
        <v>1</v>
      </c>
      <c r="I246" s="253" t="s">
        <v>5737</v>
      </c>
      <c r="J246" s="991">
        <v>276000000</v>
      </c>
    </row>
    <row r="247" spans="1:10" ht="47.25">
      <c r="A247" s="990" t="s">
        <v>19</v>
      </c>
      <c r="B247" s="261" t="s">
        <v>1166</v>
      </c>
      <c r="C247" s="261" t="s">
        <v>5738</v>
      </c>
      <c r="D247" s="253" t="s">
        <v>5735</v>
      </c>
      <c r="E247" s="253" t="s">
        <v>5739</v>
      </c>
      <c r="F247" s="253" t="s">
        <v>5740</v>
      </c>
      <c r="G247" s="538">
        <v>3500000</v>
      </c>
      <c r="H247" s="253">
        <v>1</v>
      </c>
      <c r="I247" s="253" t="s">
        <v>5741</v>
      </c>
      <c r="J247" s="991">
        <v>256000000</v>
      </c>
    </row>
    <row r="248" spans="1:10" ht="47.25">
      <c r="A248" s="990" t="s">
        <v>4268</v>
      </c>
      <c r="B248" s="261" t="s">
        <v>5742</v>
      </c>
      <c r="C248" s="261" t="s">
        <v>5743</v>
      </c>
      <c r="D248" s="253" t="s">
        <v>5744</v>
      </c>
      <c r="E248" s="253" t="s">
        <v>5745</v>
      </c>
      <c r="F248" s="253" t="s">
        <v>5746</v>
      </c>
      <c r="G248" s="538">
        <v>16000000</v>
      </c>
      <c r="H248" s="253">
        <v>1</v>
      </c>
      <c r="I248" s="253" t="s">
        <v>5747</v>
      </c>
      <c r="J248" s="991">
        <v>21000000</v>
      </c>
    </row>
    <row r="249" spans="1:10" ht="47.25">
      <c r="A249" s="990" t="s">
        <v>4268</v>
      </c>
      <c r="B249" s="261" t="s">
        <v>5748</v>
      </c>
      <c r="C249" s="261" t="s">
        <v>5749</v>
      </c>
      <c r="D249" s="253" t="s">
        <v>5744</v>
      </c>
      <c r="E249" s="253" t="s">
        <v>5750</v>
      </c>
      <c r="F249" s="253" t="s">
        <v>5726</v>
      </c>
      <c r="G249" s="538">
        <v>55000000</v>
      </c>
      <c r="H249" s="253">
        <v>1</v>
      </c>
      <c r="I249" s="253" t="s">
        <v>5727</v>
      </c>
      <c r="J249" s="991">
        <f>185000000+290000000</f>
        <v>475000000</v>
      </c>
    </row>
    <row r="250" spans="1:10" ht="47.25">
      <c r="A250" s="990" t="s">
        <v>4268</v>
      </c>
      <c r="B250" s="261" t="s">
        <v>5748</v>
      </c>
      <c r="C250" s="262" t="s">
        <v>5751</v>
      </c>
      <c r="D250" s="253" t="s">
        <v>5744</v>
      </c>
      <c r="E250" s="253" t="s">
        <v>5752</v>
      </c>
      <c r="F250" s="253" t="s">
        <v>5753</v>
      </c>
      <c r="G250" s="538">
        <v>3000000</v>
      </c>
      <c r="H250" s="253">
        <v>1</v>
      </c>
      <c r="I250" s="253" t="s">
        <v>5754</v>
      </c>
      <c r="J250" s="991">
        <v>35000000</v>
      </c>
    </row>
    <row r="251" spans="1:10" ht="47.25">
      <c r="A251" s="990" t="s">
        <v>4268</v>
      </c>
      <c r="B251" s="261" t="s">
        <v>5755</v>
      </c>
      <c r="C251" s="261" t="s">
        <v>5756</v>
      </c>
      <c r="D251" s="253" t="s">
        <v>5744</v>
      </c>
      <c r="E251" s="253" t="s">
        <v>5757</v>
      </c>
      <c r="F251" s="253" t="s">
        <v>5758</v>
      </c>
      <c r="G251" s="538">
        <v>4500000</v>
      </c>
      <c r="H251" s="253">
        <v>1</v>
      </c>
      <c r="I251" s="253" t="s">
        <v>5759</v>
      </c>
      <c r="J251" s="991">
        <v>35000000</v>
      </c>
    </row>
    <row r="252" spans="1:10" ht="15.75">
      <c r="A252" s="1038" t="s">
        <v>189</v>
      </c>
      <c r="B252" s="1039"/>
      <c r="C252" s="1039"/>
      <c r="D252" s="1039"/>
      <c r="E252" s="1039"/>
      <c r="F252" s="1039"/>
      <c r="G252" s="536">
        <f>SUM(G242:G251)</f>
        <v>143000000</v>
      </c>
      <c r="H252" s="567"/>
      <c r="I252" s="567"/>
      <c r="J252" s="977">
        <f>SUM(J242:J251)</f>
        <v>1531500000</v>
      </c>
    </row>
    <row r="253" spans="1:10" ht="15.75">
      <c r="A253" s="1038" t="s">
        <v>7264</v>
      </c>
      <c r="B253" s="1039"/>
      <c r="C253" s="1039"/>
      <c r="D253" s="1039"/>
      <c r="E253" s="1039"/>
      <c r="F253" s="1039"/>
      <c r="G253" s="1039"/>
      <c r="H253" s="1039"/>
      <c r="I253" s="1039"/>
      <c r="J253" s="1040"/>
    </row>
    <row r="254" spans="1:10">
      <c r="A254" s="51" t="s">
        <v>1127</v>
      </c>
      <c r="B254" s="324" t="s">
        <v>7259</v>
      </c>
      <c r="C254" s="25" t="s">
        <v>7260</v>
      </c>
      <c r="D254" s="25"/>
      <c r="E254" s="25" t="s">
        <v>7261</v>
      </c>
      <c r="F254" s="25" t="s">
        <v>7262</v>
      </c>
      <c r="G254" s="73">
        <v>40000000</v>
      </c>
      <c r="H254" s="25">
        <v>1</v>
      </c>
      <c r="I254" s="25" t="s">
        <v>7263</v>
      </c>
      <c r="J254" s="526">
        <v>170000000</v>
      </c>
    </row>
    <row r="255" spans="1:10" ht="15.75">
      <c r="A255" s="1038" t="s">
        <v>91</v>
      </c>
      <c r="B255" s="1039"/>
      <c r="C255" s="1039"/>
      <c r="D255" s="1039"/>
      <c r="E255" s="1039"/>
      <c r="F255" s="1039"/>
      <c r="G255" s="536">
        <f>SUM(G254)</f>
        <v>40000000</v>
      </c>
      <c r="H255" s="567"/>
      <c r="I255" s="567"/>
      <c r="J255" s="977">
        <f>SUM(J254)</f>
        <v>170000000</v>
      </c>
    </row>
    <row r="256" spans="1:10" ht="15.75">
      <c r="A256" s="1038" t="s">
        <v>704</v>
      </c>
      <c r="B256" s="1039"/>
      <c r="C256" s="1039"/>
      <c r="D256" s="1039"/>
      <c r="E256" s="1039"/>
      <c r="F256" s="1039"/>
      <c r="G256" s="1039"/>
      <c r="H256" s="1039"/>
      <c r="I256" s="1039"/>
      <c r="J256" s="1040"/>
    </row>
    <row r="257" spans="1:10" ht="51">
      <c r="A257" s="992" t="s">
        <v>705</v>
      </c>
      <c r="B257" s="38" t="s">
        <v>818</v>
      </c>
      <c r="C257" s="967" t="s">
        <v>717</v>
      </c>
      <c r="D257" s="968" t="s">
        <v>819</v>
      </c>
      <c r="E257" s="38" t="s">
        <v>820</v>
      </c>
      <c r="F257" s="38" t="s">
        <v>821</v>
      </c>
      <c r="G257" s="381">
        <v>75000</v>
      </c>
      <c r="H257" s="52" t="s">
        <v>30</v>
      </c>
      <c r="I257" s="40" t="s">
        <v>822</v>
      </c>
      <c r="J257" s="41">
        <v>2175000</v>
      </c>
    </row>
    <row r="258" spans="1:10" ht="25.5">
      <c r="A258" s="992" t="s">
        <v>705</v>
      </c>
      <c r="B258" s="38" t="s">
        <v>823</v>
      </c>
      <c r="C258" s="967" t="s">
        <v>741</v>
      </c>
      <c r="D258" s="38" t="s">
        <v>824</v>
      </c>
      <c r="E258" s="38" t="s">
        <v>825</v>
      </c>
      <c r="F258" s="38" t="s">
        <v>826</v>
      </c>
      <c r="G258" s="381">
        <v>2300000</v>
      </c>
      <c r="H258" s="52" t="s">
        <v>30</v>
      </c>
      <c r="I258" s="40" t="s">
        <v>827</v>
      </c>
      <c r="J258" s="41">
        <v>10500000</v>
      </c>
    </row>
    <row r="259" spans="1:10" ht="25.5">
      <c r="A259" s="992" t="s">
        <v>705</v>
      </c>
      <c r="B259" s="38" t="s">
        <v>828</v>
      </c>
      <c r="C259" s="967" t="s">
        <v>717</v>
      </c>
      <c r="D259" s="38" t="s">
        <v>829</v>
      </c>
      <c r="E259" s="38" t="s">
        <v>830</v>
      </c>
      <c r="F259" s="38" t="s">
        <v>831</v>
      </c>
      <c r="G259" s="381">
        <v>2500000</v>
      </c>
      <c r="H259" s="52" t="s">
        <v>30</v>
      </c>
      <c r="I259" s="969" t="s">
        <v>832</v>
      </c>
      <c r="J259" s="41">
        <v>435837500</v>
      </c>
    </row>
    <row r="260" spans="1:10" ht="25.5">
      <c r="A260" s="955" t="s">
        <v>768</v>
      </c>
      <c r="B260" s="38" t="s">
        <v>768</v>
      </c>
      <c r="C260" s="967" t="s">
        <v>774</v>
      </c>
      <c r="D260" s="38" t="s">
        <v>833</v>
      </c>
      <c r="E260" s="38" t="s">
        <v>834</v>
      </c>
      <c r="F260" s="38" t="s">
        <v>821</v>
      </c>
      <c r="G260" s="381">
        <v>90000</v>
      </c>
      <c r="H260" s="52" t="s">
        <v>18</v>
      </c>
      <c r="I260" s="40" t="s">
        <v>822</v>
      </c>
      <c r="J260" s="41">
        <v>2610000</v>
      </c>
    </row>
    <row r="261" spans="1:10" ht="25.5">
      <c r="A261" s="992" t="s">
        <v>835</v>
      </c>
      <c r="B261" s="38" t="s">
        <v>836</v>
      </c>
      <c r="C261" s="966" t="s">
        <v>837</v>
      </c>
      <c r="D261" s="38" t="s">
        <v>838</v>
      </c>
      <c r="E261" s="38" t="s">
        <v>839</v>
      </c>
      <c r="F261" s="38" t="s">
        <v>826</v>
      </c>
      <c r="G261" s="381">
        <v>725000</v>
      </c>
      <c r="H261" s="52" t="s">
        <v>725</v>
      </c>
      <c r="I261" s="40" t="s">
        <v>827</v>
      </c>
      <c r="J261" s="41">
        <v>7500000</v>
      </c>
    </row>
    <row r="262" spans="1:10" ht="51">
      <c r="A262" s="992" t="s">
        <v>835</v>
      </c>
      <c r="B262" s="38" t="s">
        <v>840</v>
      </c>
      <c r="C262" s="56" t="s">
        <v>841</v>
      </c>
      <c r="D262" s="38" t="s">
        <v>842</v>
      </c>
      <c r="E262" s="38" t="s">
        <v>843</v>
      </c>
      <c r="F262" s="38" t="s">
        <v>844</v>
      </c>
      <c r="G262" s="381">
        <v>2620000</v>
      </c>
      <c r="H262" s="52" t="s">
        <v>18</v>
      </c>
      <c r="I262" s="40" t="s">
        <v>827</v>
      </c>
      <c r="J262" s="41">
        <v>205100000</v>
      </c>
    </row>
    <row r="263" spans="1:10" ht="22.5">
      <c r="A263" s="39">
        <v>5</v>
      </c>
      <c r="B263" s="52" t="s">
        <v>796</v>
      </c>
      <c r="C263" s="25" t="s">
        <v>24769</v>
      </c>
      <c r="D263" s="367" t="s">
        <v>24770</v>
      </c>
      <c r="E263" s="367"/>
      <c r="F263" s="367" t="s">
        <v>24771</v>
      </c>
      <c r="G263" s="535"/>
      <c r="H263" s="367">
        <v>1</v>
      </c>
      <c r="I263" s="25" t="s">
        <v>24772</v>
      </c>
      <c r="J263" s="980"/>
    </row>
    <row r="264" spans="1:10" ht="15.75">
      <c r="A264" s="1038" t="s">
        <v>189</v>
      </c>
      <c r="B264" s="1039"/>
      <c r="C264" s="1039"/>
      <c r="D264" s="1039"/>
      <c r="E264" s="1039"/>
      <c r="F264" s="1039"/>
      <c r="G264" s="536">
        <f>SUM(G257:G263)</f>
        <v>8310000</v>
      </c>
      <c r="H264" s="567"/>
      <c r="I264" s="567"/>
      <c r="J264" s="977">
        <f>SUM(J257:J263)</f>
        <v>663722500</v>
      </c>
    </row>
    <row r="265" spans="1:10" ht="15.75">
      <c r="A265" s="1038" t="s">
        <v>866</v>
      </c>
      <c r="B265" s="1039"/>
      <c r="C265" s="1039"/>
      <c r="D265" s="1039"/>
      <c r="E265" s="1039"/>
      <c r="F265" s="1039"/>
      <c r="G265" s="1039"/>
      <c r="H265" s="1039"/>
      <c r="I265" s="1039"/>
      <c r="J265" s="1040"/>
    </row>
    <row r="266" spans="1:10" ht="33.75">
      <c r="A266" s="27" t="s">
        <v>878</v>
      </c>
      <c r="B266" s="300" t="s">
        <v>934</v>
      </c>
      <c r="C266" s="569" t="s">
        <v>935</v>
      </c>
      <c r="D266" s="569" t="s">
        <v>936</v>
      </c>
      <c r="E266" s="25"/>
      <c r="F266" s="25"/>
      <c r="G266" s="73"/>
      <c r="H266" s="569">
        <v>1</v>
      </c>
      <c r="I266" s="25" t="s">
        <v>937</v>
      </c>
      <c r="J266" s="43">
        <v>90000000</v>
      </c>
    </row>
    <row r="267" spans="1:10" ht="67.5">
      <c r="A267" s="27" t="s">
        <v>842</v>
      </c>
      <c r="B267" s="300" t="s">
        <v>938</v>
      </c>
      <c r="C267" s="569" t="s">
        <v>928</v>
      </c>
      <c r="D267" s="569" t="s">
        <v>939</v>
      </c>
      <c r="E267" s="569" t="s">
        <v>940</v>
      </c>
      <c r="F267" s="25" t="s">
        <v>941</v>
      </c>
      <c r="G267" s="73">
        <v>50000000</v>
      </c>
      <c r="H267" s="569">
        <v>1</v>
      </c>
      <c r="I267" s="569" t="s">
        <v>942</v>
      </c>
      <c r="J267" s="43">
        <v>700000000</v>
      </c>
    </row>
    <row r="268" spans="1:10" ht="33.75">
      <c r="A268" s="51" t="s">
        <v>878</v>
      </c>
      <c r="B268" s="324" t="s">
        <v>943</v>
      </c>
      <c r="C268" s="569" t="s">
        <v>944</v>
      </c>
      <c r="D268" s="25" t="s">
        <v>945</v>
      </c>
      <c r="E268" s="25" t="s">
        <v>940</v>
      </c>
      <c r="F268" s="25" t="s">
        <v>946</v>
      </c>
      <c r="G268" s="73">
        <v>50000000</v>
      </c>
      <c r="H268" s="25">
        <v>1</v>
      </c>
      <c r="I268" s="569" t="s">
        <v>942</v>
      </c>
      <c r="J268" s="526"/>
    </row>
    <row r="269" spans="1:10" ht="45">
      <c r="A269" s="51" t="s">
        <v>878</v>
      </c>
      <c r="B269" s="324" t="s">
        <v>886</v>
      </c>
      <c r="C269" s="25" t="s">
        <v>947</v>
      </c>
      <c r="D269" s="25" t="s">
        <v>948</v>
      </c>
      <c r="E269" s="25" t="s">
        <v>949</v>
      </c>
      <c r="F269" s="25" t="s">
        <v>950</v>
      </c>
      <c r="G269" s="73"/>
      <c r="H269" s="25"/>
      <c r="I269" s="25" t="s">
        <v>951</v>
      </c>
      <c r="J269" s="526"/>
    </row>
    <row r="270" spans="1:10" ht="25.5">
      <c r="A270" s="51" t="s">
        <v>878</v>
      </c>
      <c r="B270" s="324" t="s">
        <v>943</v>
      </c>
      <c r="C270" s="569" t="s">
        <v>944</v>
      </c>
      <c r="D270" s="25" t="s">
        <v>952</v>
      </c>
      <c r="E270" s="25" t="s">
        <v>953</v>
      </c>
      <c r="F270" s="25" t="s">
        <v>954</v>
      </c>
      <c r="G270" s="73"/>
      <c r="H270" s="25">
        <v>1</v>
      </c>
      <c r="I270" s="569" t="s">
        <v>955</v>
      </c>
      <c r="J270" s="526"/>
    </row>
    <row r="271" spans="1:10" ht="15.75">
      <c r="A271" s="1038" t="s">
        <v>189</v>
      </c>
      <c r="B271" s="1039"/>
      <c r="C271" s="1039"/>
      <c r="D271" s="1039"/>
      <c r="E271" s="1039"/>
      <c r="F271" s="1039"/>
      <c r="G271" s="536">
        <f>SUM(G266:G270)</f>
        <v>100000000</v>
      </c>
      <c r="H271" s="567"/>
      <c r="I271" s="567"/>
      <c r="J271" s="977">
        <f>SUM(J266:J270)</f>
        <v>790000000</v>
      </c>
    </row>
    <row r="272" spans="1:10" ht="15.75">
      <c r="A272" s="1038" t="s">
        <v>1261</v>
      </c>
      <c r="B272" s="1039"/>
      <c r="C272" s="1039"/>
      <c r="D272" s="1039"/>
      <c r="E272" s="1039"/>
      <c r="F272" s="1039"/>
      <c r="G272" s="1039"/>
      <c r="H272" s="1039"/>
      <c r="I272" s="1039"/>
      <c r="J272" s="1040"/>
    </row>
    <row r="273" spans="1:10" ht="89.25">
      <c r="A273" s="27" t="s">
        <v>1268</v>
      </c>
      <c r="B273" s="300" t="s">
        <v>621</v>
      </c>
      <c r="C273" s="52" t="s">
        <v>1272</v>
      </c>
      <c r="D273" s="52" t="s">
        <v>1273</v>
      </c>
      <c r="E273" s="52" t="s">
        <v>1274</v>
      </c>
      <c r="F273" s="52" t="s">
        <v>1275</v>
      </c>
      <c r="G273" s="381">
        <f>J273</f>
        <v>18000000</v>
      </c>
      <c r="H273" s="52">
        <v>2</v>
      </c>
      <c r="I273" s="52" t="s">
        <v>1276</v>
      </c>
      <c r="J273" s="41">
        <v>18000000</v>
      </c>
    </row>
    <row r="274" spans="1:10" ht="89.25">
      <c r="A274" s="27" t="s">
        <v>1075</v>
      </c>
      <c r="B274" s="300" t="s">
        <v>1277</v>
      </c>
      <c r="C274" s="48" t="s">
        <v>1278</v>
      </c>
      <c r="D274" s="26" t="s">
        <v>1279</v>
      </c>
      <c r="E274" s="26" t="s">
        <v>1280</v>
      </c>
      <c r="F274" s="26" t="s">
        <v>1281</v>
      </c>
      <c r="G274" s="381">
        <v>200000000</v>
      </c>
      <c r="H274" s="26">
        <v>3</v>
      </c>
      <c r="I274" s="26" t="s">
        <v>1282</v>
      </c>
      <c r="J274" s="530">
        <f>G274</f>
        <v>200000000</v>
      </c>
    </row>
    <row r="275" spans="1:10" ht="38.25">
      <c r="A275" s="22" t="s">
        <v>1262</v>
      </c>
      <c r="B275" s="26" t="s">
        <v>1283</v>
      </c>
      <c r="C275" s="56"/>
      <c r="D275" s="56" t="s">
        <v>1284</v>
      </c>
      <c r="E275" s="49" t="s">
        <v>1285</v>
      </c>
      <c r="F275" s="49" t="s">
        <v>1286</v>
      </c>
      <c r="G275" s="381">
        <v>25000000</v>
      </c>
      <c r="H275" s="56">
        <v>1</v>
      </c>
      <c r="I275" s="49" t="s">
        <v>1287</v>
      </c>
      <c r="J275" s="530">
        <v>50000000</v>
      </c>
    </row>
    <row r="276" spans="1:10" ht="38.25">
      <c r="A276" s="22" t="s">
        <v>1262</v>
      </c>
      <c r="B276" s="26" t="s">
        <v>1027</v>
      </c>
      <c r="C276" s="26" t="s">
        <v>1001</v>
      </c>
      <c r="D276" s="26" t="s">
        <v>1288</v>
      </c>
      <c r="E276" s="49" t="s">
        <v>1289</v>
      </c>
      <c r="F276" s="49" t="s">
        <v>1290</v>
      </c>
      <c r="G276" s="381">
        <v>5000000</v>
      </c>
      <c r="H276" s="26">
        <v>3</v>
      </c>
      <c r="I276" s="49" t="s">
        <v>1291</v>
      </c>
      <c r="J276" s="530">
        <v>10000000</v>
      </c>
    </row>
    <row r="277" spans="1:10" ht="38.25">
      <c r="A277" s="22" t="s">
        <v>1262</v>
      </c>
      <c r="B277" s="26" t="s">
        <v>1165</v>
      </c>
      <c r="C277" s="26" t="s">
        <v>981</v>
      </c>
      <c r="D277" s="26" t="s">
        <v>1292</v>
      </c>
      <c r="E277" s="49" t="s">
        <v>1289</v>
      </c>
      <c r="F277" s="49" t="s">
        <v>1293</v>
      </c>
      <c r="G277" s="381">
        <v>5000000</v>
      </c>
      <c r="H277" s="26">
        <v>3</v>
      </c>
      <c r="I277" s="49" t="s">
        <v>1294</v>
      </c>
      <c r="J277" s="530">
        <v>5000000</v>
      </c>
    </row>
    <row r="278" spans="1:10" ht="38.25">
      <c r="A278" s="22" t="s">
        <v>1055</v>
      </c>
      <c r="B278" s="26" t="s">
        <v>1295</v>
      </c>
      <c r="C278" s="26" t="s">
        <v>1051</v>
      </c>
      <c r="D278" s="26" t="s">
        <v>1296</v>
      </c>
      <c r="E278" s="49" t="s">
        <v>1297</v>
      </c>
      <c r="F278" s="49" t="s">
        <v>1286</v>
      </c>
      <c r="G278" s="381">
        <v>25000000</v>
      </c>
      <c r="H278" s="26">
        <v>1</v>
      </c>
      <c r="I278" s="49" t="s">
        <v>1287</v>
      </c>
      <c r="J278" s="530">
        <v>37500000</v>
      </c>
    </row>
    <row r="279" spans="1:10" ht="38.25">
      <c r="A279" s="22" t="s">
        <v>1317</v>
      </c>
      <c r="B279" s="26" t="s">
        <v>1298</v>
      </c>
      <c r="C279" s="26" t="s">
        <v>1299</v>
      </c>
      <c r="D279" s="26" t="s">
        <v>1300</v>
      </c>
      <c r="E279" s="49" t="s">
        <v>1301</v>
      </c>
      <c r="F279" s="49" t="s">
        <v>1286</v>
      </c>
      <c r="G279" s="381">
        <v>25000000</v>
      </c>
      <c r="H279" s="26">
        <v>2</v>
      </c>
      <c r="I279" s="49" t="s">
        <v>1302</v>
      </c>
      <c r="J279" s="530">
        <v>230000000</v>
      </c>
    </row>
    <row r="280" spans="1:10" ht="38.25">
      <c r="A280" s="22" t="s">
        <v>1265</v>
      </c>
      <c r="B280" s="26" t="s">
        <v>1303</v>
      </c>
      <c r="C280" s="26" t="s">
        <v>1304</v>
      </c>
      <c r="D280" s="26" t="s">
        <v>1305</v>
      </c>
      <c r="E280" s="49" t="s">
        <v>1306</v>
      </c>
      <c r="F280" s="49" t="s">
        <v>1307</v>
      </c>
      <c r="G280" s="381">
        <v>100000000</v>
      </c>
      <c r="H280" s="26">
        <v>1</v>
      </c>
      <c r="I280" s="49" t="s">
        <v>1308</v>
      </c>
      <c r="J280" s="530">
        <v>220000000</v>
      </c>
    </row>
    <row r="281" spans="1:10" ht="38.25">
      <c r="A281" s="22" t="s">
        <v>1266</v>
      </c>
      <c r="B281" s="26" t="s">
        <v>1309</v>
      </c>
      <c r="C281" s="26" t="s">
        <v>1067</v>
      </c>
      <c r="D281" s="26" t="s">
        <v>1310</v>
      </c>
      <c r="E281" s="49" t="s">
        <v>1311</v>
      </c>
      <c r="F281" s="49" t="s">
        <v>1312</v>
      </c>
      <c r="G281" s="381">
        <v>100000000</v>
      </c>
      <c r="H281" s="26">
        <v>1</v>
      </c>
      <c r="I281" s="49" t="s">
        <v>1308</v>
      </c>
      <c r="J281" s="530">
        <v>1000000000</v>
      </c>
    </row>
    <row r="282" spans="1:10" ht="38.25">
      <c r="A282" s="22" t="s">
        <v>1263</v>
      </c>
      <c r="B282" s="26" t="s">
        <v>1036</v>
      </c>
      <c r="C282" s="26" t="s">
        <v>1313</v>
      </c>
      <c r="D282" s="26" t="s">
        <v>1314</v>
      </c>
      <c r="E282" s="49" t="s">
        <v>1301</v>
      </c>
      <c r="F282" s="49" t="s">
        <v>1315</v>
      </c>
      <c r="G282" s="381">
        <v>5000000</v>
      </c>
      <c r="H282" s="26">
        <v>3</v>
      </c>
      <c r="I282" s="49" t="s">
        <v>1316</v>
      </c>
      <c r="J282" s="530">
        <v>10000000</v>
      </c>
    </row>
    <row r="283" spans="1:10" ht="15.75">
      <c r="A283" s="1038" t="s">
        <v>189</v>
      </c>
      <c r="B283" s="1039"/>
      <c r="C283" s="1039"/>
      <c r="D283" s="1039"/>
      <c r="E283" s="1039"/>
      <c r="F283" s="1039"/>
      <c r="G283" s="536">
        <f>SUM(G273:G282)</f>
        <v>508000000</v>
      </c>
      <c r="H283" s="567"/>
      <c r="I283" s="567"/>
      <c r="J283" s="977">
        <f>SUM(J273:J282)</f>
        <v>1780500000</v>
      </c>
    </row>
    <row r="284" spans="1:10" ht="15.75">
      <c r="A284" s="1038" t="s">
        <v>1467</v>
      </c>
      <c r="B284" s="1039"/>
      <c r="C284" s="1039"/>
      <c r="D284" s="1039"/>
      <c r="E284" s="1039"/>
      <c r="F284" s="1039"/>
      <c r="G284" s="1039"/>
      <c r="H284" s="1039"/>
      <c r="I284" s="1039"/>
      <c r="J284" s="1040"/>
    </row>
    <row r="285" spans="1:10" ht="25.5">
      <c r="A285" s="51" t="s">
        <v>1417</v>
      </c>
      <c r="B285" s="324" t="s">
        <v>174</v>
      </c>
      <c r="C285" s="52" t="s">
        <v>1468</v>
      </c>
      <c r="D285" s="52" t="s">
        <v>1469</v>
      </c>
      <c r="E285" s="52" t="s">
        <v>1470</v>
      </c>
      <c r="F285" s="52" t="s">
        <v>1471</v>
      </c>
      <c r="G285" s="381">
        <v>30000000</v>
      </c>
      <c r="H285" s="52">
        <v>1</v>
      </c>
      <c r="I285" s="44" t="s">
        <v>1472</v>
      </c>
      <c r="J285" s="41">
        <v>60000000</v>
      </c>
    </row>
    <row r="286" spans="1:10" ht="22.5">
      <c r="A286" s="39">
        <v>4</v>
      </c>
      <c r="B286" s="52" t="s">
        <v>4636</v>
      </c>
      <c r="C286" s="25" t="s">
        <v>24703</v>
      </c>
      <c r="D286" s="367" t="s">
        <v>24704</v>
      </c>
      <c r="E286" s="367"/>
      <c r="F286" s="367" t="s">
        <v>24705</v>
      </c>
      <c r="G286" s="535"/>
      <c r="H286" s="367">
        <v>1</v>
      </c>
      <c r="I286" s="25" t="s">
        <v>24706</v>
      </c>
      <c r="J286" s="980">
        <v>20000000</v>
      </c>
    </row>
    <row r="287" spans="1:10" ht="15.75">
      <c r="A287" s="1038" t="s">
        <v>189</v>
      </c>
      <c r="B287" s="1039"/>
      <c r="C287" s="1039"/>
      <c r="D287" s="1039"/>
      <c r="E287" s="1039"/>
      <c r="F287" s="1039"/>
      <c r="G287" s="536">
        <f>SUM(G285:G286)</f>
        <v>30000000</v>
      </c>
      <c r="H287" s="567"/>
      <c r="I287" s="567"/>
      <c r="J287" s="977">
        <f>SUM(J285:J286)</f>
        <v>80000000</v>
      </c>
    </row>
    <row r="288" spans="1:10" ht="15.75">
      <c r="A288" s="1038" t="s">
        <v>1482</v>
      </c>
      <c r="B288" s="1039"/>
      <c r="C288" s="1039"/>
      <c r="D288" s="1039"/>
      <c r="E288" s="1039"/>
      <c r="F288" s="1039"/>
      <c r="G288" s="1039"/>
      <c r="H288" s="1039"/>
      <c r="I288" s="1039"/>
      <c r="J288" s="1040"/>
    </row>
    <row r="289" spans="1:10" ht="51">
      <c r="A289" s="39" t="s">
        <v>1529</v>
      </c>
      <c r="B289" s="52" t="s">
        <v>1548</v>
      </c>
      <c r="C289" s="52" t="s">
        <v>1595</v>
      </c>
      <c r="D289" s="52" t="s">
        <v>1596</v>
      </c>
      <c r="E289" s="52" t="s">
        <v>1597</v>
      </c>
      <c r="F289" s="52" t="s">
        <v>1598</v>
      </c>
      <c r="G289" s="527">
        <v>3000000</v>
      </c>
      <c r="H289" s="52" t="s">
        <v>1599</v>
      </c>
      <c r="I289" s="52" t="s">
        <v>1600</v>
      </c>
      <c r="J289" s="993">
        <v>200000000</v>
      </c>
    </row>
    <row r="290" spans="1:10" ht="25.5">
      <c r="A290" s="39" t="s">
        <v>1529</v>
      </c>
      <c r="B290" s="52" t="s">
        <v>1601</v>
      </c>
      <c r="C290" s="52" t="s">
        <v>1602</v>
      </c>
      <c r="D290" s="52" t="s">
        <v>1603</v>
      </c>
      <c r="E290" s="52" t="s">
        <v>1604</v>
      </c>
      <c r="F290" s="52" t="s">
        <v>1605</v>
      </c>
      <c r="G290" s="527">
        <v>79200000</v>
      </c>
      <c r="H290" s="52" t="s">
        <v>1599</v>
      </c>
      <c r="I290" s="52" t="s">
        <v>1606</v>
      </c>
      <c r="J290" s="993">
        <v>50000000</v>
      </c>
    </row>
    <row r="291" spans="1:10" ht="63.75">
      <c r="A291" s="39" t="s">
        <v>1529</v>
      </c>
      <c r="B291" s="52" t="s">
        <v>1607</v>
      </c>
      <c r="C291" s="52" t="s">
        <v>1608</v>
      </c>
      <c r="D291" s="52" t="s">
        <v>1609</v>
      </c>
      <c r="E291" s="52" t="s">
        <v>1610</v>
      </c>
      <c r="F291" s="52" t="s">
        <v>1611</v>
      </c>
      <c r="G291" s="527">
        <v>2500000</v>
      </c>
      <c r="H291" s="52" t="s">
        <v>1612</v>
      </c>
      <c r="I291" s="52" t="s">
        <v>1613</v>
      </c>
      <c r="J291" s="993">
        <v>50000000</v>
      </c>
    </row>
    <row r="292" spans="1:10" ht="51">
      <c r="A292" s="39" t="s">
        <v>1563</v>
      </c>
      <c r="B292" s="52" t="s">
        <v>1614</v>
      </c>
      <c r="C292" s="52" t="s">
        <v>1615</v>
      </c>
      <c r="D292" s="52" t="s">
        <v>1616</v>
      </c>
      <c r="E292" s="52" t="s">
        <v>1604</v>
      </c>
      <c r="F292" s="52" t="s">
        <v>1617</v>
      </c>
      <c r="G292" s="527">
        <v>10000000</v>
      </c>
      <c r="H292" s="52" t="s">
        <v>1599</v>
      </c>
      <c r="I292" s="52" t="s">
        <v>1618</v>
      </c>
      <c r="J292" s="993">
        <v>75000000</v>
      </c>
    </row>
    <row r="293" spans="1:10" ht="51">
      <c r="A293" s="39" t="s">
        <v>1529</v>
      </c>
      <c r="B293" s="52" t="s">
        <v>1619</v>
      </c>
      <c r="C293" s="52" t="s">
        <v>1595</v>
      </c>
      <c r="D293" s="52" t="s">
        <v>1620</v>
      </c>
      <c r="E293" s="316" t="s">
        <v>1621</v>
      </c>
      <c r="F293" s="52" t="s">
        <v>1622</v>
      </c>
      <c r="G293" s="527">
        <v>3000000</v>
      </c>
      <c r="H293" s="52" t="s">
        <v>1599</v>
      </c>
      <c r="I293" s="52" t="s">
        <v>1623</v>
      </c>
      <c r="J293" s="993">
        <v>180000000</v>
      </c>
    </row>
    <row r="294" spans="1:10" ht="15.75">
      <c r="A294" s="1038" t="s">
        <v>189</v>
      </c>
      <c r="B294" s="1039"/>
      <c r="C294" s="1039"/>
      <c r="D294" s="1039"/>
      <c r="E294" s="1039"/>
      <c r="F294" s="1039"/>
      <c r="G294" s="536">
        <f>SUM(G289:G293)</f>
        <v>97700000</v>
      </c>
      <c r="H294" s="567"/>
      <c r="I294" s="567"/>
      <c r="J294" s="977">
        <f>SUM(J289:J293)</f>
        <v>555000000</v>
      </c>
    </row>
    <row r="295" spans="1:10" ht="15.75">
      <c r="A295" s="1038" t="s">
        <v>118</v>
      </c>
      <c r="B295" s="1039"/>
      <c r="C295" s="1039"/>
      <c r="D295" s="1039"/>
      <c r="E295" s="1039"/>
      <c r="F295" s="1039"/>
      <c r="G295" s="1039"/>
      <c r="H295" s="1039"/>
      <c r="I295" s="1039"/>
      <c r="J295" s="1040"/>
    </row>
    <row r="296" spans="1:10" ht="38.25">
      <c r="A296" s="20" t="s">
        <v>119</v>
      </c>
      <c r="B296" s="21" t="s">
        <v>120</v>
      </c>
      <c r="C296" s="21" t="s">
        <v>190</v>
      </c>
      <c r="D296" s="21" t="s">
        <v>191</v>
      </c>
      <c r="E296" s="21" t="s">
        <v>192</v>
      </c>
      <c r="F296" s="21" t="s">
        <v>193</v>
      </c>
      <c r="G296" s="495">
        <v>1100000</v>
      </c>
      <c r="H296" s="21" t="s">
        <v>18</v>
      </c>
      <c r="I296" s="21" t="s">
        <v>194</v>
      </c>
      <c r="J296" s="525">
        <v>85400000</v>
      </c>
    </row>
    <row r="297" spans="1:10" ht="38.25">
      <c r="A297" s="20" t="s">
        <v>119</v>
      </c>
      <c r="B297" s="21" t="s">
        <v>195</v>
      </c>
      <c r="C297" s="21" t="s">
        <v>196</v>
      </c>
      <c r="D297" s="21" t="s">
        <v>197</v>
      </c>
      <c r="E297" s="21" t="s">
        <v>198</v>
      </c>
      <c r="F297" s="21" t="s">
        <v>193</v>
      </c>
      <c r="G297" s="495">
        <v>2200000</v>
      </c>
      <c r="H297" s="26" t="s">
        <v>30</v>
      </c>
      <c r="I297" s="21" t="s">
        <v>199</v>
      </c>
      <c r="J297" s="525">
        <v>111100000</v>
      </c>
    </row>
    <row r="298" spans="1:10" ht="38.25">
      <c r="A298" s="20" t="s">
        <v>119</v>
      </c>
      <c r="B298" s="21" t="s">
        <v>149</v>
      </c>
      <c r="C298" s="21" t="s">
        <v>200</v>
      </c>
      <c r="D298" s="21" t="s">
        <v>201</v>
      </c>
      <c r="E298" s="21" t="s">
        <v>202</v>
      </c>
      <c r="F298" s="21" t="s">
        <v>193</v>
      </c>
      <c r="G298" s="495">
        <v>2200000</v>
      </c>
      <c r="H298" s="26" t="s">
        <v>30</v>
      </c>
      <c r="I298" s="21" t="s">
        <v>199</v>
      </c>
      <c r="J298" s="525">
        <v>111100000</v>
      </c>
    </row>
    <row r="299" spans="1:10" ht="25.5">
      <c r="A299" s="20" t="s">
        <v>203</v>
      </c>
      <c r="B299" s="21" t="s">
        <v>17</v>
      </c>
      <c r="C299" s="21" t="s">
        <v>204</v>
      </c>
      <c r="D299" s="21" t="s">
        <v>205</v>
      </c>
      <c r="E299" s="21" t="s">
        <v>206</v>
      </c>
      <c r="F299" s="21" t="s">
        <v>207</v>
      </c>
      <c r="G299" s="495">
        <v>1100000</v>
      </c>
      <c r="H299" s="21" t="s">
        <v>18</v>
      </c>
      <c r="I299" s="21" t="s">
        <v>208</v>
      </c>
      <c r="J299" s="525">
        <v>317400000</v>
      </c>
    </row>
    <row r="300" spans="1:10" ht="25.5">
      <c r="A300" s="20" t="s">
        <v>203</v>
      </c>
      <c r="B300" s="21" t="s">
        <v>209</v>
      </c>
      <c r="C300" s="21" t="s">
        <v>210</v>
      </c>
      <c r="D300" s="21" t="s">
        <v>211</v>
      </c>
      <c r="E300" s="21" t="s">
        <v>212</v>
      </c>
      <c r="F300" s="21" t="s">
        <v>207</v>
      </c>
      <c r="G300" s="495">
        <v>1100000</v>
      </c>
      <c r="H300" s="21" t="s">
        <v>18</v>
      </c>
      <c r="I300" s="21" t="s">
        <v>213</v>
      </c>
      <c r="J300" s="525">
        <v>265900000</v>
      </c>
    </row>
    <row r="301" spans="1:10" ht="38.25">
      <c r="A301" s="20" t="s">
        <v>203</v>
      </c>
      <c r="B301" s="21" t="s">
        <v>209</v>
      </c>
      <c r="C301" s="21" t="s">
        <v>214</v>
      </c>
      <c r="D301" s="21" t="s">
        <v>215</v>
      </c>
      <c r="E301" s="21" t="s">
        <v>216</v>
      </c>
      <c r="F301" s="21" t="s">
        <v>217</v>
      </c>
      <c r="G301" s="495">
        <v>4200000</v>
      </c>
      <c r="H301" s="26" t="s">
        <v>30</v>
      </c>
      <c r="I301" s="21" t="s">
        <v>218</v>
      </c>
      <c r="J301" s="525">
        <v>10400000</v>
      </c>
    </row>
    <row r="302" spans="1:10" ht="25.5">
      <c r="A302" s="20" t="s">
        <v>119</v>
      </c>
      <c r="B302" s="21" t="s">
        <v>120</v>
      </c>
      <c r="C302" s="21" t="s">
        <v>219</v>
      </c>
      <c r="D302" s="21" t="s">
        <v>215</v>
      </c>
      <c r="E302" s="21" t="s">
        <v>220</v>
      </c>
      <c r="F302" s="21" t="s">
        <v>221</v>
      </c>
      <c r="G302" s="495">
        <v>2000000</v>
      </c>
      <c r="H302" s="26" t="s">
        <v>30</v>
      </c>
      <c r="I302" s="21" t="s">
        <v>218</v>
      </c>
      <c r="J302" s="525">
        <v>5200000</v>
      </c>
    </row>
    <row r="303" spans="1:10" ht="33.75">
      <c r="A303" s="39" t="s">
        <v>23693</v>
      </c>
      <c r="B303" s="52" t="s">
        <v>23693</v>
      </c>
      <c r="C303" s="25" t="s">
        <v>24722</v>
      </c>
      <c r="D303" s="367"/>
      <c r="E303" s="367"/>
      <c r="F303" s="367" t="s">
        <v>24723</v>
      </c>
      <c r="G303" s="535"/>
      <c r="H303" s="367"/>
      <c r="I303" s="25" t="s">
        <v>24724</v>
      </c>
      <c r="J303" s="980">
        <v>14000000</v>
      </c>
    </row>
    <row r="304" spans="1:10" ht="15.75">
      <c r="A304" s="1038" t="s">
        <v>189</v>
      </c>
      <c r="B304" s="1039"/>
      <c r="C304" s="1039"/>
      <c r="D304" s="1039"/>
      <c r="E304" s="1039"/>
      <c r="F304" s="1039"/>
      <c r="G304" s="536">
        <f>SUM(G296:G303)</f>
        <v>13900000</v>
      </c>
      <c r="H304" s="567"/>
      <c r="I304" s="567"/>
      <c r="J304" s="977">
        <f>SUM(J296:J303)</f>
        <v>920500000</v>
      </c>
    </row>
    <row r="305" spans="1:10" ht="15.75">
      <c r="A305" s="1038" t="s">
        <v>1786</v>
      </c>
      <c r="B305" s="1039"/>
      <c r="C305" s="1039"/>
      <c r="D305" s="1039"/>
      <c r="E305" s="1039"/>
      <c r="F305" s="1039"/>
      <c r="G305" s="1039"/>
      <c r="H305" s="1039"/>
      <c r="I305" s="1039"/>
      <c r="J305" s="1040"/>
    </row>
    <row r="306" spans="1:10" ht="56.25">
      <c r="A306" s="39" t="s">
        <v>23556</v>
      </c>
      <c r="B306" s="52"/>
      <c r="C306" s="25" t="s">
        <v>24694</v>
      </c>
      <c r="D306" s="367" t="s">
        <v>24695</v>
      </c>
      <c r="E306" s="367"/>
      <c r="F306" s="367" t="s">
        <v>24696</v>
      </c>
      <c r="G306" s="535"/>
      <c r="H306" s="367"/>
      <c r="I306" s="25" t="s">
        <v>24697</v>
      </c>
      <c r="J306" s="980">
        <v>7300000</v>
      </c>
    </row>
    <row r="307" spans="1:10" ht="15.75">
      <c r="A307" s="1038" t="s">
        <v>189</v>
      </c>
      <c r="B307" s="1039"/>
      <c r="C307" s="1039"/>
      <c r="D307" s="1039"/>
      <c r="E307" s="1039"/>
      <c r="F307" s="1039"/>
      <c r="G307" s="536">
        <f>SUM(G306)</f>
        <v>0</v>
      </c>
      <c r="H307" s="567"/>
      <c r="I307" s="567"/>
      <c r="J307" s="977">
        <f>SUM(J306)</f>
        <v>7300000</v>
      </c>
    </row>
    <row r="308" spans="1:10" ht="15.75">
      <c r="A308" s="1038" t="s">
        <v>610</v>
      </c>
      <c r="B308" s="1039"/>
      <c r="C308" s="1039"/>
      <c r="D308" s="1039"/>
      <c r="E308" s="1039"/>
      <c r="F308" s="1039"/>
      <c r="G308" s="1039"/>
      <c r="H308" s="1039"/>
      <c r="I308" s="1039"/>
      <c r="J308" s="1040"/>
    </row>
    <row r="309" spans="1:10" ht="123.75">
      <c r="A309" s="22" t="s">
        <v>602</v>
      </c>
      <c r="B309" s="26" t="s">
        <v>595</v>
      </c>
      <c r="C309" s="569" t="s">
        <v>596</v>
      </c>
      <c r="D309" s="569" t="s">
        <v>595</v>
      </c>
      <c r="E309" s="569" t="s">
        <v>611</v>
      </c>
      <c r="F309" s="569" t="s">
        <v>612</v>
      </c>
      <c r="G309" s="73">
        <v>60000000</v>
      </c>
      <c r="H309" s="569">
        <v>1</v>
      </c>
      <c r="I309" s="569" t="s">
        <v>613</v>
      </c>
      <c r="J309" s="43">
        <v>230817039</v>
      </c>
    </row>
    <row r="310" spans="1:10" ht="123.75">
      <c r="A310" s="22" t="s">
        <v>594</v>
      </c>
      <c r="B310" s="26" t="s">
        <v>614</v>
      </c>
      <c r="C310" s="569" t="s">
        <v>615</v>
      </c>
      <c r="D310" s="569" t="s">
        <v>616</v>
      </c>
      <c r="E310" s="569" t="s">
        <v>611</v>
      </c>
      <c r="F310" s="569" t="s">
        <v>612</v>
      </c>
      <c r="G310" s="73">
        <v>50000000</v>
      </c>
      <c r="H310" s="569">
        <v>2</v>
      </c>
      <c r="I310" s="569" t="s">
        <v>613</v>
      </c>
      <c r="J310" s="43">
        <v>230817039</v>
      </c>
    </row>
    <row r="311" spans="1:10" ht="123.75">
      <c r="A311" s="22" t="s">
        <v>617</v>
      </c>
      <c r="B311" s="26" t="s">
        <v>618</v>
      </c>
      <c r="C311" s="569" t="s">
        <v>619</v>
      </c>
      <c r="D311" s="569" t="s">
        <v>595</v>
      </c>
      <c r="E311" s="569" t="s">
        <v>620</v>
      </c>
      <c r="F311" s="569" t="s">
        <v>612</v>
      </c>
      <c r="G311" s="73">
        <v>80000000</v>
      </c>
      <c r="H311" s="569">
        <v>3</v>
      </c>
      <c r="I311" s="569" t="s">
        <v>613</v>
      </c>
      <c r="J311" s="43">
        <v>230817039</v>
      </c>
    </row>
    <row r="312" spans="1:10" ht="45">
      <c r="A312" s="39" t="s">
        <v>24538</v>
      </c>
      <c r="B312" s="52" t="s">
        <v>24538</v>
      </c>
      <c r="C312" s="25" t="s">
        <v>24843</v>
      </c>
      <c r="D312" s="367" t="s">
        <v>616</v>
      </c>
      <c r="E312" s="367" t="s">
        <v>24844</v>
      </c>
      <c r="F312" s="367" t="s">
        <v>24845</v>
      </c>
      <c r="G312" s="535"/>
      <c r="H312" s="367"/>
      <c r="I312" s="25" t="s">
        <v>24846</v>
      </c>
      <c r="J312" s="980">
        <v>58375828.600000001</v>
      </c>
    </row>
    <row r="313" spans="1:10" ht="45">
      <c r="A313" s="39" t="s">
        <v>24617</v>
      </c>
      <c r="B313" s="52" t="s">
        <v>24582</v>
      </c>
      <c r="C313" s="25" t="s">
        <v>24847</v>
      </c>
      <c r="D313" s="367" t="s">
        <v>595</v>
      </c>
      <c r="E313" s="367"/>
      <c r="F313" s="367" t="s">
        <v>24848</v>
      </c>
      <c r="G313" s="535"/>
      <c r="H313" s="367"/>
      <c r="I313" s="25" t="s">
        <v>24849</v>
      </c>
      <c r="J313" s="980">
        <v>108758822.23999999</v>
      </c>
    </row>
    <row r="314" spans="1:10" ht="45">
      <c r="A314" s="39" t="s">
        <v>24562</v>
      </c>
      <c r="B314" s="52" t="s">
        <v>24562</v>
      </c>
      <c r="C314" s="25" t="s">
        <v>24850</v>
      </c>
      <c r="D314" s="367"/>
      <c r="E314" s="367"/>
      <c r="F314" s="367" t="s">
        <v>24851</v>
      </c>
      <c r="G314" s="535"/>
      <c r="H314" s="367" t="s">
        <v>24852</v>
      </c>
      <c r="I314" s="25" t="s">
        <v>24580</v>
      </c>
      <c r="J314" s="980">
        <v>1500000</v>
      </c>
    </row>
    <row r="315" spans="1:10" ht="45">
      <c r="A315" s="39" t="s">
        <v>24601</v>
      </c>
      <c r="B315" s="52" t="s">
        <v>6567</v>
      </c>
      <c r="C315" s="25" t="s">
        <v>24853</v>
      </c>
      <c r="D315" s="367" t="s">
        <v>24854</v>
      </c>
      <c r="E315" s="367"/>
      <c r="F315" s="367" t="s">
        <v>24855</v>
      </c>
      <c r="G315" s="535"/>
      <c r="H315" s="367" t="s">
        <v>24856</v>
      </c>
      <c r="I315" s="25" t="s">
        <v>24857</v>
      </c>
      <c r="J315" s="980">
        <v>250000</v>
      </c>
    </row>
    <row r="316" spans="1:10" ht="45">
      <c r="A316" s="39" t="s">
        <v>24601</v>
      </c>
      <c r="B316" s="52" t="s">
        <v>24601</v>
      </c>
      <c r="C316" s="25" t="s">
        <v>24858</v>
      </c>
      <c r="D316" s="367" t="s">
        <v>24859</v>
      </c>
      <c r="E316" s="367"/>
      <c r="F316" s="367" t="s">
        <v>24860</v>
      </c>
      <c r="G316" s="535"/>
      <c r="H316" s="367"/>
      <c r="I316" s="25" t="s">
        <v>24861</v>
      </c>
      <c r="J316" s="980">
        <v>8500000</v>
      </c>
    </row>
    <row r="317" spans="1:10" ht="15.75">
      <c r="A317" s="1038" t="s">
        <v>189</v>
      </c>
      <c r="B317" s="1039"/>
      <c r="C317" s="1039"/>
      <c r="D317" s="1039"/>
      <c r="E317" s="1039"/>
      <c r="F317" s="1039"/>
      <c r="G317" s="536">
        <f>SUM(G309:G316)</f>
        <v>190000000</v>
      </c>
      <c r="H317" s="567"/>
      <c r="I317" s="567"/>
      <c r="J317" s="977">
        <f>SUM(J309:J316)</f>
        <v>869835767.84000003</v>
      </c>
    </row>
    <row r="318" spans="1:10" ht="15.75">
      <c r="A318" s="1038" t="s">
        <v>561</v>
      </c>
      <c r="B318" s="1039"/>
      <c r="C318" s="1039"/>
      <c r="D318" s="1039"/>
      <c r="E318" s="1039"/>
      <c r="F318" s="1039"/>
      <c r="G318" s="1039"/>
      <c r="H318" s="1039"/>
      <c r="I318" s="1039"/>
      <c r="J318" s="1040"/>
    </row>
    <row r="319" spans="1:10" ht="42.75">
      <c r="A319" s="315" t="s">
        <v>376</v>
      </c>
      <c r="B319" s="965" t="s">
        <v>137</v>
      </c>
      <c r="C319" s="316" t="s">
        <v>562</v>
      </c>
      <c r="D319" s="316" t="s">
        <v>1702</v>
      </c>
      <c r="E319" s="316" t="s">
        <v>563</v>
      </c>
      <c r="F319" s="316" t="s">
        <v>1703</v>
      </c>
      <c r="G319" s="491">
        <v>10000000</v>
      </c>
      <c r="H319" s="316">
        <v>1</v>
      </c>
      <c r="I319" s="316" t="s">
        <v>564</v>
      </c>
      <c r="J319" s="540">
        <v>13000000</v>
      </c>
    </row>
    <row r="320" spans="1:10" ht="42.75">
      <c r="A320" s="315" t="s">
        <v>376</v>
      </c>
      <c r="B320" s="965" t="s">
        <v>565</v>
      </c>
      <c r="C320" s="316" t="s">
        <v>566</v>
      </c>
      <c r="D320" s="316" t="s">
        <v>1702</v>
      </c>
      <c r="E320" s="316" t="s">
        <v>563</v>
      </c>
      <c r="F320" s="316" t="s">
        <v>1704</v>
      </c>
      <c r="G320" s="491">
        <v>10000000</v>
      </c>
      <c r="H320" s="316">
        <v>1</v>
      </c>
      <c r="I320" s="316" t="s">
        <v>564</v>
      </c>
      <c r="J320" s="540">
        <v>13000000</v>
      </c>
    </row>
    <row r="321" spans="1:10" ht="42.75">
      <c r="A321" s="315" t="s">
        <v>421</v>
      </c>
      <c r="B321" s="965" t="s">
        <v>421</v>
      </c>
      <c r="C321" s="316" t="s">
        <v>567</v>
      </c>
      <c r="D321" s="316" t="s">
        <v>1705</v>
      </c>
      <c r="E321" s="316" t="s">
        <v>563</v>
      </c>
      <c r="F321" s="316" t="s">
        <v>1704</v>
      </c>
      <c r="G321" s="491">
        <v>10000000</v>
      </c>
      <c r="H321" s="316">
        <v>1</v>
      </c>
      <c r="I321" s="316" t="s">
        <v>564</v>
      </c>
      <c r="J321" s="540">
        <v>10000000</v>
      </c>
    </row>
    <row r="322" spans="1:10" ht="15.75">
      <c r="A322" s="1038" t="s">
        <v>189</v>
      </c>
      <c r="B322" s="1039"/>
      <c r="C322" s="1039"/>
      <c r="D322" s="1039"/>
      <c r="E322" s="1039"/>
      <c r="F322" s="1039"/>
      <c r="G322" s="536">
        <f>SUM(G319:G321)</f>
        <v>30000000</v>
      </c>
      <c r="H322" s="567"/>
      <c r="I322" s="567"/>
      <c r="J322" s="977">
        <f>SUM(J319:J321)</f>
        <v>36000000</v>
      </c>
    </row>
    <row r="323" spans="1:10" ht="15.75">
      <c r="A323" s="1038" t="s">
        <v>1706</v>
      </c>
      <c r="B323" s="1039"/>
      <c r="C323" s="1039"/>
      <c r="D323" s="1039"/>
      <c r="E323" s="1039"/>
      <c r="F323" s="1039"/>
      <c r="G323" s="1039"/>
      <c r="H323" s="1039"/>
      <c r="I323" s="1039"/>
      <c r="J323" s="1040"/>
    </row>
    <row r="324" spans="1:10" ht="22.5">
      <c r="A324" s="51" t="s">
        <v>81</v>
      </c>
      <c r="B324" s="324" t="s">
        <v>359</v>
      </c>
      <c r="C324" s="25" t="s">
        <v>360</v>
      </c>
      <c r="D324" s="25" t="s">
        <v>361</v>
      </c>
      <c r="E324" s="25" t="s">
        <v>362</v>
      </c>
      <c r="F324" s="25" t="s">
        <v>363</v>
      </c>
      <c r="G324" s="73">
        <v>330000000</v>
      </c>
      <c r="H324" s="25">
        <v>1</v>
      </c>
      <c r="I324" s="25" t="s">
        <v>364</v>
      </c>
      <c r="J324" s="526">
        <v>455535000</v>
      </c>
    </row>
    <row r="325" spans="1:10" ht="22.5">
      <c r="A325" s="51" t="s">
        <v>365</v>
      </c>
      <c r="B325" s="324" t="s">
        <v>366</v>
      </c>
      <c r="C325" s="25" t="s">
        <v>367</v>
      </c>
      <c r="D325" s="25" t="s">
        <v>368</v>
      </c>
      <c r="E325" s="25" t="s">
        <v>369</v>
      </c>
      <c r="F325" s="25" t="s">
        <v>370</v>
      </c>
      <c r="G325" s="73">
        <v>396000000</v>
      </c>
      <c r="H325" s="25">
        <v>1</v>
      </c>
      <c r="I325" s="25" t="s">
        <v>364</v>
      </c>
      <c r="J325" s="526">
        <v>546642000</v>
      </c>
    </row>
    <row r="326" spans="1:10" ht="33.75">
      <c r="A326" s="39">
        <v>10</v>
      </c>
      <c r="B326" s="52" t="s">
        <v>24758</v>
      </c>
      <c r="C326" s="25" t="s">
        <v>24759</v>
      </c>
      <c r="D326" s="367" t="s">
        <v>24760</v>
      </c>
      <c r="E326" s="367"/>
      <c r="F326" s="367" t="s">
        <v>24761</v>
      </c>
      <c r="G326" s="535" t="s">
        <v>24762</v>
      </c>
      <c r="H326" s="367" t="s">
        <v>24763</v>
      </c>
      <c r="I326" s="25"/>
      <c r="J326" s="980">
        <v>20000000</v>
      </c>
    </row>
    <row r="327" spans="1:10" ht="22.5">
      <c r="A327" s="39">
        <v>10</v>
      </c>
      <c r="B327" s="52" t="s">
        <v>24764</v>
      </c>
      <c r="C327" s="25" t="s">
        <v>24765</v>
      </c>
      <c r="D327" s="367" t="s">
        <v>24766</v>
      </c>
      <c r="E327" s="367"/>
      <c r="F327" s="367" t="s">
        <v>24767</v>
      </c>
      <c r="G327" s="535"/>
      <c r="H327" s="367">
        <v>1</v>
      </c>
      <c r="I327" s="25" t="s">
        <v>24768</v>
      </c>
      <c r="J327" s="980">
        <v>15000000</v>
      </c>
    </row>
    <row r="328" spans="1:10" ht="15.75">
      <c r="A328" s="1038" t="s">
        <v>189</v>
      </c>
      <c r="B328" s="1039"/>
      <c r="C328" s="1039"/>
      <c r="D328" s="1039"/>
      <c r="E328" s="1039"/>
      <c r="F328" s="1039"/>
      <c r="G328" s="536">
        <f>SUM(G324:G327)</f>
        <v>726000000</v>
      </c>
      <c r="H328" s="567"/>
      <c r="I328" s="567"/>
      <c r="J328" s="977">
        <f>SUM(J324:J327)</f>
        <v>1037177000</v>
      </c>
    </row>
    <row r="329" spans="1:10" ht="15.75">
      <c r="A329" s="1038" t="s">
        <v>354</v>
      </c>
      <c r="B329" s="1039"/>
      <c r="C329" s="1039"/>
      <c r="D329" s="1039"/>
      <c r="E329" s="1039"/>
      <c r="F329" s="1039"/>
      <c r="G329" s="1039"/>
      <c r="H329" s="1039"/>
      <c r="I329" s="1039"/>
      <c r="J329" s="1040"/>
    </row>
    <row r="330" spans="1:10" ht="22.5">
      <c r="A330" s="958" t="s">
        <v>291</v>
      </c>
      <c r="B330" s="24" t="s">
        <v>291</v>
      </c>
      <c r="C330" s="24" t="s">
        <v>327</v>
      </c>
      <c r="D330" s="569" t="s">
        <v>328</v>
      </c>
      <c r="E330" s="569">
        <v>2.13</v>
      </c>
      <c r="F330" s="569" t="s">
        <v>329</v>
      </c>
      <c r="G330" s="544">
        <v>25000000</v>
      </c>
      <c r="H330" s="569" t="s">
        <v>330</v>
      </c>
      <c r="I330" s="25" t="s">
        <v>331</v>
      </c>
      <c r="J330" s="526">
        <v>32000000</v>
      </c>
    </row>
    <row r="331" spans="1:10">
      <c r="A331" s="958" t="s">
        <v>332</v>
      </c>
      <c r="B331" s="24" t="s">
        <v>266</v>
      </c>
      <c r="C331" s="24" t="s">
        <v>333</v>
      </c>
      <c r="D331" s="569" t="s">
        <v>334</v>
      </c>
      <c r="E331" s="569">
        <v>1</v>
      </c>
      <c r="F331" s="569" t="s">
        <v>335</v>
      </c>
      <c r="G331" s="544">
        <v>18000000</v>
      </c>
      <c r="H331" s="569" t="s">
        <v>330</v>
      </c>
      <c r="I331" s="25" t="s">
        <v>331</v>
      </c>
      <c r="J331" s="526">
        <v>15000000</v>
      </c>
    </row>
    <row r="332" spans="1:10" ht="22.5">
      <c r="A332" s="958" t="s">
        <v>291</v>
      </c>
      <c r="B332" s="24" t="s">
        <v>291</v>
      </c>
      <c r="C332" s="24" t="s">
        <v>336</v>
      </c>
      <c r="D332" s="569" t="s">
        <v>328</v>
      </c>
      <c r="E332" s="569" t="s">
        <v>337</v>
      </c>
      <c r="F332" s="569" t="s">
        <v>338</v>
      </c>
      <c r="G332" s="544">
        <v>8000000</v>
      </c>
      <c r="H332" s="569" t="s">
        <v>330</v>
      </c>
      <c r="I332" s="25" t="s">
        <v>331</v>
      </c>
      <c r="J332" s="526">
        <v>9000000</v>
      </c>
    </row>
    <row r="333" spans="1:10" ht="22.5">
      <c r="A333" s="958" t="s">
        <v>283</v>
      </c>
      <c r="B333" s="24" t="s">
        <v>339</v>
      </c>
      <c r="C333" s="966" t="s">
        <v>340</v>
      </c>
      <c r="D333" s="569" t="s">
        <v>341</v>
      </c>
      <c r="E333" s="569">
        <v>1</v>
      </c>
      <c r="F333" s="569" t="s">
        <v>342</v>
      </c>
      <c r="G333" s="544">
        <v>12000000</v>
      </c>
      <c r="H333" s="569" t="s">
        <v>330</v>
      </c>
      <c r="I333" s="25" t="s">
        <v>331</v>
      </c>
      <c r="J333" s="526">
        <v>15000000</v>
      </c>
    </row>
    <row r="334" spans="1:10" ht="33.75">
      <c r="A334" s="958" t="s">
        <v>332</v>
      </c>
      <c r="B334" s="24" t="s">
        <v>266</v>
      </c>
      <c r="C334" s="24" t="s">
        <v>343</v>
      </c>
      <c r="D334" s="569" t="s">
        <v>341</v>
      </c>
      <c r="E334" s="569" t="s">
        <v>337</v>
      </c>
      <c r="F334" s="569" t="s">
        <v>344</v>
      </c>
      <c r="G334" s="544">
        <v>1000000</v>
      </c>
      <c r="H334" s="569" t="s">
        <v>330</v>
      </c>
      <c r="I334" s="25" t="s">
        <v>331</v>
      </c>
      <c r="J334" s="526">
        <v>1200000</v>
      </c>
    </row>
    <row r="335" spans="1:10" ht="22.5">
      <c r="A335" s="958" t="s">
        <v>291</v>
      </c>
      <c r="B335" s="24" t="s">
        <v>345</v>
      </c>
      <c r="C335" s="24" t="s">
        <v>346</v>
      </c>
      <c r="D335" s="569" t="s">
        <v>341</v>
      </c>
      <c r="E335" s="569">
        <v>2.13</v>
      </c>
      <c r="F335" s="569" t="s">
        <v>338</v>
      </c>
      <c r="G335" s="544">
        <v>20000000</v>
      </c>
      <c r="H335" s="569" t="s">
        <v>330</v>
      </c>
      <c r="I335" s="25" t="s">
        <v>331</v>
      </c>
      <c r="J335" s="526">
        <v>32000000</v>
      </c>
    </row>
    <row r="336" spans="1:10" ht="22.5">
      <c r="A336" s="958" t="s">
        <v>291</v>
      </c>
      <c r="B336" s="24" t="s">
        <v>345</v>
      </c>
      <c r="C336" s="24" t="s">
        <v>347</v>
      </c>
      <c r="D336" s="569" t="s">
        <v>341</v>
      </c>
      <c r="E336" s="569">
        <v>2.13</v>
      </c>
      <c r="F336" s="569" t="s">
        <v>338</v>
      </c>
      <c r="G336" s="544">
        <v>20000000</v>
      </c>
      <c r="H336" s="569" t="s">
        <v>330</v>
      </c>
      <c r="I336" s="25" t="s">
        <v>331</v>
      </c>
      <c r="J336" s="526">
        <v>32000000</v>
      </c>
    </row>
    <row r="337" spans="1:10" ht="22.5">
      <c r="A337" s="958" t="s">
        <v>332</v>
      </c>
      <c r="B337" s="24" t="s">
        <v>266</v>
      </c>
      <c r="C337" s="24" t="s">
        <v>348</v>
      </c>
      <c r="D337" s="569" t="s">
        <v>349</v>
      </c>
      <c r="E337" s="569">
        <v>2.13</v>
      </c>
      <c r="F337" s="569" t="s">
        <v>338</v>
      </c>
      <c r="G337" s="544">
        <v>20000000</v>
      </c>
      <c r="H337" s="569" t="s">
        <v>330</v>
      </c>
      <c r="I337" s="25" t="s">
        <v>331</v>
      </c>
      <c r="J337" s="526">
        <v>32000000</v>
      </c>
    </row>
    <row r="338" spans="1:10" ht="22.5">
      <c r="A338" s="958" t="s">
        <v>283</v>
      </c>
      <c r="B338" s="24" t="s">
        <v>283</v>
      </c>
      <c r="C338" s="24" t="s">
        <v>350</v>
      </c>
      <c r="D338" s="569" t="s">
        <v>334</v>
      </c>
      <c r="E338" s="569">
        <v>2.13</v>
      </c>
      <c r="F338" s="569" t="s">
        <v>338</v>
      </c>
      <c r="G338" s="544">
        <v>20000000</v>
      </c>
      <c r="H338" s="569" t="s">
        <v>330</v>
      </c>
      <c r="I338" s="25" t="s">
        <v>331</v>
      </c>
      <c r="J338" s="526">
        <v>32000000</v>
      </c>
    </row>
    <row r="339" spans="1:10">
      <c r="A339" s="958" t="s">
        <v>276</v>
      </c>
      <c r="B339" s="24" t="s">
        <v>276</v>
      </c>
      <c r="C339" s="24" t="s">
        <v>351</v>
      </c>
      <c r="D339" s="569" t="s">
        <v>341</v>
      </c>
      <c r="E339" s="569" t="s">
        <v>352</v>
      </c>
      <c r="F339" s="569" t="s">
        <v>353</v>
      </c>
      <c r="G339" s="544">
        <v>8000000</v>
      </c>
      <c r="H339" s="569" t="s">
        <v>330</v>
      </c>
      <c r="I339" s="25" t="s">
        <v>331</v>
      </c>
      <c r="J339" s="526">
        <v>11000000</v>
      </c>
    </row>
    <row r="340" spans="1:10">
      <c r="A340" s="958" t="s">
        <v>276</v>
      </c>
      <c r="B340" s="24" t="s">
        <v>276</v>
      </c>
      <c r="C340" s="24" t="s">
        <v>340</v>
      </c>
      <c r="D340" s="569" t="s">
        <v>341</v>
      </c>
      <c r="E340" s="569" t="s">
        <v>352</v>
      </c>
      <c r="F340" s="569" t="s">
        <v>353</v>
      </c>
      <c r="G340" s="544">
        <v>8000000</v>
      </c>
      <c r="H340" s="569" t="s">
        <v>330</v>
      </c>
      <c r="I340" s="25" t="s">
        <v>331</v>
      </c>
      <c r="J340" s="526">
        <v>11000000</v>
      </c>
    </row>
    <row r="341" spans="1:10" ht="15.75">
      <c r="A341" s="1038" t="s">
        <v>189</v>
      </c>
      <c r="B341" s="1039"/>
      <c r="C341" s="1039"/>
      <c r="D341" s="1039"/>
      <c r="E341" s="1039"/>
      <c r="F341" s="1039"/>
      <c r="G341" s="536">
        <f>SUM(G330:G340)</f>
        <v>160000000</v>
      </c>
      <c r="H341" s="567"/>
      <c r="I341" s="567"/>
      <c r="J341" s="977">
        <f>SUM(J330:J340)</f>
        <v>222200000</v>
      </c>
    </row>
    <row r="342" spans="1:10" ht="15.75">
      <c r="A342" s="1038" t="s">
        <v>7270</v>
      </c>
      <c r="B342" s="1039"/>
      <c r="C342" s="1039"/>
      <c r="D342" s="1039"/>
      <c r="E342" s="1039"/>
      <c r="F342" s="1039"/>
      <c r="G342" s="1039"/>
      <c r="H342" s="1039"/>
      <c r="I342" s="1039"/>
      <c r="J342" s="1040"/>
    </row>
    <row r="343" spans="1:10" ht="128.25">
      <c r="A343" s="994" t="s">
        <v>7271</v>
      </c>
      <c r="B343" s="311" t="s">
        <v>8307</v>
      </c>
      <c r="C343" s="62" t="s">
        <v>8308</v>
      </c>
      <c r="D343" s="62" t="s">
        <v>8309</v>
      </c>
      <c r="E343" s="62" t="s">
        <v>8310</v>
      </c>
      <c r="F343" s="62" t="s">
        <v>8311</v>
      </c>
      <c r="G343" s="491">
        <f>2000000+40000000+4000000</f>
        <v>46000000</v>
      </c>
      <c r="H343" s="62" t="s">
        <v>30</v>
      </c>
      <c r="I343" s="62" t="s">
        <v>8312</v>
      </c>
      <c r="J343" s="548">
        <v>186480000</v>
      </c>
    </row>
    <row r="344" spans="1:10" ht="142.5">
      <c r="A344" s="994" t="s">
        <v>7271</v>
      </c>
      <c r="B344" s="311" t="s">
        <v>1658</v>
      </c>
      <c r="C344" s="62" t="s">
        <v>8313</v>
      </c>
      <c r="D344" s="62" t="s">
        <v>8314</v>
      </c>
      <c r="E344" s="62" t="s">
        <v>8315</v>
      </c>
      <c r="F344" s="62" t="s">
        <v>8316</v>
      </c>
      <c r="G344" s="491">
        <f>12000000+14000000+22000000</f>
        <v>48000000</v>
      </c>
      <c r="H344" s="62" t="s">
        <v>30</v>
      </c>
      <c r="I344" s="62" t="s">
        <v>8317</v>
      </c>
      <c r="J344" s="548">
        <v>282000000</v>
      </c>
    </row>
    <row r="345" spans="1:10" ht="142.5">
      <c r="A345" s="994" t="s">
        <v>7271</v>
      </c>
      <c r="B345" s="311" t="s">
        <v>1864</v>
      </c>
      <c r="C345" s="62" t="s">
        <v>8318</v>
      </c>
      <c r="D345" s="62" t="s">
        <v>8319</v>
      </c>
      <c r="E345" s="62" t="s">
        <v>8320</v>
      </c>
      <c r="F345" s="62" t="s">
        <v>8321</v>
      </c>
      <c r="G345" s="491">
        <f>4000000+20000000</f>
        <v>24000000</v>
      </c>
      <c r="H345" s="62" t="s">
        <v>30</v>
      </c>
      <c r="I345" s="62" t="s">
        <v>8322</v>
      </c>
      <c r="J345" s="548">
        <f>40000000+(2*1*1*65000)+3000000</f>
        <v>43130000</v>
      </c>
    </row>
    <row r="346" spans="1:10" ht="142.5">
      <c r="A346" s="994" t="s">
        <v>8323</v>
      </c>
      <c r="B346" s="311" t="s">
        <v>8324</v>
      </c>
      <c r="C346" s="62" t="s">
        <v>8325</v>
      </c>
      <c r="D346" s="62" t="s">
        <v>8326</v>
      </c>
      <c r="E346" s="62" t="s">
        <v>8327</v>
      </c>
      <c r="F346" s="62" t="s">
        <v>8328</v>
      </c>
      <c r="G346" s="491">
        <f>74000000</f>
        <v>74000000</v>
      </c>
      <c r="H346" s="62" t="s">
        <v>30</v>
      </c>
      <c r="I346" s="62" t="s">
        <v>8329</v>
      </c>
      <c r="J346" s="548">
        <v>132063256.47499999</v>
      </c>
    </row>
    <row r="347" spans="1:10">
      <c r="A347" s="995"/>
      <c r="B347" s="312"/>
      <c r="C347" s="312"/>
      <c r="D347" s="312"/>
      <c r="E347" s="313"/>
      <c r="F347" s="314"/>
      <c r="G347" s="539"/>
      <c r="H347" s="312"/>
      <c r="I347" s="314"/>
      <c r="J347" s="996"/>
    </row>
    <row r="348" spans="1:10" ht="15.75">
      <c r="A348" s="1038" t="s">
        <v>6444</v>
      </c>
      <c r="B348" s="1039"/>
      <c r="C348" s="1039"/>
      <c r="D348" s="1039"/>
      <c r="E348" s="1039"/>
      <c r="F348" s="1039"/>
      <c r="G348" s="536">
        <f>SUM(G343:G347)</f>
        <v>192000000</v>
      </c>
      <c r="H348" s="567"/>
      <c r="I348" s="567"/>
      <c r="J348" s="977">
        <f>SUM(J343:J347)</f>
        <v>643673256.47500002</v>
      </c>
    </row>
    <row r="349" spans="1:10" ht="15.75">
      <c r="A349" s="1038" t="s">
        <v>7448</v>
      </c>
      <c r="B349" s="1039"/>
      <c r="C349" s="1039"/>
      <c r="D349" s="1039"/>
      <c r="E349" s="1039"/>
      <c r="F349" s="1039"/>
      <c r="G349" s="1039"/>
      <c r="H349" s="1039"/>
      <c r="I349" s="1039"/>
      <c r="J349" s="1040"/>
    </row>
    <row r="350" spans="1:10" ht="57">
      <c r="A350" s="315" t="s">
        <v>938</v>
      </c>
      <c r="B350" s="965" t="s">
        <v>938</v>
      </c>
      <c r="C350" s="316" t="s">
        <v>8330</v>
      </c>
      <c r="D350" s="316" t="s">
        <v>8331</v>
      </c>
      <c r="E350" s="316" t="s">
        <v>8332</v>
      </c>
      <c r="F350" s="316" t="s">
        <v>8333</v>
      </c>
      <c r="G350" s="491" t="s">
        <v>8334</v>
      </c>
      <c r="H350" s="316">
        <v>1</v>
      </c>
      <c r="I350" s="316" t="s">
        <v>8335</v>
      </c>
      <c r="J350" s="540">
        <v>160000000</v>
      </c>
    </row>
    <row r="351" spans="1:10" ht="168.75">
      <c r="A351" s="39" t="s">
        <v>6417</v>
      </c>
      <c r="B351" s="52" t="s">
        <v>24738</v>
      </c>
      <c r="C351" s="25" t="s">
        <v>24739</v>
      </c>
      <c r="D351" s="367" t="s">
        <v>24738</v>
      </c>
      <c r="E351" s="367" t="s">
        <v>24740</v>
      </c>
      <c r="F351" s="367" t="s">
        <v>24741</v>
      </c>
      <c r="G351" s="535"/>
      <c r="H351" s="367">
        <v>1</v>
      </c>
      <c r="I351" s="25" t="s">
        <v>24742</v>
      </c>
      <c r="J351" s="980" t="s">
        <v>24743</v>
      </c>
    </row>
    <row r="352" spans="1:10" ht="45">
      <c r="A352" s="39" t="s">
        <v>7317</v>
      </c>
      <c r="B352" s="52" t="s">
        <v>7317</v>
      </c>
      <c r="C352" s="25" t="s">
        <v>24821</v>
      </c>
      <c r="D352" s="367" t="s">
        <v>24822</v>
      </c>
      <c r="E352" s="367" t="s">
        <v>24823</v>
      </c>
      <c r="F352" s="367" t="s">
        <v>24741</v>
      </c>
      <c r="G352" s="535"/>
      <c r="H352" s="367">
        <v>1</v>
      </c>
      <c r="I352" s="25" t="s">
        <v>24824</v>
      </c>
      <c r="J352" s="980" t="s">
        <v>24743</v>
      </c>
    </row>
    <row r="353" spans="1:10">
      <c r="A353" s="995"/>
      <c r="B353" s="312"/>
      <c r="C353" s="312"/>
      <c r="D353" s="312"/>
      <c r="E353" s="313"/>
      <c r="F353" s="314"/>
      <c r="G353" s="539"/>
      <c r="H353" s="312"/>
      <c r="I353" s="314"/>
      <c r="J353" s="996"/>
    </row>
    <row r="354" spans="1:10" ht="15.75">
      <c r="A354" s="1038" t="s">
        <v>6444</v>
      </c>
      <c r="B354" s="1039"/>
      <c r="C354" s="1039"/>
      <c r="D354" s="1039"/>
      <c r="E354" s="1039"/>
      <c r="F354" s="1039"/>
      <c r="G354" s="536">
        <f>SUM(G350:G353)</f>
        <v>0</v>
      </c>
      <c r="H354" s="567"/>
      <c r="I354" s="567"/>
      <c r="J354" s="977">
        <f>SUM(J350:J353)</f>
        <v>160000000</v>
      </c>
    </row>
    <row r="355" spans="1:10" ht="15.75">
      <c r="A355" s="1038" t="s">
        <v>7469</v>
      </c>
      <c r="B355" s="1039"/>
      <c r="C355" s="1039"/>
      <c r="D355" s="1039"/>
      <c r="E355" s="1039"/>
      <c r="F355" s="1039"/>
      <c r="G355" s="1039"/>
      <c r="H355" s="1039"/>
      <c r="I355" s="1039"/>
      <c r="J355" s="1040"/>
    </row>
    <row r="356" spans="1:10" ht="42.75">
      <c r="A356" s="315" t="s">
        <v>7489</v>
      </c>
      <c r="B356" s="965" t="s">
        <v>6561</v>
      </c>
      <c r="C356" s="316" t="s">
        <v>7494</v>
      </c>
      <c r="D356" s="316" t="s">
        <v>8336</v>
      </c>
      <c r="E356" s="316" t="s">
        <v>8337</v>
      </c>
      <c r="F356" s="316" t="s">
        <v>8338</v>
      </c>
      <c r="G356" s="491"/>
      <c r="H356" s="316">
        <v>1</v>
      </c>
      <c r="I356" s="316" t="s">
        <v>8339</v>
      </c>
      <c r="J356" s="540">
        <v>300000000</v>
      </c>
    </row>
    <row r="357" spans="1:10" ht="28.5">
      <c r="A357" s="315" t="s">
        <v>7470</v>
      </c>
      <c r="B357" s="965" t="s">
        <v>8340</v>
      </c>
      <c r="C357" s="316" t="s">
        <v>7479</v>
      </c>
      <c r="D357" s="316" t="s">
        <v>8341</v>
      </c>
      <c r="E357" s="316" t="s">
        <v>8342</v>
      </c>
      <c r="F357" s="316" t="s">
        <v>8343</v>
      </c>
      <c r="G357" s="491"/>
      <c r="H357" s="316">
        <v>1</v>
      </c>
      <c r="I357" s="316" t="s">
        <v>8344</v>
      </c>
      <c r="J357" s="540">
        <v>150000000</v>
      </c>
    </row>
    <row r="358" spans="1:10" ht="28.5">
      <c r="A358" s="315" t="s">
        <v>7470</v>
      </c>
      <c r="B358" s="965" t="s">
        <v>8340</v>
      </c>
      <c r="C358" s="316" t="s">
        <v>7482</v>
      </c>
      <c r="D358" s="316" t="s">
        <v>8345</v>
      </c>
      <c r="E358" s="316" t="s">
        <v>8346</v>
      </c>
      <c r="F358" s="316" t="s">
        <v>8347</v>
      </c>
      <c r="G358" s="491"/>
      <c r="H358" s="316">
        <v>1</v>
      </c>
      <c r="I358" s="316" t="s">
        <v>8348</v>
      </c>
      <c r="J358" s="540">
        <v>300000000</v>
      </c>
    </row>
    <row r="359" spans="1:10" ht="42.75">
      <c r="A359" s="315" t="s">
        <v>7470</v>
      </c>
      <c r="B359" s="965" t="s">
        <v>8349</v>
      </c>
      <c r="C359" s="316" t="s">
        <v>8350</v>
      </c>
      <c r="D359" s="316" t="s">
        <v>8351</v>
      </c>
      <c r="E359" s="316" t="s">
        <v>8352</v>
      </c>
      <c r="F359" s="316" t="s">
        <v>8353</v>
      </c>
      <c r="G359" s="491"/>
      <c r="H359" s="316">
        <v>2</v>
      </c>
      <c r="I359" s="316" t="s">
        <v>8344</v>
      </c>
      <c r="J359" s="540">
        <v>150000000</v>
      </c>
    </row>
    <row r="360" spans="1:10" ht="42.75">
      <c r="A360" s="315" t="s">
        <v>7470</v>
      </c>
      <c r="B360" s="965" t="s">
        <v>4527</v>
      </c>
      <c r="C360" s="316" t="s">
        <v>7478</v>
      </c>
      <c r="D360" s="316" t="s">
        <v>8354</v>
      </c>
      <c r="E360" s="316" t="s">
        <v>8355</v>
      </c>
      <c r="F360" s="316" t="s">
        <v>8356</v>
      </c>
      <c r="G360" s="491"/>
      <c r="H360" s="316">
        <v>1</v>
      </c>
      <c r="I360" s="316" t="s">
        <v>8344</v>
      </c>
      <c r="J360" s="540">
        <v>220500000</v>
      </c>
    </row>
    <row r="361" spans="1:10" ht="42.75">
      <c r="A361" s="315" t="s">
        <v>7470</v>
      </c>
      <c r="B361" s="965" t="s">
        <v>8357</v>
      </c>
      <c r="C361" s="316" t="s">
        <v>8358</v>
      </c>
      <c r="D361" s="316" t="s">
        <v>8359</v>
      </c>
      <c r="E361" s="316" t="s">
        <v>8360</v>
      </c>
      <c r="F361" s="316" t="s">
        <v>8356</v>
      </c>
      <c r="G361" s="491"/>
      <c r="H361" s="316">
        <v>1</v>
      </c>
      <c r="I361" s="316" t="s">
        <v>8339</v>
      </c>
      <c r="J361" s="540">
        <v>300000000</v>
      </c>
    </row>
    <row r="362" spans="1:10" ht="42.75">
      <c r="A362" s="315" t="s">
        <v>7470</v>
      </c>
      <c r="B362" s="965" t="s">
        <v>4527</v>
      </c>
      <c r="C362" s="316" t="s">
        <v>7478</v>
      </c>
      <c r="D362" s="316" t="s">
        <v>8361</v>
      </c>
      <c r="E362" s="316" t="s">
        <v>8355</v>
      </c>
      <c r="F362" s="316" t="s">
        <v>8356</v>
      </c>
      <c r="G362" s="491"/>
      <c r="H362" s="316">
        <v>1</v>
      </c>
      <c r="I362" s="316" t="s">
        <v>8344</v>
      </c>
      <c r="J362" s="540">
        <v>220500000</v>
      </c>
    </row>
    <row r="363" spans="1:10" ht="42.75">
      <c r="A363" s="315" t="s">
        <v>7470</v>
      </c>
      <c r="B363" s="965" t="s">
        <v>4527</v>
      </c>
      <c r="C363" s="316" t="s">
        <v>7478</v>
      </c>
      <c r="D363" s="316" t="s">
        <v>8362</v>
      </c>
      <c r="E363" s="316" t="s">
        <v>8355</v>
      </c>
      <c r="F363" s="316" t="s">
        <v>8356</v>
      </c>
      <c r="G363" s="491"/>
      <c r="H363" s="316">
        <v>1</v>
      </c>
      <c r="I363" s="316" t="s">
        <v>8344</v>
      </c>
      <c r="J363" s="540">
        <v>220500000</v>
      </c>
    </row>
    <row r="364" spans="1:10" ht="28.5">
      <c r="A364" s="315" t="s">
        <v>7470</v>
      </c>
      <c r="B364" s="965" t="s">
        <v>4527</v>
      </c>
      <c r="C364" s="316" t="s">
        <v>7478</v>
      </c>
      <c r="D364" s="316" t="s">
        <v>8363</v>
      </c>
      <c r="E364" s="316" t="s">
        <v>8364</v>
      </c>
      <c r="F364" s="316" t="s">
        <v>8356</v>
      </c>
      <c r="G364" s="491"/>
      <c r="H364" s="316">
        <v>1</v>
      </c>
      <c r="I364" s="316" t="s">
        <v>8344</v>
      </c>
      <c r="J364" s="540">
        <v>120000000</v>
      </c>
    </row>
    <row r="365" spans="1:10" ht="42.75">
      <c r="A365" s="315" t="s">
        <v>7470</v>
      </c>
      <c r="B365" s="965" t="s">
        <v>1697</v>
      </c>
      <c r="C365" s="316" t="s">
        <v>8365</v>
      </c>
      <c r="D365" s="316" t="s">
        <v>8366</v>
      </c>
      <c r="E365" s="316" t="s">
        <v>8367</v>
      </c>
      <c r="F365" s="316" t="s">
        <v>8368</v>
      </c>
      <c r="G365" s="491"/>
      <c r="H365" s="316">
        <v>1</v>
      </c>
      <c r="I365" s="316" t="s">
        <v>8369</v>
      </c>
      <c r="J365" s="540">
        <v>220500000</v>
      </c>
    </row>
    <row r="366" spans="1:10" ht="42.75">
      <c r="A366" s="315" t="s">
        <v>7470</v>
      </c>
      <c r="B366" s="965" t="s">
        <v>7477</v>
      </c>
      <c r="C366" s="316" t="s">
        <v>7479</v>
      </c>
      <c r="D366" s="316" t="s">
        <v>8370</v>
      </c>
      <c r="E366" s="316" t="s">
        <v>8371</v>
      </c>
      <c r="F366" s="316" t="s">
        <v>8368</v>
      </c>
      <c r="G366" s="491"/>
      <c r="H366" s="316">
        <v>1</v>
      </c>
      <c r="I366" s="316" t="s">
        <v>8372</v>
      </c>
      <c r="J366" s="540">
        <v>120000000</v>
      </c>
    </row>
    <row r="367" spans="1:10" ht="28.5">
      <c r="A367" s="315" t="s">
        <v>7470</v>
      </c>
      <c r="B367" s="965" t="s">
        <v>7471</v>
      </c>
      <c r="C367" s="316" t="s">
        <v>7472</v>
      </c>
      <c r="D367" s="316" t="s">
        <v>8373</v>
      </c>
      <c r="E367" s="316" t="s">
        <v>8374</v>
      </c>
      <c r="F367" s="316" t="s">
        <v>8375</v>
      </c>
      <c r="G367" s="491"/>
      <c r="H367" s="316">
        <v>2</v>
      </c>
      <c r="I367" s="316" t="s">
        <v>8376</v>
      </c>
      <c r="J367" s="540">
        <v>420000000</v>
      </c>
    </row>
    <row r="368" spans="1:10" ht="28.5">
      <c r="A368" s="315" t="s">
        <v>7489</v>
      </c>
      <c r="B368" s="965" t="s">
        <v>6561</v>
      </c>
      <c r="C368" s="316" t="s">
        <v>7494</v>
      </c>
      <c r="D368" s="316" t="s">
        <v>8377</v>
      </c>
      <c r="E368" s="316" t="s">
        <v>8378</v>
      </c>
      <c r="F368" s="316" t="s">
        <v>8379</v>
      </c>
      <c r="G368" s="491"/>
      <c r="H368" s="316">
        <v>1</v>
      </c>
      <c r="I368" s="316" t="s">
        <v>8380</v>
      </c>
      <c r="J368" s="540">
        <v>300000000</v>
      </c>
    </row>
    <row r="369" spans="1:10" ht="28.5">
      <c r="A369" s="315" t="s">
        <v>7489</v>
      </c>
      <c r="B369" s="965" t="s">
        <v>7502</v>
      </c>
      <c r="C369" s="316" t="s">
        <v>7492</v>
      </c>
      <c r="D369" s="316" t="s">
        <v>8381</v>
      </c>
      <c r="E369" s="316" t="s">
        <v>8382</v>
      </c>
      <c r="F369" s="316" t="s">
        <v>8383</v>
      </c>
      <c r="G369" s="491"/>
      <c r="H369" s="316">
        <v>1</v>
      </c>
      <c r="I369" s="316" t="s">
        <v>8372</v>
      </c>
      <c r="J369" s="540">
        <v>120000000</v>
      </c>
    </row>
    <row r="370" spans="1:10" ht="28.5">
      <c r="A370" s="315" t="s">
        <v>7489</v>
      </c>
      <c r="B370" s="965" t="s">
        <v>1707</v>
      </c>
      <c r="C370" s="316" t="s">
        <v>7492</v>
      </c>
      <c r="D370" s="316" t="s">
        <v>8384</v>
      </c>
      <c r="E370" s="316" t="s">
        <v>8382</v>
      </c>
      <c r="F370" s="316" t="s">
        <v>8383</v>
      </c>
      <c r="G370" s="491"/>
      <c r="H370" s="316">
        <v>2</v>
      </c>
      <c r="I370" s="316" t="s">
        <v>8372</v>
      </c>
      <c r="J370" s="540">
        <v>120000000</v>
      </c>
    </row>
    <row r="371" spans="1:10" ht="28.5">
      <c r="A371" s="315" t="s">
        <v>7489</v>
      </c>
      <c r="B371" s="965" t="s">
        <v>1707</v>
      </c>
      <c r="C371" s="316" t="s">
        <v>7492</v>
      </c>
      <c r="D371" s="316" t="s">
        <v>8385</v>
      </c>
      <c r="E371" s="316" t="s">
        <v>8386</v>
      </c>
      <c r="F371" s="316" t="s">
        <v>5730</v>
      </c>
      <c r="G371" s="491"/>
      <c r="H371" s="316">
        <v>1</v>
      </c>
      <c r="I371" s="316" t="s">
        <v>8387</v>
      </c>
      <c r="J371" s="540">
        <v>50000000</v>
      </c>
    </row>
    <row r="372" spans="1:10" ht="28.5">
      <c r="A372" s="315" t="s">
        <v>7489</v>
      </c>
      <c r="B372" s="965" t="s">
        <v>3199</v>
      </c>
      <c r="C372" s="316" t="s">
        <v>7500</v>
      </c>
      <c r="D372" s="316" t="s">
        <v>8377</v>
      </c>
      <c r="E372" s="316" t="s">
        <v>8374</v>
      </c>
      <c r="F372" s="316" t="s">
        <v>8375</v>
      </c>
      <c r="G372" s="491"/>
      <c r="H372" s="316">
        <v>2</v>
      </c>
      <c r="I372" s="316" t="s">
        <v>8388</v>
      </c>
      <c r="J372" s="540">
        <v>420000000</v>
      </c>
    </row>
    <row r="373" spans="1:10" ht="42.75">
      <c r="A373" s="315" t="s">
        <v>3918</v>
      </c>
      <c r="B373" s="965" t="s">
        <v>8389</v>
      </c>
      <c r="C373" s="316" t="s">
        <v>7512</v>
      </c>
      <c r="D373" s="316" t="s">
        <v>8389</v>
      </c>
      <c r="E373" s="316" t="s">
        <v>8390</v>
      </c>
      <c r="F373" s="316" t="s">
        <v>8391</v>
      </c>
      <c r="G373" s="491"/>
      <c r="H373" s="316">
        <v>1</v>
      </c>
      <c r="I373" s="316" t="s">
        <v>8392</v>
      </c>
      <c r="J373" s="540">
        <v>150000000</v>
      </c>
    </row>
    <row r="374" spans="1:10" ht="42.75">
      <c r="A374" s="315" t="s">
        <v>3918</v>
      </c>
      <c r="B374" s="965" t="s">
        <v>3918</v>
      </c>
      <c r="C374" s="316" t="s">
        <v>7482</v>
      </c>
      <c r="D374" s="316" t="s">
        <v>8393</v>
      </c>
      <c r="E374" s="316" t="s">
        <v>8394</v>
      </c>
      <c r="F374" s="316" t="s">
        <v>8391</v>
      </c>
      <c r="G374" s="491"/>
      <c r="H374" s="316">
        <v>1</v>
      </c>
      <c r="I374" s="316" t="s">
        <v>8395</v>
      </c>
      <c r="J374" s="540">
        <v>180000000</v>
      </c>
    </row>
    <row r="375" spans="1:10" ht="30">
      <c r="A375" s="315" t="s">
        <v>3918</v>
      </c>
      <c r="B375" s="965" t="s">
        <v>7513</v>
      </c>
      <c r="C375" s="316" t="s">
        <v>7517</v>
      </c>
      <c r="D375" s="316" t="s">
        <v>8396</v>
      </c>
      <c r="E375" s="316" t="s">
        <v>8374</v>
      </c>
      <c r="F375" s="316" t="s">
        <v>8397</v>
      </c>
      <c r="G375" s="491"/>
      <c r="H375" s="316">
        <v>2</v>
      </c>
      <c r="I375" s="316" t="s">
        <v>8398</v>
      </c>
      <c r="J375" s="540">
        <v>420000000</v>
      </c>
    </row>
    <row r="376" spans="1:10" ht="30">
      <c r="A376" s="315" t="s">
        <v>3918</v>
      </c>
      <c r="B376" s="965" t="s">
        <v>7513</v>
      </c>
      <c r="C376" s="316" t="s">
        <v>7519</v>
      </c>
      <c r="D376" s="316" t="s">
        <v>8396</v>
      </c>
      <c r="E376" s="316" t="s">
        <v>8399</v>
      </c>
      <c r="F376" s="316" t="s">
        <v>8397</v>
      </c>
      <c r="G376" s="491"/>
      <c r="H376" s="316">
        <v>2</v>
      </c>
      <c r="I376" s="316" t="s">
        <v>8400</v>
      </c>
      <c r="J376" s="540">
        <v>330000000</v>
      </c>
    </row>
    <row r="377" spans="1:10" ht="30">
      <c r="A377" s="315" t="s">
        <v>3918</v>
      </c>
      <c r="B377" s="965" t="s">
        <v>3918</v>
      </c>
      <c r="C377" s="316" t="s">
        <v>8401</v>
      </c>
      <c r="D377" s="316" t="s">
        <v>8402</v>
      </c>
      <c r="E377" s="316" t="s">
        <v>8374</v>
      </c>
      <c r="F377" s="316" t="s">
        <v>8397</v>
      </c>
      <c r="G377" s="491"/>
      <c r="H377" s="316">
        <v>2</v>
      </c>
      <c r="I377" s="316" t="s">
        <v>8398</v>
      </c>
      <c r="J377" s="540">
        <v>420000000</v>
      </c>
    </row>
    <row r="378" spans="1:10" ht="42.75">
      <c r="A378" s="315" t="s">
        <v>3918</v>
      </c>
      <c r="B378" s="965" t="s">
        <v>8403</v>
      </c>
      <c r="C378" s="316" t="s">
        <v>7507</v>
      </c>
      <c r="D378" s="316" t="s">
        <v>8404</v>
      </c>
      <c r="E378" s="316" t="s">
        <v>8405</v>
      </c>
      <c r="F378" s="316" t="s">
        <v>8379</v>
      </c>
      <c r="G378" s="491"/>
      <c r="H378" s="316">
        <v>2</v>
      </c>
      <c r="I378" s="316" t="s">
        <v>8406</v>
      </c>
      <c r="J378" s="540">
        <v>220500000</v>
      </c>
    </row>
    <row r="379" spans="1:10" ht="30">
      <c r="A379" s="315" t="s">
        <v>3918</v>
      </c>
      <c r="B379" s="965" t="s">
        <v>8407</v>
      </c>
      <c r="C379" s="316" t="s">
        <v>7534</v>
      </c>
      <c r="D379" s="316" t="s">
        <v>8385</v>
      </c>
      <c r="E379" s="316" t="s">
        <v>8408</v>
      </c>
      <c r="F379" s="316" t="s">
        <v>8409</v>
      </c>
      <c r="G379" s="491"/>
      <c r="H379" s="316">
        <v>2</v>
      </c>
      <c r="I379" s="316" t="s">
        <v>8410</v>
      </c>
      <c r="J379" s="540">
        <v>300000000</v>
      </c>
    </row>
    <row r="380" spans="1:10" ht="30">
      <c r="A380" s="315" t="s">
        <v>3918</v>
      </c>
      <c r="B380" s="965" t="s">
        <v>8411</v>
      </c>
      <c r="C380" s="316" t="s">
        <v>8412</v>
      </c>
      <c r="D380" s="316" t="s">
        <v>8385</v>
      </c>
      <c r="E380" s="316" t="s">
        <v>8408</v>
      </c>
      <c r="F380" s="316" t="s">
        <v>8409</v>
      </c>
      <c r="G380" s="491"/>
      <c r="H380" s="316">
        <v>2</v>
      </c>
      <c r="I380" s="316" t="s">
        <v>8410</v>
      </c>
      <c r="J380" s="540">
        <v>300000000</v>
      </c>
    </row>
    <row r="381" spans="1:10" ht="30">
      <c r="A381" s="315" t="s">
        <v>3918</v>
      </c>
      <c r="B381" s="965" t="s">
        <v>1268</v>
      </c>
      <c r="C381" s="316" t="s">
        <v>8413</v>
      </c>
      <c r="D381" s="316" t="s">
        <v>8385</v>
      </c>
      <c r="E381" s="316" t="s">
        <v>8408</v>
      </c>
      <c r="F381" s="316" t="s">
        <v>8409</v>
      </c>
      <c r="G381" s="491"/>
      <c r="H381" s="316">
        <v>2</v>
      </c>
      <c r="I381" s="316" t="s">
        <v>8410</v>
      </c>
      <c r="J381" s="540">
        <v>300000000</v>
      </c>
    </row>
    <row r="382" spans="1:10" ht="57">
      <c r="A382" s="315" t="s">
        <v>3751</v>
      </c>
      <c r="B382" s="965" t="s">
        <v>2436</v>
      </c>
      <c r="C382" s="316" t="s">
        <v>7552</v>
      </c>
      <c r="D382" s="316" t="s">
        <v>8414</v>
      </c>
      <c r="E382" s="316" t="s">
        <v>8415</v>
      </c>
      <c r="F382" s="316" t="s">
        <v>8416</v>
      </c>
      <c r="G382" s="491"/>
      <c r="H382" s="316">
        <v>1</v>
      </c>
      <c r="I382" s="316" t="s">
        <v>8398</v>
      </c>
      <c r="J382" s="540">
        <v>420000000</v>
      </c>
    </row>
    <row r="383" spans="1:10" ht="42.75">
      <c r="A383" s="315" t="s">
        <v>3751</v>
      </c>
      <c r="B383" s="965" t="s">
        <v>8417</v>
      </c>
      <c r="C383" s="316" t="s">
        <v>7556</v>
      </c>
      <c r="D383" s="316" t="s">
        <v>594</v>
      </c>
      <c r="E383" s="316" t="s">
        <v>8418</v>
      </c>
      <c r="F383" s="316" t="s">
        <v>8419</v>
      </c>
      <c r="G383" s="491"/>
      <c r="H383" s="316">
        <v>1</v>
      </c>
      <c r="I383" s="316" t="s">
        <v>8392</v>
      </c>
      <c r="J383" s="540">
        <v>150000000</v>
      </c>
    </row>
    <row r="384" spans="1:10" ht="42.75">
      <c r="A384" s="315" t="s">
        <v>3751</v>
      </c>
      <c r="B384" s="965" t="s">
        <v>7547</v>
      </c>
      <c r="C384" s="316" t="s">
        <v>7548</v>
      </c>
      <c r="D384" s="316" t="s">
        <v>8420</v>
      </c>
      <c r="E384" s="316" t="s">
        <v>8418</v>
      </c>
      <c r="F384" s="316" t="s">
        <v>8419</v>
      </c>
      <c r="G384" s="491"/>
      <c r="H384" s="316">
        <v>1</v>
      </c>
      <c r="I384" s="316" t="s">
        <v>8421</v>
      </c>
      <c r="J384" s="540">
        <v>120000000</v>
      </c>
    </row>
    <row r="385" spans="1:10" ht="57">
      <c r="A385" s="315" t="s">
        <v>3751</v>
      </c>
      <c r="B385" s="965" t="s">
        <v>1697</v>
      </c>
      <c r="C385" s="316" t="s">
        <v>8422</v>
      </c>
      <c r="D385" s="316" t="s">
        <v>8423</v>
      </c>
      <c r="E385" s="316" t="s">
        <v>8415</v>
      </c>
      <c r="F385" s="316" t="s">
        <v>8424</v>
      </c>
      <c r="G385" s="491"/>
      <c r="H385" s="316">
        <v>1</v>
      </c>
      <c r="I385" s="316" t="s">
        <v>8425</v>
      </c>
      <c r="J385" s="540">
        <v>50000000</v>
      </c>
    </row>
    <row r="386" spans="1:10" ht="57">
      <c r="A386" s="315" t="s">
        <v>3751</v>
      </c>
      <c r="B386" s="965" t="s">
        <v>3475</v>
      </c>
      <c r="C386" s="316" t="s">
        <v>7544</v>
      </c>
      <c r="D386" s="316" t="s">
        <v>8426</v>
      </c>
      <c r="E386" s="316" t="s">
        <v>8427</v>
      </c>
      <c r="F386" s="316" t="s">
        <v>8428</v>
      </c>
      <c r="G386" s="491"/>
      <c r="H386" s="316">
        <v>1</v>
      </c>
      <c r="I386" s="316" t="s">
        <v>8429</v>
      </c>
      <c r="J386" s="540">
        <v>225000000</v>
      </c>
    </row>
    <row r="387" spans="1:10" ht="57">
      <c r="A387" s="315" t="s">
        <v>3751</v>
      </c>
      <c r="B387" s="965" t="s">
        <v>109</v>
      </c>
      <c r="C387" s="316" t="s">
        <v>7557</v>
      </c>
      <c r="D387" s="316" t="s">
        <v>8423</v>
      </c>
      <c r="E387" s="316" t="s">
        <v>8415</v>
      </c>
      <c r="F387" s="316" t="s">
        <v>8430</v>
      </c>
      <c r="G387" s="491"/>
      <c r="H387" s="316">
        <v>1</v>
      </c>
      <c r="I387" s="316" t="s">
        <v>8431</v>
      </c>
      <c r="J387" s="540">
        <v>840000000</v>
      </c>
    </row>
    <row r="388" spans="1:10" ht="42.75">
      <c r="A388" s="315" t="s">
        <v>3751</v>
      </c>
      <c r="B388" s="965" t="s">
        <v>6135</v>
      </c>
      <c r="C388" s="316" t="s">
        <v>8432</v>
      </c>
      <c r="D388" s="316" t="s">
        <v>8433</v>
      </c>
      <c r="E388" s="316" t="s">
        <v>8434</v>
      </c>
      <c r="F388" s="316" t="s">
        <v>8430</v>
      </c>
      <c r="G388" s="491"/>
      <c r="H388" s="316">
        <v>3</v>
      </c>
      <c r="I388" s="316" t="s">
        <v>8398</v>
      </c>
      <c r="J388" s="540">
        <v>420000000</v>
      </c>
    </row>
    <row r="389" spans="1:10" ht="28.5">
      <c r="A389" s="315" t="s">
        <v>3751</v>
      </c>
      <c r="B389" s="965" t="s">
        <v>7555</v>
      </c>
      <c r="C389" s="316" t="s">
        <v>7559</v>
      </c>
      <c r="D389" s="316" t="s">
        <v>8435</v>
      </c>
      <c r="E389" s="316" t="s">
        <v>8436</v>
      </c>
      <c r="F389" s="316" t="s">
        <v>8428</v>
      </c>
      <c r="G389" s="491"/>
      <c r="H389" s="316">
        <v>3</v>
      </c>
      <c r="I389" s="316" t="s">
        <v>8437</v>
      </c>
      <c r="J389" s="540">
        <v>120000000</v>
      </c>
    </row>
    <row r="390" spans="1:10" ht="42.75">
      <c r="A390" s="315" t="s">
        <v>3751</v>
      </c>
      <c r="B390" s="965" t="s">
        <v>3751</v>
      </c>
      <c r="C390" s="316" t="s">
        <v>7540</v>
      </c>
      <c r="D390" s="316" t="s">
        <v>8438</v>
      </c>
      <c r="E390" s="316" t="s">
        <v>8439</v>
      </c>
      <c r="F390" s="316" t="s">
        <v>8440</v>
      </c>
      <c r="G390" s="491"/>
      <c r="H390" s="316">
        <v>1</v>
      </c>
      <c r="I390" s="316" t="s">
        <v>8441</v>
      </c>
      <c r="J390" s="540">
        <v>120000000</v>
      </c>
    </row>
    <row r="391" spans="1:10">
      <c r="A391" s="315" t="s">
        <v>3751</v>
      </c>
      <c r="B391" s="965" t="s">
        <v>7564</v>
      </c>
      <c r="C391" s="316" t="s">
        <v>8442</v>
      </c>
      <c r="D391" s="316" t="s">
        <v>8420</v>
      </c>
      <c r="E391" s="316" t="s">
        <v>8443</v>
      </c>
      <c r="F391" s="316" t="s">
        <v>8444</v>
      </c>
      <c r="G391" s="491"/>
      <c r="H391" s="316"/>
      <c r="I391" s="316" t="s">
        <v>8445</v>
      </c>
      <c r="J391" s="540"/>
    </row>
    <row r="392" spans="1:10" ht="42.75">
      <c r="A392" s="315" t="s">
        <v>7576</v>
      </c>
      <c r="B392" s="965" t="s">
        <v>7590</v>
      </c>
      <c r="C392" s="316" t="s">
        <v>8446</v>
      </c>
      <c r="D392" s="316" t="s">
        <v>8447</v>
      </c>
      <c r="E392" s="316" t="s">
        <v>8448</v>
      </c>
      <c r="F392" s="316" t="s">
        <v>8356</v>
      </c>
      <c r="G392" s="491"/>
      <c r="H392" s="316">
        <v>1</v>
      </c>
      <c r="I392" s="316" t="s">
        <v>8449</v>
      </c>
      <c r="J392" s="540">
        <v>220500000</v>
      </c>
    </row>
    <row r="393" spans="1:10" ht="42.75">
      <c r="A393" s="315" t="s">
        <v>7576</v>
      </c>
      <c r="B393" s="965" t="s">
        <v>2598</v>
      </c>
      <c r="C393" s="316" t="s">
        <v>7582</v>
      </c>
      <c r="D393" s="316" t="s">
        <v>8450</v>
      </c>
      <c r="E393" s="316" t="s">
        <v>8451</v>
      </c>
      <c r="F393" s="316" t="s">
        <v>8379</v>
      </c>
      <c r="G393" s="491"/>
      <c r="H393" s="316">
        <v>2</v>
      </c>
      <c r="I393" s="316" t="s">
        <v>8452</v>
      </c>
      <c r="J393" s="540">
        <v>150000000</v>
      </c>
    </row>
    <row r="394" spans="1:10" ht="42.75">
      <c r="A394" s="315" t="s">
        <v>7576</v>
      </c>
      <c r="B394" s="965" t="s">
        <v>2598</v>
      </c>
      <c r="C394" s="316" t="s">
        <v>7582</v>
      </c>
      <c r="D394" s="316" t="s">
        <v>8453</v>
      </c>
      <c r="E394" s="316" t="s">
        <v>8454</v>
      </c>
      <c r="F394" s="316" t="s">
        <v>8379</v>
      </c>
      <c r="G394" s="491"/>
      <c r="H394" s="316">
        <v>2</v>
      </c>
      <c r="I394" s="316" t="s">
        <v>8455</v>
      </c>
      <c r="J394" s="540">
        <v>300000000</v>
      </c>
    </row>
    <row r="395" spans="1:10" ht="57">
      <c r="A395" s="315" t="s">
        <v>7576</v>
      </c>
      <c r="B395" s="965" t="s">
        <v>8456</v>
      </c>
      <c r="C395" s="316" t="s">
        <v>8457</v>
      </c>
      <c r="D395" s="316" t="s">
        <v>8453</v>
      </c>
      <c r="E395" s="316" t="s">
        <v>8415</v>
      </c>
      <c r="F395" s="316" t="s">
        <v>8379</v>
      </c>
      <c r="G395" s="491"/>
      <c r="H395" s="316">
        <v>2</v>
      </c>
      <c r="I395" s="316" t="s">
        <v>8458</v>
      </c>
      <c r="J395" s="540">
        <v>100000000</v>
      </c>
    </row>
    <row r="396" spans="1:10" ht="57">
      <c r="A396" s="315" t="s">
        <v>7576</v>
      </c>
      <c r="B396" s="965" t="s">
        <v>109</v>
      </c>
      <c r="C396" s="316" t="s">
        <v>7557</v>
      </c>
      <c r="D396" s="316" t="s">
        <v>8423</v>
      </c>
      <c r="E396" s="316" t="s">
        <v>8415</v>
      </c>
      <c r="F396" s="316" t="s">
        <v>8430</v>
      </c>
      <c r="G396" s="491"/>
      <c r="H396" s="316">
        <v>1</v>
      </c>
      <c r="I396" s="316" t="s">
        <v>8431</v>
      </c>
      <c r="J396" s="540">
        <v>840000000</v>
      </c>
    </row>
    <row r="397" spans="1:10" ht="42.75">
      <c r="A397" s="315" t="s">
        <v>7576</v>
      </c>
      <c r="B397" s="965" t="s">
        <v>7477</v>
      </c>
      <c r="C397" s="316" t="s">
        <v>7597</v>
      </c>
      <c r="D397" s="316" t="s">
        <v>8453</v>
      </c>
      <c r="E397" s="316" t="s">
        <v>8459</v>
      </c>
      <c r="F397" s="316" t="s">
        <v>8460</v>
      </c>
      <c r="G397" s="491"/>
      <c r="H397" s="316">
        <v>2</v>
      </c>
      <c r="I397" s="316" t="s">
        <v>8398</v>
      </c>
      <c r="J397" s="540">
        <v>420000000</v>
      </c>
    </row>
    <row r="398" spans="1:10" ht="42.75">
      <c r="A398" s="315" t="s">
        <v>7576</v>
      </c>
      <c r="B398" s="965" t="s">
        <v>1659</v>
      </c>
      <c r="C398" s="316" t="s">
        <v>7579</v>
      </c>
      <c r="D398" s="316" t="s">
        <v>8461</v>
      </c>
      <c r="E398" s="316" t="s">
        <v>8462</v>
      </c>
      <c r="F398" s="316" t="s">
        <v>8379</v>
      </c>
      <c r="G398" s="491"/>
      <c r="H398" s="316">
        <v>1</v>
      </c>
      <c r="I398" s="316" t="s">
        <v>8463</v>
      </c>
      <c r="J398" s="540">
        <v>150000000</v>
      </c>
    </row>
    <row r="399" spans="1:10" ht="42.75">
      <c r="A399" s="317" t="s">
        <v>3913</v>
      </c>
      <c r="B399" s="970" t="s">
        <v>3475</v>
      </c>
      <c r="C399" s="318" t="s">
        <v>8464</v>
      </c>
      <c r="D399" s="318" t="s">
        <v>616</v>
      </c>
      <c r="E399" s="318" t="s">
        <v>8465</v>
      </c>
      <c r="F399" s="318" t="s">
        <v>8466</v>
      </c>
      <c r="G399" s="971"/>
      <c r="H399" s="318">
        <v>1</v>
      </c>
      <c r="I399" s="318" t="s">
        <v>8463</v>
      </c>
      <c r="J399" s="540">
        <v>150000000</v>
      </c>
    </row>
    <row r="400" spans="1:10" ht="42.75">
      <c r="A400" s="317" t="s">
        <v>3913</v>
      </c>
      <c r="B400" s="970" t="s">
        <v>621</v>
      </c>
      <c r="C400" s="318" t="s">
        <v>7570</v>
      </c>
      <c r="D400" s="318" t="s">
        <v>616</v>
      </c>
      <c r="E400" s="318" t="s">
        <v>8467</v>
      </c>
      <c r="F400" s="316" t="s">
        <v>8379</v>
      </c>
      <c r="G400" s="971"/>
      <c r="H400" s="318">
        <v>1</v>
      </c>
      <c r="I400" s="318" t="s">
        <v>8468</v>
      </c>
      <c r="J400" s="540">
        <v>420000000</v>
      </c>
    </row>
    <row r="401" spans="1:10" ht="42.75">
      <c r="A401" s="315" t="s">
        <v>3893</v>
      </c>
      <c r="B401" s="965" t="s">
        <v>8469</v>
      </c>
      <c r="C401" s="316" t="s">
        <v>7628</v>
      </c>
      <c r="D401" s="316" t="s">
        <v>7146</v>
      </c>
      <c r="E401" s="316" t="s">
        <v>8470</v>
      </c>
      <c r="F401" s="316" t="s">
        <v>8379</v>
      </c>
      <c r="G401" s="491"/>
      <c r="H401" s="316">
        <v>2</v>
      </c>
      <c r="I401" s="316" t="s">
        <v>8372</v>
      </c>
      <c r="J401" s="540">
        <v>120000000</v>
      </c>
    </row>
    <row r="402" spans="1:10" ht="42.75">
      <c r="A402" s="315" t="s">
        <v>3893</v>
      </c>
      <c r="B402" s="965" t="s">
        <v>3893</v>
      </c>
      <c r="C402" s="319" t="s">
        <v>8471</v>
      </c>
      <c r="D402" s="316" t="s">
        <v>8472</v>
      </c>
      <c r="E402" s="316" t="s">
        <v>8470</v>
      </c>
      <c r="F402" s="316" t="s">
        <v>8473</v>
      </c>
      <c r="G402" s="491"/>
      <c r="H402" s="316">
        <v>1</v>
      </c>
      <c r="I402" s="316" t="s">
        <v>8474</v>
      </c>
      <c r="J402" s="540">
        <v>220500000</v>
      </c>
    </row>
    <row r="403" spans="1:10" ht="42.75">
      <c r="A403" s="315" t="s">
        <v>3893</v>
      </c>
      <c r="B403" s="965" t="s">
        <v>7618</v>
      </c>
      <c r="C403" s="316" t="s">
        <v>7619</v>
      </c>
      <c r="D403" s="316" t="s">
        <v>5870</v>
      </c>
      <c r="E403" s="316" t="s">
        <v>8475</v>
      </c>
      <c r="F403" s="316" t="s">
        <v>8473</v>
      </c>
      <c r="G403" s="491"/>
      <c r="H403" s="316">
        <v>2</v>
      </c>
      <c r="I403" s="316" t="s">
        <v>8476</v>
      </c>
      <c r="J403" s="540">
        <v>100000000</v>
      </c>
    </row>
    <row r="404" spans="1:10" ht="42.75">
      <c r="A404" s="315" t="s">
        <v>3893</v>
      </c>
      <c r="B404" s="965" t="s">
        <v>2057</v>
      </c>
      <c r="C404" s="316" t="s">
        <v>7600</v>
      </c>
      <c r="D404" s="316" t="s">
        <v>8477</v>
      </c>
      <c r="E404" s="316" t="s">
        <v>8462</v>
      </c>
      <c r="F404" s="316" t="s">
        <v>8379</v>
      </c>
      <c r="G404" s="491"/>
      <c r="H404" s="316">
        <v>1</v>
      </c>
      <c r="I404" s="316" t="s">
        <v>8463</v>
      </c>
      <c r="J404" s="540">
        <v>150000000</v>
      </c>
    </row>
    <row r="405" spans="1:10" ht="42.75">
      <c r="A405" s="315" t="s">
        <v>3893</v>
      </c>
      <c r="B405" s="965" t="s">
        <v>8478</v>
      </c>
      <c r="C405" s="316" t="s">
        <v>7626</v>
      </c>
      <c r="D405" s="316" t="s">
        <v>8479</v>
      </c>
      <c r="E405" s="316" t="s">
        <v>8462</v>
      </c>
      <c r="F405" s="316" t="s">
        <v>8379</v>
      </c>
      <c r="G405" s="491"/>
      <c r="H405" s="316">
        <v>1</v>
      </c>
      <c r="I405" s="316" t="s">
        <v>8463</v>
      </c>
      <c r="J405" s="540">
        <v>150000000</v>
      </c>
    </row>
    <row r="406" spans="1:10" ht="42.75">
      <c r="A406" s="315" t="s">
        <v>1147</v>
      </c>
      <c r="B406" s="965" t="s">
        <v>8480</v>
      </c>
      <c r="C406" s="316" t="s">
        <v>7613</v>
      </c>
      <c r="D406" s="316" t="s">
        <v>8481</v>
      </c>
      <c r="E406" s="316" t="s">
        <v>8482</v>
      </c>
      <c r="F406" s="316" t="s">
        <v>8483</v>
      </c>
      <c r="G406" s="491"/>
      <c r="H406" s="316">
        <v>2</v>
      </c>
      <c r="I406" s="316" t="s">
        <v>8484</v>
      </c>
      <c r="J406" s="540">
        <v>220500000</v>
      </c>
    </row>
    <row r="407" spans="1:10" ht="57">
      <c r="A407" s="315" t="s">
        <v>1147</v>
      </c>
      <c r="B407" s="965" t="s">
        <v>7609</v>
      </c>
      <c r="C407" s="316" t="s">
        <v>8485</v>
      </c>
      <c r="D407" s="316" t="s">
        <v>8486</v>
      </c>
      <c r="E407" s="316" t="s">
        <v>8487</v>
      </c>
      <c r="F407" s="316" t="s">
        <v>8488</v>
      </c>
      <c r="G407" s="491"/>
      <c r="H407" s="316">
        <v>1</v>
      </c>
      <c r="I407" s="316" t="s">
        <v>8398</v>
      </c>
      <c r="J407" s="540">
        <v>420000000</v>
      </c>
    </row>
    <row r="408" spans="1:10" ht="57">
      <c r="A408" s="315" t="s">
        <v>7599</v>
      </c>
      <c r="B408" s="965" t="s">
        <v>7599</v>
      </c>
      <c r="C408" s="316" t="s">
        <v>7601</v>
      </c>
      <c r="D408" s="316" t="s">
        <v>8489</v>
      </c>
      <c r="E408" s="316" t="s">
        <v>8487</v>
      </c>
      <c r="F408" s="316" t="s">
        <v>8488</v>
      </c>
      <c r="G408" s="491"/>
      <c r="H408" s="316">
        <v>2</v>
      </c>
      <c r="I408" s="316" t="s">
        <v>8398</v>
      </c>
      <c r="J408" s="540">
        <v>420000000</v>
      </c>
    </row>
    <row r="409" spans="1:10" ht="28.5">
      <c r="A409" s="315" t="s">
        <v>7599</v>
      </c>
      <c r="B409" s="965" t="s">
        <v>8490</v>
      </c>
      <c r="C409" s="316" t="s">
        <v>7600</v>
      </c>
      <c r="D409" s="316" t="s">
        <v>8491</v>
      </c>
      <c r="E409" s="316" t="s">
        <v>8492</v>
      </c>
      <c r="F409" s="316" t="s">
        <v>8493</v>
      </c>
      <c r="G409" s="491"/>
      <c r="H409" s="316">
        <v>1</v>
      </c>
      <c r="I409" s="316" t="s">
        <v>8494</v>
      </c>
      <c r="J409" s="540">
        <v>150000000</v>
      </c>
    </row>
    <row r="410" spans="1:10" ht="42.75">
      <c r="A410" s="315" t="s">
        <v>7599</v>
      </c>
      <c r="B410" s="965" t="s">
        <v>137</v>
      </c>
      <c r="C410" s="316" t="s">
        <v>7605</v>
      </c>
      <c r="D410" s="316" t="s">
        <v>8495</v>
      </c>
      <c r="E410" s="316" t="s">
        <v>8496</v>
      </c>
      <c r="F410" s="316" t="s">
        <v>8493</v>
      </c>
      <c r="G410" s="491"/>
      <c r="H410" s="316">
        <v>2</v>
      </c>
      <c r="I410" s="316" t="s">
        <v>8497</v>
      </c>
      <c r="J410" s="540">
        <v>500000000</v>
      </c>
    </row>
    <row r="411" spans="1:10" ht="22.5">
      <c r="A411" s="39" t="s">
        <v>3893</v>
      </c>
      <c r="B411" s="52" t="s">
        <v>1672</v>
      </c>
      <c r="C411" s="25" t="s">
        <v>24707</v>
      </c>
      <c r="D411" s="367" t="s">
        <v>624</v>
      </c>
      <c r="E411" s="367" t="s">
        <v>3143</v>
      </c>
      <c r="F411" s="367" t="s">
        <v>24708</v>
      </c>
      <c r="G411" s="535">
        <v>15000000</v>
      </c>
      <c r="H411" s="367">
        <v>1</v>
      </c>
      <c r="I411" s="25" t="s">
        <v>24709</v>
      </c>
      <c r="J411" s="980">
        <v>15000000</v>
      </c>
    </row>
    <row r="412" spans="1:10" ht="33.75">
      <c r="A412" s="39" t="s">
        <v>3751</v>
      </c>
      <c r="B412" s="52" t="s">
        <v>10199</v>
      </c>
      <c r="C412" s="25" t="s">
        <v>24710</v>
      </c>
      <c r="D412" s="367" t="s">
        <v>10199</v>
      </c>
      <c r="E412" s="367" t="s">
        <v>24711</v>
      </c>
      <c r="F412" s="367" t="s">
        <v>24712</v>
      </c>
      <c r="G412" s="535">
        <v>100000000</v>
      </c>
      <c r="H412" s="367">
        <v>1</v>
      </c>
      <c r="I412" s="25" t="s">
        <v>24713</v>
      </c>
      <c r="J412" s="980">
        <v>1100000000</v>
      </c>
    </row>
    <row r="413" spans="1:10" ht="22.5">
      <c r="A413" s="39" t="s">
        <v>3751</v>
      </c>
      <c r="B413" s="52" t="s">
        <v>4941</v>
      </c>
      <c r="C413" s="25" t="s">
        <v>24714</v>
      </c>
      <c r="D413" s="367" t="s">
        <v>24498</v>
      </c>
      <c r="E413" s="367" t="s">
        <v>3143</v>
      </c>
      <c r="F413" s="367" t="s">
        <v>24715</v>
      </c>
      <c r="G413" s="535">
        <v>50000000</v>
      </c>
      <c r="H413" s="367">
        <v>1</v>
      </c>
      <c r="I413" s="25" t="s">
        <v>24716</v>
      </c>
      <c r="J413" s="980">
        <v>400000000</v>
      </c>
    </row>
    <row r="414" spans="1:10" ht="22.5">
      <c r="A414" s="39" t="s">
        <v>3918</v>
      </c>
      <c r="B414" s="52" t="s">
        <v>24717</v>
      </c>
      <c r="C414" s="25" t="s">
        <v>24718</v>
      </c>
      <c r="D414" s="367" t="s">
        <v>24719</v>
      </c>
      <c r="E414" s="367" t="s">
        <v>24711</v>
      </c>
      <c r="F414" s="367" t="s">
        <v>24720</v>
      </c>
      <c r="G414" s="535">
        <v>50000000</v>
      </c>
      <c r="H414" s="367">
        <v>1</v>
      </c>
      <c r="I414" s="25" t="s">
        <v>24721</v>
      </c>
      <c r="J414" s="980">
        <v>50000000</v>
      </c>
    </row>
    <row r="415" spans="1:10">
      <c r="A415" s="995"/>
      <c r="B415" s="312"/>
      <c r="C415" s="312"/>
      <c r="D415" s="312"/>
      <c r="E415" s="313"/>
      <c r="F415" s="314"/>
      <c r="G415" s="539"/>
      <c r="H415" s="312"/>
      <c r="I415" s="314"/>
      <c r="J415" s="996"/>
    </row>
    <row r="416" spans="1:10" ht="15.75">
      <c r="A416" s="1038" t="s">
        <v>6444</v>
      </c>
      <c r="B416" s="1039"/>
      <c r="C416" s="1039"/>
      <c r="D416" s="1039"/>
      <c r="E416" s="1039"/>
      <c r="F416" s="1039"/>
      <c r="G416" s="536">
        <f>SUM(G356:G415)</f>
        <v>215000000</v>
      </c>
      <c r="H416" s="567"/>
      <c r="I416" s="567"/>
      <c r="J416" s="977">
        <f>SUM(J356:J415)</f>
        <v>15604000000</v>
      </c>
    </row>
    <row r="417" spans="1:10" ht="15.75">
      <c r="A417" s="1038" t="s">
        <v>7631</v>
      </c>
      <c r="B417" s="1039"/>
      <c r="C417" s="1039"/>
      <c r="D417" s="1039"/>
      <c r="E417" s="1039"/>
      <c r="F417" s="1039"/>
      <c r="G417" s="1039"/>
      <c r="H417" s="1039"/>
      <c r="I417" s="1039"/>
      <c r="J417" s="1040"/>
    </row>
    <row r="418" spans="1:10" ht="85.5">
      <c r="A418" s="322" t="s">
        <v>3848</v>
      </c>
      <c r="B418" s="964" t="s">
        <v>7632</v>
      </c>
      <c r="C418" s="69" t="s">
        <v>7633</v>
      </c>
      <c r="D418" s="69" t="s">
        <v>8498</v>
      </c>
      <c r="E418" s="69" t="s">
        <v>8499</v>
      </c>
      <c r="F418" s="69" t="s">
        <v>8500</v>
      </c>
      <c r="G418" s="491">
        <v>50000000</v>
      </c>
      <c r="H418" s="69">
        <v>1</v>
      </c>
      <c r="I418" s="69" t="s">
        <v>8802</v>
      </c>
      <c r="J418" s="545">
        <v>160000000</v>
      </c>
    </row>
    <row r="419" spans="1:10" ht="72">
      <c r="A419" s="322" t="s">
        <v>3848</v>
      </c>
      <c r="B419" s="964" t="s">
        <v>7679</v>
      </c>
      <c r="C419" s="69" t="s">
        <v>7680</v>
      </c>
      <c r="D419" s="69" t="s">
        <v>201</v>
      </c>
      <c r="E419" s="69" t="s">
        <v>8501</v>
      </c>
      <c r="F419" s="69" t="s">
        <v>8502</v>
      </c>
      <c r="G419" s="491">
        <v>15000000</v>
      </c>
      <c r="H419" s="69">
        <v>3</v>
      </c>
      <c r="I419" s="69" t="s">
        <v>8803</v>
      </c>
      <c r="J419" s="545">
        <v>160000000</v>
      </c>
    </row>
    <row r="420" spans="1:10" ht="99.75">
      <c r="A420" s="322" t="s">
        <v>19</v>
      </c>
      <c r="B420" s="964" t="s">
        <v>5026</v>
      </c>
      <c r="C420" s="69" t="s">
        <v>8503</v>
      </c>
      <c r="D420" s="69" t="s">
        <v>8504</v>
      </c>
      <c r="E420" s="69" t="s">
        <v>8505</v>
      </c>
      <c r="F420" s="69" t="s">
        <v>8506</v>
      </c>
      <c r="G420" s="491">
        <v>20000000</v>
      </c>
      <c r="H420" s="69">
        <v>2</v>
      </c>
      <c r="I420" s="69" t="s">
        <v>8507</v>
      </c>
      <c r="J420" s="545">
        <v>140000000</v>
      </c>
    </row>
    <row r="421" spans="1:10" ht="99.75">
      <c r="A421" s="322" t="s">
        <v>19</v>
      </c>
      <c r="B421" s="964" t="s">
        <v>8508</v>
      </c>
      <c r="C421" s="69" t="s">
        <v>8509</v>
      </c>
      <c r="D421" s="69" t="s">
        <v>842</v>
      </c>
      <c r="E421" s="69" t="s">
        <v>8510</v>
      </c>
      <c r="F421" s="69" t="s">
        <v>8511</v>
      </c>
      <c r="G421" s="491">
        <v>60000000</v>
      </c>
      <c r="H421" s="69">
        <v>4</v>
      </c>
      <c r="I421" s="69" t="s">
        <v>8512</v>
      </c>
      <c r="J421" s="545">
        <v>160000000</v>
      </c>
    </row>
    <row r="422" spans="1:10" ht="60">
      <c r="A422" s="322" t="s">
        <v>3848</v>
      </c>
      <c r="B422" s="964" t="s">
        <v>8513</v>
      </c>
      <c r="C422" s="69" t="s">
        <v>7661</v>
      </c>
      <c r="D422" s="69" t="s">
        <v>8514</v>
      </c>
      <c r="E422" s="69" t="s">
        <v>8515</v>
      </c>
      <c r="F422" s="69" t="s">
        <v>8516</v>
      </c>
      <c r="G422" s="491">
        <v>20000000</v>
      </c>
      <c r="H422" s="69">
        <v>5</v>
      </c>
      <c r="I422" s="69" t="s">
        <v>8517</v>
      </c>
      <c r="J422" s="545">
        <v>30000000</v>
      </c>
    </row>
    <row r="423" spans="1:10" ht="45">
      <c r="A423" s="322" t="s">
        <v>3848</v>
      </c>
      <c r="B423" s="964" t="s">
        <v>8518</v>
      </c>
      <c r="C423" s="69" t="s">
        <v>7653</v>
      </c>
      <c r="D423" s="69" t="s">
        <v>8519</v>
      </c>
      <c r="E423" s="69" t="s">
        <v>8520</v>
      </c>
      <c r="F423" s="69" t="s">
        <v>8521</v>
      </c>
      <c r="G423" s="491">
        <v>20000000</v>
      </c>
      <c r="H423" s="69">
        <v>8</v>
      </c>
      <c r="I423" s="69" t="s">
        <v>8517</v>
      </c>
      <c r="J423" s="545">
        <v>30000000</v>
      </c>
    </row>
    <row r="424" spans="1:10" ht="42.75">
      <c r="A424" s="322" t="s">
        <v>5242</v>
      </c>
      <c r="B424" s="964" t="s">
        <v>8522</v>
      </c>
      <c r="C424" s="69" t="s">
        <v>8523</v>
      </c>
      <c r="D424" s="69" t="s">
        <v>8524</v>
      </c>
      <c r="E424" s="69" t="s">
        <v>8525</v>
      </c>
      <c r="F424" s="69" t="s">
        <v>5730</v>
      </c>
      <c r="G424" s="491">
        <v>15000000</v>
      </c>
      <c r="H424" s="69">
        <v>7</v>
      </c>
      <c r="I424" s="69" t="s">
        <v>8526</v>
      </c>
      <c r="J424" s="545">
        <v>30000000</v>
      </c>
    </row>
    <row r="425" spans="1:10" ht="85.5">
      <c r="A425" s="322" t="s">
        <v>3848</v>
      </c>
      <c r="B425" s="964" t="s">
        <v>8527</v>
      </c>
      <c r="C425" s="69" t="s">
        <v>8528</v>
      </c>
      <c r="D425" s="69" t="s">
        <v>8529</v>
      </c>
      <c r="E425" s="69" t="s">
        <v>8530</v>
      </c>
      <c r="F425" s="69" t="s">
        <v>8531</v>
      </c>
      <c r="G425" s="491">
        <v>15000000</v>
      </c>
      <c r="H425" s="69">
        <v>6</v>
      </c>
      <c r="I425" s="69" t="s">
        <v>8532</v>
      </c>
      <c r="J425" s="545">
        <v>200000000</v>
      </c>
    </row>
    <row r="426" spans="1:10">
      <c r="A426" s="995"/>
      <c r="B426" s="312"/>
      <c r="C426" s="312"/>
      <c r="D426" s="312"/>
      <c r="E426" s="313"/>
      <c r="F426" s="314"/>
      <c r="G426" s="539"/>
      <c r="H426" s="312"/>
      <c r="I426" s="314"/>
      <c r="J426" s="996"/>
    </row>
    <row r="427" spans="1:10" ht="15.75">
      <c r="A427" s="1038" t="s">
        <v>6444</v>
      </c>
      <c r="B427" s="1039"/>
      <c r="C427" s="1039"/>
      <c r="D427" s="1039"/>
      <c r="E427" s="1039"/>
      <c r="F427" s="1039"/>
      <c r="G427" s="536">
        <f>SUM(G418:G426)</f>
        <v>215000000</v>
      </c>
      <c r="H427" s="567"/>
      <c r="I427" s="567"/>
      <c r="J427" s="977">
        <f>SUM(J418:J426)</f>
        <v>910000000</v>
      </c>
    </row>
    <row r="428" spans="1:10" ht="15.75">
      <c r="A428" s="1038" t="s">
        <v>7682</v>
      </c>
      <c r="B428" s="1039"/>
      <c r="C428" s="1039"/>
      <c r="D428" s="1039"/>
      <c r="E428" s="1039"/>
      <c r="F428" s="1039"/>
      <c r="G428" s="1039"/>
      <c r="H428" s="1039"/>
      <c r="I428" s="1039"/>
      <c r="J428" s="1040"/>
    </row>
    <row r="429" spans="1:10" ht="128.25">
      <c r="A429" s="321" t="s">
        <v>7683</v>
      </c>
      <c r="B429" s="320" t="s">
        <v>8533</v>
      </c>
      <c r="C429" s="320" t="s">
        <v>7689</v>
      </c>
      <c r="D429" s="320" t="s">
        <v>8534</v>
      </c>
      <c r="E429" s="320" t="s">
        <v>8535</v>
      </c>
      <c r="F429" s="320" t="s">
        <v>8536</v>
      </c>
      <c r="G429" s="491">
        <v>0</v>
      </c>
      <c r="H429" s="69">
        <v>1</v>
      </c>
      <c r="I429" s="69" t="s">
        <v>8537</v>
      </c>
      <c r="J429" s="997">
        <v>1160000000</v>
      </c>
    </row>
    <row r="430" spans="1:10" ht="128.25">
      <c r="A430" s="321" t="s">
        <v>7683</v>
      </c>
      <c r="B430" s="320" t="s">
        <v>8538</v>
      </c>
      <c r="C430" s="320" t="s">
        <v>7715</v>
      </c>
      <c r="D430" s="320" t="s">
        <v>8539</v>
      </c>
      <c r="E430" s="320" t="s">
        <v>8535</v>
      </c>
      <c r="F430" s="320" t="s">
        <v>8536</v>
      </c>
      <c r="G430" s="491">
        <v>0</v>
      </c>
      <c r="H430" s="69">
        <v>2</v>
      </c>
      <c r="I430" s="69" t="s">
        <v>8540</v>
      </c>
      <c r="J430" s="997">
        <v>870000000</v>
      </c>
    </row>
    <row r="431" spans="1:10" ht="128.25">
      <c r="A431" s="321" t="s">
        <v>8541</v>
      </c>
      <c r="B431" s="320" t="s">
        <v>8542</v>
      </c>
      <c r="C431" s="69" t="s">
        <v>7746</v>
      </c>
      <c r="D431" s="69" t="s">
        <v>8543</v>
      </c>
      <c r="E431" s="69" t="s">
        <v>8544</v>
      </c>
      <c r="F431" s="69" t="s">
        <v>8545</v>
      </c>
      <c r="G431" s="491">
        <v>45000000</v>
      </c>
      <c r="H431" s="69">
        <v>3</v>
      </c>
      <c r="I431" s="69" t="s">
        <v>8546</v>
      </c>
      <c r="J431" s="997">
        <v>180000000</v>
      </c>
    </row>
    <row r="432" spans="1:10" ht="128.25">
      <c r="A432" s="321" t="s">
        <v>3773</v>
      </c>
      <c r="B432" s="69" t="s">
        <v>8547</v>
      </c>
      <c r="C432" s="69" t="s">
        <v>7775</v>
      </c>
      <c r="D432" s="69" t="s">
        <v>8548</v>
      </c>
      <c r="E432" s="69" t="s">
        <v>8549</v>
      </c>
      <c r="F432" s="69" t="s">
        <v>8550</v>
      </c>
      <c r="G432" s="491">
        <v>60000000</v>
      </c>
      <c r="H432" s="69">
        <v>4</v>
      </c>
      <c r="I432" s="69" t="s">
        <v>8551</v>
      </c>
      <c r="J432" s="997">
        <v>174000000</v>
      </c>
    </row>
    <row r="433" spans="1:10" ht="99.75">
      <c r="A433" s="321" t="s">
        <v>3773</v>
      </c>
      <c r="B433" s="69" t="s">
        <v>8552</v>
      </c>
      <c r="C433" s="69" t="s">
        <v>8553</v>
      </c>
      <c r="D433" s="69" t="s">
        <v>8554</v>
      </c>
      <c r="E433" s="69" t="s">
        <v>8555</v>
      </c>
      <c r="F433" s="69" t="s">
        <v>8556</v>
      </c>
      <c r="G433" s="491">
        <v>280000000</v>
      </c>
      <c r="H433" s="69">
        <v>5</v>
      </c>
      <c r="I433" s="69" t="s">
        <v>8557</v>
      </c>
      <c r="J433" s="997">
        <v>652500000</v>
      </c>
    </row>
    <row r="434" spans="1:10" ht="128.25">
      <c r="A434" s="321" t="s">
        <v>3773</v>
      </c>
      <c r="B434" s="69" t="s">
        <v>8558</v>
      </c>
      <c r="C434" s="69" t="s">
        <v>7775</v>
      </c>
      <c r="D434" s="69" t="s">
        <v>8559</v>
      </c>
      <c r="E434" s="69" t="s">
        <v>8560</v>
      </c>
      <c r="F434" s="69" t="s">
        <v>8550</v>
      </c>
      <c r="G434" s="491">
        <v>112000000</v>
      </c>
      <c r="H434" s="69">
        <v>6</v>
      </c>
      <c r="I434" s="69" t="s">
        <v>8561</v>
      </c>
      <c r="J434" s="997">
        <v>232000000</v>
      </c>
    </row>
    <row r="435" spans="1:10" ht="128.25">
      <c r="A435" s="321" t="s">
        <v>3773</v>
      </c>
      <c r="B435" s="320" t="s">
        <v>8562</v>
      </c>
      <c r="C435" s="69" t="s">
        <v>8563</v>
      </c>
      <c r="D435" s="69" t="s">
        <v>8554</v>
      </c>
      <c r="E435" s="69" t="s">
        <v>8564</v>
      </c>
      <c r="F435" s="69" t="s">
        <v>8565</v>
      </c>
      <c r="G435" s="491">
        <v>50000000</v>
      </c>
      <c r="H435" s="69">
        <v>7</v>
      </c>
      <c r="I435" s="69" t="s">
        <v>8566</v>
      </c>
      <c r="J435" s="997">
        <v>145000000</v>
      </c>
    </row>
    <row r="436" spans="1:10" ht="142.5">
      <c r="A436" s="321" t="s">
        <v>3773</v>
      </c>
      <c r="B436" s="69" t="s">
        <v>8567</v>
      </c>
      <c r="C436" s="69" t="s">
        <v>8568</v>
      </c>
      <c r="D436" s="69" t="s">
        <v>8554</v>
      </c>
      <c r="E436" s="69" t="s">
        <v>8569</v>
      </c>
      <c r="F436" s="69" t="s">
        <v>8570</v>
      </c>
      <c r="G436" s="491">
        <v>120000000</v>
      </c>
      <c r="H436" s="69">
        <v>8</v>
      </c>
      <c r="I436" s="69" t="s">
        <v>8571</v>
      </c>
      <c r="J436" s="997">
        <v>319000000</v>
      </c>
    </row>
    <row r="437" spans="1:10" ht="128.25">
      <c r="A437" s="321" t="s">
        <v>3773</v>
      </c>
      <c r="B437" s="320" t="s">
        <v>8572</v>
      </c>
      <c r="C437" s="69" t="s">
        <v>8563</v>
      </c>
      <c r="D437" s="69" t="s">
        <v>8554</v>
      </c>
      <c r="E437" s="69" t="s">
        <v>8564</v>
      </c>
      <c r="F437" s="69" t="s">
        <v>8570</v>
      </c>
      <c r="G437" s="491">
        <v>50000000</v>
      </c>
      <c r="H437" s="69">
        <v>9</v>
      </c>
      <c r="I437" s="69" t="s">
        <v>8566</v>
      </c>
      <c r="J437" s="997">
        <v>145000000</v>
      </c>
    </row>
    <row r="438" spans="1:10" ht="142.5">
      <c r="A438" s="321" t="s">
        <v>3773</v>
      </c>
      <c r="B438" s="69" t="s">
        <v>8573</v>
      </c>
      <c r="C438" s="69" t="s">
        <v>8574</v>
      </c>
      <c r="D438" s="69" t="s">
        <v>8554</v>
      </c>
      <c r="E438" s="69" t="s">
        <v>8575</v>
      </c>
      <c r="F438" s="69" t="s">
        <v>8570</v>
      </c>
      <c r="G438" s="491">
        <v>79000000</v>
      </c>
      <c r="H438" s="69">
        <v>10</v>
      </c>
      <c r="I438" s="69" t="s">
        <v>8576</v>
      </c>
      <c r="J438" s="997">
        <v>217500000</v>
      </c>
    </row>
    <row r="439" spans="1:10" ht="38.25">
      <c r="A439" s="39" t="s">
        <v>24060</v>
      </c>
      <c r="B439" s="52" t="s">
        <v>24773</v>
      </c>
      <c r="C439" s="25" t="s">
        <v>24774</v>
      </c>
      <c r="D439" s="367" t="s">
        <v>24775</v>
      </c>
      <c r="E439" s="367" t="s">
        <v>24776</v>
      </c>
      <c r="F439" s="367" t="s">
        <v>24720</v>
      </c>
      <c r="G439" s="535">
        <v>75000000</v>
      </c>
      <c r="H439" s="367">
        <v>1</v>
      </c>
      <c r="I439" s="25" t="s">
        <v>24721</v>
      </c>
      <c r="J439" s="980">
        <v>75000000</v>
      </c>
    </row>
    <row r="440" spans="1:10" ht="22.5">
      <c r="A440" s="39" t="s">
        <v>3751</v>
      </c>
      <c r="B440" s="52" t="s">
        <v>3893</v>
      </c>
      <c r="C440" s="25" t="s">
        <v>24777</v>
      </c>
      <c r="D440" s="367" t="s">
        <v>9584</v>
      </c>
      <c r="E440" s="367" t="s">
        <v>3143</v>
      </c>
      <c r="F440" s="367" t="s">
        <v>24778</v>
      </c>
      <c r="G440" s="535">
        <v>50000000</v>
      </c>
      <c r="H440" s="367">
        <v>1</v>
      </c>
      <c r="I440" s="25" t="s">
        <v>24779</v>
      </c>
      <c r="J440" s="980">
        <v>75000000</v>
      </c>
    </row>
    <row r="441" spans="1:10" ht="38.25">
      <c r="A441" s="39" t="s">
        <v>3751</v>
      </c>
      <c r="B441" s="52" t="s">
        <v>24780</v>
      </c>
      <c r="C441" s="25" t="s">
        <v>24781</v>
      </c>
      <c r="D441" s="367" t="s">
        <v>24782</v>
      </c>
      <c r="E441" s="367" t="s">
        <v>3143</v>
      </c>
      <c r="F441" s="367" t="s">
        <v>24747</v>
      </c>
      <c r="G441" s="535"/>
      <c r="H441" s="367" t="s">
        <v>31</v>
      </c>
      <c r="I441" s="25" t="s">
        <v>24748</v>
      </c>
      <c r="J441" s="980">
        <v>14545454.545454545</v>
      </c>
    </row>
    <row r="442" spans="1:10" ht="38.25">
      <c r="A442" s="39" t="s">
        <v>3751</v>
      </c>
      <c r="B442" s="52" t="s">
        <v>24780</v>
      </c>
      <c r="C442" s="25" t="s">
        <v>24781</v>
      </c>
      <c r="D442" s="367" t="s">
        <v>24783</v>
      </c>
      <c r="E442" s="367" t="s">
        <v>3143</v>
      </c>
      <c r="F442" s="367" t="s">
        <v>24747</v>
      </c>
      <c r="G442" s="535"/>
      <c r="H442" s="367" t="s">
        <v>31</v>
      </c>
      <c r="I442" s="25" t="s">
        <v>24748</v>
      </c>
      <c r="J442" s="980">
        <v>14545454.545454545</v>
      </c>
    </row>
    <row r="443" spans="1:10" ht="38.25">
      <c r="A443" s="39" t="s">
        <v>3751</v>
      </c>
      <c r="B443" s="52" t="s">
        <v>24780</v>
      </c>
      <c r="C443" s="25" t="s">
        <v>24781</v>
      </c>
      <c r="D443" s="367" t="s">
        <v>7502</v>
      </c>
      <c r="E443" s="367" t="s">
        <v>3143</v>
      </c>
      <c r="F443" s="367" t="s">
        <v>24747</v>
      </c>
      <c r="G443" s="535"/>
      <c r="H443" s="367" t="s">
        <v>31</v>
      </c>
      <c r="I443" s="25" t="s">
        <v>24748</v>
      </c>
      <c r="J443" s="980">
        <v>14545454.545454545</v>
      </c>
    </row>
    <row r="444" spans="1:10" ht="38.25">
      <c r="A444" s="39" t="s">
        <v>3751</v>
      </c>
      <c r="B444" s="52" t="s">
        <v>24780</v>
      </c>
      <c r="C444" s="25" t="s">
        <v>24781</v>
      </c>
      <c r="D444" s="367" t="s">
        <v>4850</v>
      </c>
      <c r="E444" s="367" t="s">
        <v>3143</v>
      </c>
      <c r="F444" s="367" t="s">
        <v>24747</v>
      </c>
      <c r="G444" s="535"/>
      <c r="H444" s="367" t="s">
        <v>31</v>
      </c>
      <c r="I444" s="25" t="s">
        <v>24748</v>
      </c>
      <c r="J444" s="980">
        <v>14545454.545454545</v>
      </c>
    </row>
    <row r="445" spans="1:10" ht="38.25">
      <c r="A445" s="39" t="s">
        <v>3751</v>
      </c>
      <c r="B445" s="52" t="s">
        <v>24780</v>
      </c>
      <c r="C445" s="25" t="s">
        <v>24781</v>
      </c>
      <c r="D445" s="367" t="s">
        <v>24784</v>
      </c>
      <c r="E445" s="367" t="s">
        <v>3143</v>
      </c>
      <c r="F445" s="367" t="s">
        <v>24747</v>
      </c>
      <c r="G445" s="535"/>
      <c r="H445" s="367" t="s">
        <v>31</v>
      </c>
      <c r="I445" s="25" t="s">
        <v>24748</v>
      </c>
      <c r="J445" s="980">
        <v>14545454.545454545</v>
      </c>
    </row>
    <row r="446" spans="1:10" ht="38.25">
      <c r="A446" s="39" t="s">
        <v>3751</v>
      </c>
      <c r="B446" s="52" t="s">
        <v>24780</v>
      </c>
      <c r="C446" s="25" t="s">
        <v>24781</v>
      </c>
      <c r="D446" s="367" t="s">
        <v>24785</v>
      </c>
      <c r="E446" s="367" t="s">
        <v>3143</v>
      </c>
      <c r="F446" s="367" t="s">
        <v>24747</v>
      </c>
      <c r="G446" s="535"/>
      <c r="H446" s="367" t="s">
        <v>31</v>
      </c>
      <c r="I446" s="25" t="s">
        <v>24748</v>
      </c>
      <c r="J446" s="980">
        <v>14545454.545454545</v>
      </c>
    </row>
    <row r="447" spans="1:10" ht="38.25">
      <c r="A447" s="39" t="s">
        <v>3751</v>
      </c>
      <c r="B447" s="52" t="s">
        <v>24780</v>
      </c>
      <c r="C447" s="25" t="s">
        <v>24781</v>
      </c>
      <c r="D447" s="367" t="s">
        <v>24786</v>
      </c>
      <c r="E447" s="367" t="s">
        <v>3143</v>
      </c>
      <c r="F447" s="367" t="s">
        <v>24747</v>
      </c>
      <c r="G447" s="535"/>
      <c r="H447" s="367" t="s">
        <v>31</v>
      </c>
      <c r="I447" s="25" t="s">
        <v>24748</v>
      </c>
      <c r="J447" s="980">
        <v>14545454.545454545</v>
      </c>
    </row>
    <row r="448" spans="1:10" ht="38.25">
      <c r="A448" s="39" t="s">
        <v>3751</v>
      </c>
      <c r="B448" s="52" t="s">
        <v>24780</v>
      </c>
      <c r="C448" s="25" t="s">
        <v>24781</v>
      </c>
      <c r="D448" s="367" t="s">
        <v>24787</v>
      </c>
      <c r="E448" s="367" t="s">
        <v>3143</v>
      </c>
      <c r="F448" s="367" t="s">
        <v>24747</v>
      </c>
      <c r="G448" s="535"/>
      <c r="H448" s="367" t="s">
        <v>31</v>
      </c>
      <c r="I448" s="25" t="s">
        <v>24748</v>
      </c>
      <c r="J448" s="980">
        <v>14545454.545454545</v>
      </c>
    </row>
    <row r="449" spans="1:10" ht="38.25">
      <c r="A449" s="39" t="s">
        <v>3751</v>
      </c>
      <c r="B449" s="52" t="s">
        <v>24780</v>
      </c>
      <c r="C449" s="25" t="s">
        <v>24781</v>
      </c>
      <c r="D449" s="367" t="s">
        <v>24788</v>
      </c>
      <c r="E449" s="367" t="s">
        <v>3143</v>
      </c>
      <c r="F449" s="367" t="s">
        <v>24747</v>
      </c>
      <c r="G449" s="535"/>
      <c r="H449" s="367" t="s">
        <v>31</v>
      </c>
      <c r="I449" s="25" t="s">
        <v>24748</v>
      </c>
      <c r="J449" s="980">
        <v>14545454.545454545</v>
      </c>
    </row>
    <row r="450" spans="1:10" ht="38.25">
      <c r="A450" s="39" t="s">
        <v>3751</v>
      </c>
      <c r="B450" s="52" t="s">
        <v>24780</v>
      </c>
      <c r="C450" s="25" t="s">
        <v>24781</v>
      </c>
      <c r="D450" s="367" t="s">
        <v>24717</v>
      </c>
      <c r="E450" s="367" t="s">
        <v>3143</v>
      </c>
      <c r="F450" s="367" t="s">
        <v>24747</v>
      </c>
      <c r="G450" s="535"/>
      <c r="H450" s="367" t="s">
        <v>31</v>
      </c>
      <c r="I450" s="25" t="s">
        <v>24748</v>
      </c>
      <c r="J450" s="980">
        <v>14545454.545454545</v>
      </c>
    </row>
    <row r="451" spans="1:10" ht="38.25">
      <c r="A451" s="39" t="s">
        <v>3751</v>
      </c>
      <c r="B451" s="52" t="s">
        <v>24780</v>
      </c>
      <c r="C451" s="25" t="s">
        <v>24781</v>
      </c>
      <c r="D451" s="367" t="s">
        <v>24789</v>
      </c>
      <c r="E451" s="367" t="s">
        <v>3143</v>
      </c>
      <c r="F451" s="367" t="s">
        <v>24747</v>
      </c>
      <c r="G451" s="535"/>
      <c r="H451" s="367" t="s">
        <v>31</v>
      </c>
      <c r="I451" s="25" t="s">
        <v>24748</v>
      </c>
      <c r="J451" s="980">
        <v>14545454.545454545</v>
      </c>
    </row>
    <row r="452" spans="1:10">
      <c r="A452" s="995"/>
      <c r="B452" s="312"/>
      <c r="C452" s="312"/>
      <c r="D452" s="312"/>
      <c r="E452" s="313"/>
      <c r="F452" s="314"/>
      <c r="G452" s="539"/>
      <c r="H452" s="312"/>
      <c r="I452" s="314"/>
      <c r="J452" s="996"/>
    </row>
    <row r="453" spans="1:10" ht="15.75">
      <c r="A453" s="1038" t="s">
        <v>6444</v>
      </c>
      <c r="B453" s="1039"/>
      <c r="C453" s="1039"/>
      <c r="D453" s="1039"/>
      <c r="E453" s="1039"/>
      <c r="F453" s="1039"/>
      <c r="G453" s="536">
        <f>SUM(G429:G452)</f>
        <v>921000000</v>
      </c>
      <c r="H453" s="567"/>
      <c r="I453" s="567"/>
      <c r="J453" s="977">
        <f>SUM(J429:J452)</f>
        <v>4405000000.0000029</v>
      </c>
    </row>
    <row r="454" spans="1:10" ht="15.75">
      <c r="A454" s="1038" t="s">
        <v>7778</v>
      </c>
      <c r="B454" s="1039"/>
      <c r="C454" s="1039"/>
      <c r="D454" s="1039"/>
      <c r="E454" s="1039"/>
      <c r="F454" s="1039"/>
      <c r="G454" s="1039"/>
      <c r="H454" s="1039"/>
      <c r="I454" s="1039"/>
      <c r="J454" s="1040"/>
    </row>
    <row r="455" spans="1:10" ht="30">
      <c r="A455" s="322" t="s">
        <v>4848</v>
      </c>
      <c r="B455" s="964" t="s">
        <v>8577</v>
      </c>
      <c r="C455" s="972" t="s">
        <v>8578</v>
      </c>
      <c r="D455" s="964" t="s">
        <v>616</v>
      </c>
      <c r="E455" s="964" t="s">
        <v>8579</v>
      </c>
      <c r="F455" s="964" t="s">
        <v>8580</v>
      </c>
      <c r="G455" s="946">
        <v>115500000</v>
      </c>
      <c r="H455" s="964">
        <v>1</v>
      </c>
      <c r="I455" s="964" t="s">
        <v>8581</v>
      </c>
      <c r="J455" s="998">
        <v>600000000</v>
      </c>
    </row>
    <row r="456" spans="1:10" ht="30">
      <c r="A456" s="322" t="s">
        <v>4848</v>
      </c>
      <c r="B456" s="964" t="s">
        <v>8577</v>
      </c>
      <c r="C456" s="972" t="s">
        <v>8582</v>
      </c>
      <c r="D456" s="964" t="s">
        <v>8583</v>
      </c>
      <c r="E456" s="964" t="s">
        <v>8584</v>
      </c>
      <c r="F456" s="964" t="s">
        <v>8585</v>
      </c>
      <c r="G456" s="946">
        <v>40000000</v>
      </c>
      <c r="H456" s="964">
        <v>3</v>
      </c>
      <c r="I456" s="964" t="s">
        <v>8586</v>
      </c>
      <c r="J456" s="998">
        <v>40000000</v>
      </c>
    </row>
    <row r="457" spans="1:10" ht="30">
      <c r="A457" s="322" t="s">
        <v>4848</v>
      </c>
      <c r="B457" s="964" t="s">
        <v>4848</v>
      </c>
      <c r="C457" s="972" t="s">
        <v>8587</v>
      </c>
      <c r="D457" s="964" t="s">
        <v>8588</v>
      </c>
      <c r="E457" s="964" t="s">
        <v>8589</v>
      </c>
      <c r="F457" s="964" t="s">
        <v>8585</v>
      </c>
      <c r="G457" s="946">
        <v>40000000</v>
      </c>
      <c r="H457" s="964">
        <v>3</v>
      </c>
      <c r="I457" s="964" t="s">
        <v>8586</v>
      </c>
      <c r="J457" s="998">
        <v>40000000</v>
      </c>
    </row>
    <row r="458" spans="1:10" ht="30">
      <c r="A458" s="322" t="s">
        <v>4848</v>
      </c>
      <c r="B458" s="964" t="s">
        <v>8590</v>
      </c>
      <c r="C458" s="972" t="s">
        <v>8591</v>
      </c>
      <c r="D458" s="964" t="s">
        <v>8583</v>
      </c>
      <c r="E458" s="964" t="s">
        <v>8592</v>
      </c>
      <c r="F458" s="964" t="s">
        <v>8593</v>
      </c>
      <c r="G458" s="946">
        <v>40000000</v>
      </c>
      <c r="H458" s="964">
        <v>1</v>
      </c>
      <c r="I458" s="964" t="s">
        <v>8594</v>
      </c>
      <c r="J458" s="998">
        <v>80000000</v>
      </c>
    </row>
    <row r="459" spans="1:10" ht="30">
      <c r="A459" s="322" t="s">
        <v>8595</v>
      </c>
      <c r="B459" s="964" t="s">
        <v>3716</v>
      </c>
      <c r="C459" s="972" t="s">
        <v>8591</v>
      </c>
      <c r="D459" s="964" t="s">
        <v>8596</v>
      </c>
      <c r="E459" s="964" t="s">
        <v>8592</v>
      </c>
      <c r="F459" s="964" t="s">
        <v>8585</v>
      </c>
      <c r="G459" s="946">
        <v>40000000</v>
      </c>
      <c r="H459" s="964">
        <v>3</v>
      </c>
      <c r="I459" s="964" t="s">
        <v>8586</v>
      </c>
      <c r="J459" s="998">
        <v>40000000</v>
      </c>
    </row>
    <row r="460" spans="1:10" ht="30">
      <c r="A460" s="322" t="s">
        <v>5326</v>
      </c>
      <c r="B460" s="964" t="s">
        <v>2885</v>
      </c>
      <c r="C460" s="972" t="s">
        <v>8597</v>
      </c>
      <c r="D460" s="964" t="s">
        <v>8598</v>
      </c>
      <c r="E460" s="964" t="s">
        <v>8599</v>
      </c>
      <c r="F460" s="964" t="s">
        <v>8585</v>
      </c>
      <c r="G460" s="946">
        <v>60000000</v>
      </c>
      <c r="H460" s="964">
        <v>3</v>
      </c>
      <c r="I460" s="964" t="s">
        <v>8586</v>
      </c>
      <c r="J460" s="998">
        <v>60000000</v>
      </c>
    </row>
    <row r="461" spans="1:10" ht="30">
      <c r="A461" s="322" t="s">
        <v>5326</v>
      </c>
      <c r="B461" s="964" t="s">
        <v>7790</v>
      </c>
      <c r="C461" s="972" t="s">
        <v>8600</v>
      </c>
      <c r="D461" s="964" t="s">
        <v>201</v>
      </c>
      <c r="E461" s="964" t="s">
        <v>8601</v>
      </c>
      <c r="F461" s="964" t="s">
        <v>8585</v>
      </c>
      <c r="G461" s="946">
        <v>40000000</v>
      </c>
      <c r="H461" s="964">
        <v>3</v>
      </c>
      <c r="I461" s="964" t="s">
        <v>8586</v>
      </c>
      <c r="J461" s="998">
        <v>40000000</v>
      </c>
    </row>
    <row r="462" spans="1:10" ht="30">
      <c r="A462" s="322" t="s">
        <v>5326</v>
      </c>
      <c r="B462" s="964" t="s">
        <v>7790</v>
      </c>
      <c r="C462" s="972" t="s">
        <v>8602</v>
      </c>
      <c r="D462" s="964" t="s">
        <v>8603</v>
      </c>
      <c r="E462" s="964" t="s">
        <v>8604</v>
      </c>
      <c r="F462" s="964" t="s">
        <v>8585</v>
      </c>
      <c r="G462" s="946">
        <v>40000000</v>
      </c>
      <c r="H462" s="964">
        <v>3</v>
      </c>
      <c r="I462" s="964" t="s">
        <v>8586</v>
      </c>
      <c r="J462" s="998">
        <v>40000000</v>
      </c>
    </row>
    <row r="463" spans="1:10" ht="30">
      <c r="A463" s="322" t="s">
        <v>5326</v>
      </c>
      <c r="B463" s="964" t="s">
        <v>8605</v>
      </c>
      <c r="C463" s="972" t="s">
        <v>8606</v>
      </c>
      <c r="D463" s="964" t="s">
        <v>8607</v>
      </c>
      <c r="E463" s="964" t="s">
        <v>8608</v>
      </c>
      <c r="F463" s="964" t="s">
        <v>8585</v>
      </c>
      <c r="G463" s="946">
        <v>40000000</v>
      </c>
      <c r="H463" s="964">
        <v>3</v>
      </c>
      <c r="I463" s="964" t="s">
        <v>8586</v>
      </c>
      <c r="J463" s="998">
        <v>40000000</v>
      </c>
    </row>
    <row r="464" spans="1:10" ht="30">
      <c r="A464" s="322" t="s">
        <v>5326</v>
      </c>
      <c r="B464" s="964" t="s">
        <v>4490</v>
      </c>
      <c r="C464" s="972" t="s">
        <v>8609</v>
      </c>
      <c r="D464" s="964" t="s">
        <v>201</v>
      </c>
      <c r="E464" s="964" t="s">
        <v>8610</v>
      </c>
      <c r="F464" s="964" t="s">
        <v>8585</v>
      </c>
      <c r="G464" s="946">
        <v>40000000</v>
      </c>
      <c r="H464" s="964">
        <v>3</v>
      </c>
      <c r="I464" s="964" t="s">
        <v>8586</v>
      </c>
      <c r="J464" s="998">
        <v>40000000</v>
      </c>
    </row>
    <row r="465" spans="1:10" ht="30">
      <c r="A465" s="322" t="s">
        <v>5326</v>
      </c>
      <c r="B465" s="964" t="s">
        <v>4490</v>
      </c>
      <c r="C465" s="972" t="s">
        <v>8611</v>
      </c>
      <c r="D465" s="964" t="s">
        <v>8612</v>
      </c>
      <c r="E465" s="964" t="s">
        <v>8613</v>
      </c>
      <c r="F465" s="964" t="s">
        <v>8580</v>
      </c>
      <c r="G465" s="946">
        <v>50000000</v>
      </c>
      <c r="H465" s="964">
        <v>1</v>
      </c>
      <c r="I465" s="964" t="s">
        <v>8594</v>
      </c>
      <c r="J465" s="998">
        <v>80000000</v>
      </c>
    </row>
    <row r="466" spans="1:10" ht="30">
      <c r="A466" s="322" t="s">
        <v>4857</v>
      </c>
      <c r="B466" s="964" t="s">
        <v>2885</v>
      </c>
      <c r="C466" s="972" t="s">
        <v>8614</v>
      </c>
      <c r="D466" s="964" t="s">
        <v>8598</v>
      </c>
      <c r="E466" s="964" t="s">
        <v>8615</v>
      </c>
      <c r="F466" s="964" t="s">
        <v>8616</v>
      </c>
      <c r="G466" s="946">
        <v>40000000</v>
      </c>
      <c r="H466" s="964">
        <v>2</v>
      </c>
      <c r="I466" s="964" t="s">
        <v>8586</v>
      </c>
      <c r="J466" s="998">
        <v>40000000</v>
      </c>
    </row>
    <row r="467" spans="1:10" ht="30">
      <c r="A467" s="322" t="s">
        <v>5326</v>
      </c>
      <c r="B467" s="964" t="s">
        <v>8617</v>
      </c>
      <c r="C467" s="972" t="s">
        <v>8618</v>
      </c>
      <c r="D467" s="964" t="s">
        <v>201</v>
      </c>
      <c r="E467" s="964" t="s">
        <v>8619</v>
      </c>
      <c r="F467" s="964" t="s">
        <v>8593</v>
      </c>
      <c r="G467" s="946">
        <v>40000000</v>
      </c>
      <c r="H467" s="964">
        <v>3</v>
      </c>
      <c r="I467" s="964" t="s">
        <v>8586</v>
      </c>
      <c r="J467" s="998">
        <v>40000000</v>
      </c>
    </row>
    <row r="468" spans="1:10" ht="30">
      <c r="A468" s="322" t="s">
        <v>4849</v>
      </c>
      <c r="B468" s="964" t="s">
        <v>8620</v>
      </c>
      <c r="C468" s="972" t="s">
        <v>8621</v>
      </c>
      <c r="D468" s="964" t="s">
        <v>8622</v>
      </c>
      <c r="E468" s="964" t="s">
        <v>8623</v>
      </c>
      <c r="F468" s="964" t="s">
        <v>8616</v>
      </c>
      <c r="G468" s="946">
        <v>60000000</v>
      </c>
      <c r="H468" s="964">
        <v>2</v>
      </c>
      <c r="I468" s="964" t="s">
        <v>8586</v>
      </c>
      <c r="J468" s="998">
        <v>60000000</v>
      </c>
    </row>
    <row r="469" spans="1:10" ht="30">
      <c r="A469" s="322" t="s">
        <v>4849</v>
      </c>
      <c r="B469" s="964" t="s">
        <v>8624</v>
      </c>
      <c r="C469" s="972" t="s">
        <v>8625</v>
      </c>
      <c r="D469" s="964" t="s">
        <v>8626</v>
      </c>
      <c r="E469" s="964" t="s">
        <v>8627</v>
      </c>
      <c r="F469" s="964" t="s">
        <v>8593</v>
      </c>
      <c r="G469" s="946">
        <v>40000000</v>
      </c>
      <c r="H469" s="964">
        <v>3</v>
      </c>
      <c r="I469" s="964" t="s">
        <v>8586</v>
      </c>
      <c r="J469" s="998">
        <v>40000000</v>
      </c>
    </row>
    <row r="470" spans="1:10" ht="30">
      <c r="A470" s="322" t="s">
        <v>4849</v>
      </c>
      <c r="B470" s="964" t="s">
        <v>5323</v>
      </c>
      <c r="C470" s="972" t="s">
        <v>8628</v>
      </c>
      <c r="D470" s="964" t="s">
        <v>8629</v>
      </c>
      <c r="E470" s="964" t="s">
        <v>8630</v>
      </c>
      <c r="F470" s="964" t="s">
        <v>8593</v>
      </c>
      <c r="G470" s="946">
        <v>40000000</v>
      </c>
      <c r="H470" s="964">
        <v>3</v>
      </c>
      <c r="I470" s="964" t="s">
        <v>8586</v>
      </c>
      <c r="J470" s="998">
        <v>40000000</v>
      </c>
    </row>
    <row r="471" spans="1:10" ht="30">
      <c r="A471" s="322" t="s">
        <v>4849</v>
      </c>
      <c r="B471" s="964" t="s">
        <v>5323</v>
      </c>
      <c r="C471" s="972" t="s">
        <v>8631</v>
      </c>
      <c r="D471" s="964" t="s">
        <v>8632</v>
      </c>
      <c r="E471" s="964" t="s">
        <v>8633</v>
      </c>
      <c r="F471" s="964" t="s">
        <v>8593</v>
      </c>
      <c r="G471" s="946">
        <v>40000000</v>
      </c>
      <c r="H471" s="964">
        <v>3</v>
      </c>
      <c r="I471" s="964" t="s">
        <v>8586</v>
      </c>
      <c r="J471" s="998">
        <v>40000000</v>
      </c>
    </row>
    <row r="472" spans="1:10" ht="30">
      <c r="A472" s="322" t="s">
        <v>4849</v>
      </c>
      <c r="B472" s="964" t="s">
        <v>5323</v>
      </c>
      <c r="C472" s="972" t="s">
        <v>8631</v>
      </c>
      <c r="D472" s="964" t="s">
        <v>8632</v>
      </c>
      <c r="E472" s="964" t="s">
        <v>8633</v>
      </c>
      <c r="F472" s="964" t="s">
        <v>8593</v>
      </c>
      <c r="G472" s="946">
        <v>40000000</v>
      </c>
      <c r="H472" s="964">
        <v>3</v>
      </c>
      <c r="I472" s="964" t="s">
        <v>8586</v>
      </c>
      <c r="J472" s="998">
        <v>40000000</v>
      </c>
    </row>
    <row r="473" spans="1:10" ht="45">
      <c r="A473" s="322" t="s">
        <v>4849</v>
      </c>
      <c r="B473" s="964" t="s">
        <v>8634</v>
      </c>
      <c r="C473" s="972" t="s">
        <v>8635</v>
      </c>
      <c r="D473" s="964" t="s">
        <v>8626</v>
      </c>
      <c r="E473" s="964" t="s">
        <v>8636</v>
      </c>
      <c r="F473" s="964" t="s">
        <v>8637</v>
      </c>
      <c r="G473" s="946">
        <v>50000000</v>
      </c>
      <c r="H473" s="964">
        <v>1</v>
      </c>
      <c r="I473" s="964" t="s">
        <v>8594</v>
      </c>
      <c r="J473" s="998">
        <v>80000000</v>
      </c>
    </row>
    <row r="474" spans="1:10" ht="30">
      <c r="A474" s="322" t="s">
        <v>4849</v>
      </c>
      <c r="B474" s="964" t="s">
        <v>8638</v>
      </c>
      <c r="C474" s="972" t="s">
        <v>8639</v>
      </c>
      <c r="D474" s="964" t="s">
        <v>8632</v>
      </c>
      <c r="E474" s="964" t="s">
        <v>8640</v>
      </c>
      <c r="F474" s="964" t="s">
        <v>8593</v>
      </c>
      <c r="G474" s="946">
        <v>45000000</v>
      </c>
      <c r="H474" s="964">
        <v>3</v>
      </c>
      <c r="I474" s="964" t="s">
        <v>8586</v>
      </c>
      <c r="J474" s="998">
        <v>45000000</v>
      </c>
    </row>
    <row r="475" spans="1:10" ht="30">
      <c r="A475" s="322" t="s">
        <v>4849</v>
      </c>
      <c r="B475" s="964" t="s">
        <v>7827</v>
      </c>
      <c r="C475" s="972" t="s">
        <v>8641</v>
      </c>
      <c r="D475" s="964" t="s">
        <v>8642</v>
      </c>
      <c r="E475" s="964" t="s">
        <v>8643</v>
      </c>
      <c r="F475" s="964" t="s">
        <v>8580</v>
      </c>
      <c r="G475" s="946">
        <v>50000000</v>
      </c>
      <c r="H475" s="964">
        <v>1</v>
      </c>
      <c r="I475" s="964" t="s">
        <v>8594</v>
      </c>
      <c r="J475" s="998">
        <v>80000000</v>
      </c>
    </row>
    <row r="476" spans="1:10" ht="45">
      <c r="A476" s="39"/>
      <c r="B476" s="52"/>
      <c r="C476" s="25" t="s">
        <v>24698</v>
      </c>
      <c r="D476" s="367" t="s">
        <v>7837</v>
      </c>
      <c r="E476" s="367" t="s">
        <v>24699</v>
      </c>
      <c r="F476" s="367" t="s">
        <v>24700</v>
      </c>
      <c r="G476" s="535"/>
      <c r="H476" s="367" t="s">
        <v>24701</v>
      </c>
      <c r="I476" s="25" t="s">
        <v>24702</v>
      </c>
      <c r="J476" s="980">
        <v>10000000</v>
      </c>
    </row>
    <row r="477" spans="1:10">
      <c r="A477" s="995"/>
      <c r="B477" s="312"/>
      <c r="C477" s="312"/>
      <c r="D477" s="312"/>
      <c r="E477" s="313"/>
      <c r="F477" s="314"/>
      <c r="G477" s="539"/>
      <c r="H477" s="312"/>
      <c r="I477" s="314"/>
      <c r="J477" s="996"/>
    </row>
    <row r="478" spans="1:10" ht="15.75">
      <c r="A478" s="1038" t="s">
        <v>6444</v>
      </c>
      <c r="B478" s="1039"/>
      <c r="C478" s="1039"/>
      <c r="D478" s="1039"/>
      <c r="E478" s="1039"/>
      <c r="F478" s="1039"/>
      <c r="G478" s="536">
        <f>SUM(G455:G477)</f>
        <v>990500000</v>
      </c>
      <c r="H478" s="567"/>
      <c r="I478" s="567"/>
      <c r="J478" s="977">
        <f>SUM(J455:J477)</f>
        <v>1615000000</v>
      </c>
    </row>
    <row r="479" spans="1:10" ht="15.75">
      <c r="A479" s="1038" t="s">
        <v>7856</v>
      </c>
      <c r="B479" s="1039"/>
      <c r="C479" s="1039"/>
      <c r="D479" s="1039"/>
      <c r="E479" s="1039"/>
      <c r="F479" s="1039"/>
      <c r="G479" s="1039"/>
      <c r="H479" s="1039"/>
      <c r="I479" s="1039"/>
      <c r="J479" s="1040"/>
    </row>
    <row r="480" spans="1:10" ht="42.75">
      <c r="A480" s="999" t="s">
        <v>59</v>
      </c>
      <c r="B480" s="316" t="s">
        <v>8644</v>
      </c>
      <c r="C480" s="316" t="s">
        <v>8645</v>
      </c>
      <c r="D480" s="973" t="s">
        <v>8646</v>
      </c>
      <c r="E480" s="316" t="s">
        <v>8647</v>
      </c>
      <c r="F480" s="316" t="s">
        <v>8648</v>
      </c>
      <c r="G480" s="491">
        <v>45000000</v>
      </c>
      <c r="H480" s="69">
        <v>1</v>
      </c>
      <c r="I480" s="69" t="s">
        <v>8649</v>
      </c>
      <c r="J480" s="545">
        <v>50000000</v>
      </c>
    </row>
    <row r="481" spans="1:10" ht="42.75">
      <c r="A481" s="999" t="s">
        <v>59</v>
      </c>
      <c r="B481" s="316" t="s">
        <v>6097</v>
      </c>
      <c r="C481" s="316" t="s">
        <v>8645</v>
      </c>
      <c r="D481" s="973" t="s">
        <v>8650</v>
      </c>
      <c r="E481" s="316" t="s">
        <v>8651</v>
      </c>
      <c r="F481" s="316" t="s">
        <v>8652</v>
      </c>
      <c r="G481" s="491">
        <v>20000000</v>
      </c>
      <c r="H481" s="69">
        <v>2</v>
      </c>
      <c r="I481" s="69" t="s">
        <v>8649</v>
      </c>
      <c r="J481" s="545">
        <v>50000000</v>
      </c>
    </row>
    <row r="482" spans="1:10" ht="42.75">
      <c r="A482" s="999" t="s">
        <v>7877</v>
      </c>
      <c r="B482" s="316" t="s">
        <v>8653</v>
      </c>
      <c r="C482" s="316" t="s">
        <v>8654</v>
      </c>
      <c r="D482" s="973" t="s">
        <v>8655</v>
      </c>
      <c r="E482" s="316" t="s">
        <v>8656</v>
      </c>
      <c r="F482" s="316" t="s">
        <v>8648</v>
      </c>
      <c r="G482" s="491">
        <v>45000000</v>
      </c>
      <c r="H482" s="69">
        <v>1</v>
      </c>
      <c r="I482" s="69" t="s">
        <v>8649</v>
      </c>
      <c r="J482" s="545">
        <v>60000000</v>
      </c>
    </row>
    <row r="483" spans="1:10" ht="42.75">
      <c r="A483" s="999" t="s">
        <v>7871</v>
      </c>
      <c r="B483" s="316" t="s">
        <v>1137</v>
      </c>
      <c r="C483" s="316" t="s">
        <v>8657</v>
      </c>
      <c r="D483" s="973" t="s">
        <v>8658</v>
      </c>
      <c r="E483" s="316" t="s">
        <v>8651</v>
      </c>
      <c r="F483" s="316" t="s">
        <v>8648</v>
      </c>
      <c r="G483" s="491">
        <v>35000000</v>
      </c>
      <c r="H483" s="69">
        <v>1</v>
      </c>
      <c r="I483" s="69" t="s">
        <v>8649</v>
      </c>
      <c r="J483" s="545">
        <v>153000000</v>
      </c>
    </row>
    <row r="484" spans="1:10" ht="42.75">
      <c r="A484" s="999" t="s">
        <v>7871</v>
      </c>
      <c r="B484" s="69" t="s">
        <v>8659</v>
      </c>
      <c r="C484" s="69" t="s">
        <v>8660</v>
      </c>
      <c r="D484" s="62" t="s">
        <v>8661</v>
      </c>
      <c r="E484" s="316" t="s">
        <v>8647</v>
      </c>
      <c r="F484" s="316" t="s">
        <v>8648</v>
      </c>
      <c r="G484" s="491">
        <v>60000000</v>
      </c>
      <c r="H484" s="69">
        <v>1</v>
      </c>
      <c r="I484" s="69" t="s">
        <v>8649</v>
      </c>
      <c r="J484" s="545">
        <v>60000000</v>
      </c>
    </row>
    <row r="485" spans="1:10" ht="42.75">
      <c r="A485" s="999" t="s">
        <v>59</v>
      </c>
      <c r="B485" s="316" t="s">
        <v>8662</v>
      </c>
      <c r="C485" s="316" t="s">
        <v>8663</v>
      </c>
      <c r="D485" s="973" t="s">
        <v>8664</v>
      </c>
      <c r="E485" s="316" t="s">
        <v>8647</v>
      </c>
      <c r="F485" s="316" t="s">
        <v>8648</v>
      </c>
      <c r="G485" s="491">
        <v>35000000</v>
      </c>
      <c r="H485" s="69">
        <v>3</v>
      </c>
      <c r="I485" s="69" t="s">
        <v>8649</v>
      </c>
      <c r="J485" s="545">
        <v>50000000</v>
      </c>
    </row>
    <row r="486" spans="1:10" ht="42.75">
      <c r="A486" s="999" t="s">
        <v>7877</v>
      </c>
      <c r="B486" s="69" t="s">
        <v>8665</v>
      </c>
      <c r="C486" s="69" t="s">
        <v>8666</v>
      </c>
      <c r="D486" s="62" t="s">
        <v>8667</v>
      </c>
      <c r="E486" s="69" t="s">
        <v>8651</v>
      </c>
      <c r="F486" s="69" t="s">
        <v>8648</v>
      </c>
      <c r="G486" s="491">
        <v>45000000</v>
      </c>
      <c r="H486" s="69">
        <v>2</v>
      </c>
      <c r="I486" s="69" t="s">
        <v>8649</v>
      </c>
      <c r="J486" s="545">
        <v>60000000</v>
      </c>
    </row>
    <row r="487" spans="1:10" ht="42.75">
      <c r="A487" s="999" t="s">
        <v>7877</v>
      </c>
      <c r="B487" s="69" t="s">
        <v>8668</v>
      </c>
      <c r="C487" s="69" t="s">
        <v>8669</v>
      </c>
      <c r="D487" s="62" t="s">
        <v>8670</v>
      </c>
      <c r="E487" s="316" t="s">
        <v>8647</v>
      </c>
      <c r="F487" s="316" t="s">
        <v>8648</v>
      </c>
      <c r="G487" s="491">
        <v>25000000</v>
      </c>
      <c r="H487" s="69">
        <v>2</v>
      </c>
      <c r="I487" s="69" t="s">
        <v>8649</v>
      </c>
      <c r="J487" s="545">
        <v>50000000</v>
      </c>
    </row>
    <row r="488" spans="1:10" ht="42.75">
      <c r="A488" s="999" t="s">
        <v>7857</v>
      </c>
      <c r="B488" s="69" t="s">
        <v>8671</v>
      </c>
      <c r="C488" s="69" t="s">
        <v>8672</v>
      </c>
      <c r="D488" s="62" t="s">
        <v>8673</v>
      </c>
      <c r="E488" s="69" t="s">
        <v>8674</v>
      </c>
      <c r="F488" s="69" t="s">
        <v>8648</v>
      </c>
      <c r="G488" s="491">
        <v>75000000</v>
      </c>
      <c r="H488" s="69">
        <v>1</v>
      </c>
      <c r="I488" s="69" t="s">
        <v>8649</v>
      </c>
      <c r="J488" s="545">
        <v>225000000</v>
      </c>
    </row>
    <row r="489" spans="1:10" ht="28.5">
      <c r="A489" s="999" t="s">
        <v>7857</v>
      </c>
      <c r="B489" s="316" t="s">
        <v>8671</v>
      </c>
      <c r="C489" s="316" t="s">
        <v>8672</v>
      </c>
      <c r="D489" s="973" t="s">
        <v>8658</v>
      </c>
      <c r="E489" s="316" t="s">
        <v>8651</v>
      </c>
      <c r="F489" s="316" t="s">
        <v>8675</v>
      </c>
      <c r="G489" s="491">
        <v>12000000</v>
      </c>
      <c r="H489" s="69">
        <v>2</v>
      </c>
      <c r="I489" s="69" t="s">
        <v>8649</v>
      </c>
      <c r="J489" s="545">
        <v>45000000</v>
      </c>
    </row>
    <row r="490" spans="1:10" ht="42.75">
      <c r="A490" s="999" t="s">
        <v>7871</v>
      </c>
      <c r="B490" s="69" t="s">
        <v>7875</v>
      </c>
      <c r="C490" s="69" t="s">
        <v>8676</v>
      </c>
      <c r="D490" s="69" t="s">
        <v>8658</v>
      </c>
      <c r="E490" s="69" t="s">
        <v>8674</v>
      </c>
      <c r="F490" s="69" t="s">
        <v>8648</v>
      </c>
      <c r="G490" s="491">
        <v>45000000</v>
      </c>
      <c r="H490" s="69">
        <v>1</v>
      </c>
      <c r="I490" s="69" t="s">
        <v>8649</v>
      </c>
      <c r="J490" s="545">
        <v>75000000</v>
      </c>
    </row>
    <row r="491" spans="1:10" ht="33.75">
      <c r="A491" s="999" t="s">
        <v>7857</v>
      </c>
      <c r="B491" s="52" t="s">
        <v>24744</v>
      </c>
      <c r="C491" s="25" t="s">
        <v>24745</v>
      </c>
      <c r="D491" s="367" t="s">
        <v>24746</v>
      </c>
      <c r="E491" s="367" t="s">
        <v>3143</v>
      </c>
      <c r="F491" s="367" t="s">
        <v>24747</v>
      </c>
      <c r="G491" s="535"/>
      <c r="H491" s="367" t="s">
        <v>31</v>
      </c>
      <c r="I491" s="25" t="s">
        <v>24748</v>
      </c>
      <c r="J491" s="980">
        <v>17777778.555555556</v>
      </c>
    </row>
    <row r="492" spans="1:10" ht="33.75">
      <c r="A492" s="999" t="s">
        <v>7857</v>
      </c>
      <c r="B492" s="52" t="s">
        <v>24744</v>
      </c>
      <c r="C492" s="25" t="s">
        <v>24745</v>
      </c>
      <c r="D492" s="367" t="s">
        <v>17728</v>
      </c>
      <c r="E492" s="367" t="s">
        <v>3143</v>
      </c>
      <c r="F492" s="367" t="s">
        <v>24747</v>
      </c>
      <c r="G492" s="535"/>
      <c r="H492" s="367" t="s">
        <v>31</v>
      </c>
      <c r="I492" s="25" t="s">
        <v>24748</v>
      </c>
      <c r="J492" s="980">
        <v>17777778.555555556</v>
      </c>
    </row>
    <row r="493" spans="1:10" ht="33.75">
      <c r="A493" s="999" t="s">
        <v>7857</v>
      </c>
      <c r="B493" s="52" t="s">
        <v>24744</v>
      </c>
      <c r="C493" s="25" t="s">
        <v>24745</v>
      </c>
      <c r="D493" s="367" t="s">
        <v>9120</v>
      </c>
      <c r="E493" s="367" t="s">
        <v>3143</v>
      </c>
      <c r="F493" s="367" t="s">
        <v>24747</v>
      </c>
      <c r="G493" s="535"/>
      <c r="H493" s="367" t="s">
        <v>31</v>
      </c>
      <c r="I493" s="25" t="s">
        <v>24748</v>
      </c>
      <c r="J493" s="980">
        <v>17777778.555555556</v>
      </c>
    </row>
    <row r="494" spans="1:10" ht="33.75">
      <c r="A494" s="999" t="s">
        <v>7857</v>
      </c>
      <c r="B494" s="52" t="s">
        <v>24744</v>
      </c>
      <c r="C494" s="25" t="s">
        <v>24745</v>
      </c>
      <c r="D494" s="367" t="s">
        <v>24749</v>
      </c>
      <c r="E494" s="367" t="s">
        <v>3143</v>
      </c>
      <c r="F494" s="367" t="s">
        <v>24747</v>
      </c>
      <c r="G494" s="535"/>
      <c r="H494" s="367" t="s">
        <v>31</v>
      </c>
      <c r="I494" s="25" t="s">
        <v>24748</v>
      </c>
      <c r="J494" s="980">
        <v>17777778.555555556</v>
      </c>
    </row>
    <row r="495" spans="1:10" ht="33.75">
      <c r="A495" s="999" t="s">
        <v>7857</v>
      </c>
      <c r="B495" s="52" t="s">
        <v>24744</v>
      </c>
      <c r="C495" s="25" t="s">
        <v>24745</v>
      </c>
      <c r="D495" s="367" t="s">
        <v>24750</v>
      </c>
      <c r="E495" s="367" t="s">
        <v>3143</v>
      </c>
      <c r="F495" s="367" t="s">
        <v>24747</v>
      </c>
      <c r="G495" s="535"/>
      <c r="H495" s="367" t="s">
        <v>31</v>
      </c>
      <c r="I495" s="25" t="s">
        <v>24748</v>
      </c>
      <c r="J495" s="980">
        <v>17777778.555555556</v>
      </c>
    </row>
    <row r="496" spans="1:10" ht="33.75">
      <c r="A496" s="999" t="s">
        <v>7857</v>
      </c>
      <c r="B496" s="52" t="s">
        <v>24744</v>
      </c>
      <c r="C496" s="25" t="s">
        <v>24745</v>
      </c>
      <c r="D496" s="367" t="s">
        <v>24751</v>
      </c>
      <c r="E496" s="367" t="s">
        <v>3143</v>
      </c>
      <c r="F496" s="367" t="s">
        <v>24747</v>
      </c>
      <c r="G496" s="535"/>
      <c r="H496" s="367" t="s">
        <v>31</v>
      </c>
      <c r="I496" s="25" t="s">
        <v>24748</v>
      </c>
      <c r="J496" s="980">
        <v>17777778.555555556</v>
      </c>
    </row>
    <row r="497" spans="1:10" ht="33.75">
      <c r="A497" s="999" t="s">
        <v>7857</v>
      </c>
      <c r="B497" s="52" t="s">
        <v>24744</v>
      </c>
      <c r="C497" s="25" t="s">
        <v>24745</v>
      </c>
      <c r="D497" s="367" t="s">
        <v>24752</v>
      </c>
      <c r="E497" s="367" t="s">
        <v>3143</v>
      </c>
      <c r="F497" s="367" t="s">
        <v>24747</v>
      </c>
      <c r="G497" s="535"/>
      <c r="H497" s="367" t="s">
        <v>31</v>
      </c>
      <c r="I497" s="25" t="s">
        <v>24748</v>
      </c>
      <c r="J497" s="980">
        <v>17777778.555555556</v>
      </c>
    </row>
    <row r="498" spans="1:10" ht="33.75">
      <c r="A498" s="999" t="s">
        <v>7857</v>
      </c>
      <c r="B498" s="52" t="s">
        <v>24744</v>
      </c>
      <c r="C498" s="25" t="s">
        <v>24745</v>
      </c>
      <c r="D498" s="367" t="s">
        <v>24753</v>
      </c>
      <c r="E498" s="367" t="s">
        <v>3143</v>
      </c>
      <c r="F498" s="367" t="s">
        <v>24747</v>
      </c>
      <c r="G498" s="535"/>
      <c r="H498" s="367" t="s">
        <v>31</v>
      </c>
      <c r="I498" s="25" t="s">
        <v>24748</v>
      </c>
      <c r="J498" s="980">
        <v>17777778.555555556</v>
      </c>
    </row>
    <row r="499" spans="1:10" ht="33.75">
      <c r="A499" s="999" t="s">
        <v>7857</v>
      </c>
      <c r="B499" s="52" t="s">
        <v>24744</v>
      </c>
      <c r="C499" s="25" t="s">
        <v>24745</v>
      </c>
      <c r="D499" s="367" t="s">
        <v>24754</v>
      </c>
      <c r="E499" s="367" t="s">
        <v>3143</v>
      </c>
      <c r="F499" s="367" t="s">
        <v>24747</v>
      </c>
      <c r="G499" s="535"/>
      <c r="H499" s="367" t="s">
        <v>31</v>
      </c>
      <c r="I499" s="25" t="s">
        <v>24748</v>
      </c>
      <c r="J499" s="980">
        <v>17777778.555555556</v>
      </c>
    </row>
    <row r="500" spans="1:10">
      <c r="A500" s="995"/>
      <c r="B500" s="312"/>
      <c r="C500" s="312"/>
      <c r="D500" s="312"/>
      <c r="E500" s="313"/>
      <c r="F500" s="314"/>
      <c r="G500" s="539"/>
      <c r="H500" s="312"/>
      <c r="I500" s="314"/>
      <c r="J500" s="996"/>
    </row>
    <row r="501" spans="1:10" ht="15.75">
      <c r="A501" s="1038" t="s">
        <v>6444</v>
      </c>
      <c r="B501" s="1039"/>
      <c r="C501" s="1039"/>
      <c r="D501" s="1039"/>
      <c r="E501" s="1039"/>
      <c r="F501" s="1039"/>
      <c r="G501" s="536">
        <f>SUM(G480:G500)</f>
        <v>442000000</v>
      </c>
      <c r="H501" s="567"/>
      <c r="I501" s="567"/>
      <c r="J501" s="977">
        <f>SUM(J480:J500)</f>
        <v>1038000007.0000002</v>
      </c>
    </row>
    <row r="502" spans="1:10" ht="15.75">
      <c r="A502" s="1038" t="s">
        <v>7883</v>
      </c>
      <c r="B502" s="1039"/>
      <c r="C502" s="1039"/>
      <c r="D502" s="1039"/>
      <c r="E502" s="1039"/>
      <c r="F502" s="1039"/>
      <c r="G502" s="1039"/>
      <c r="H502" s="1039"/>
      <c r="I502" s="1039"/>
      <c r="J502" s="1040"/>
    </row>
    <row r="503" spans="1:10" ht="71.25">
      <c r="A503" s="322" t="s">
        <v>3830</v>
      </c>
      <c r="B503" s="964" t="s">
        <v>2620</v>
      </c>
      <c r="C503" s="69" t="s">
        <v>8677</v>
      </c>
      <c r="D503" s="69" t="s">
        <v>8678</v>
      </c>
      <c r="E503" s="69" t="s">
        <v>8679</v>
      </c>
      <c r="F503" s="69" t="s">
        <v>8680</v>
      </c>
      <c r="G503" s="491">
        <v>81000000</v>
      </c>
      <c r="H503" s="69">
        <v>3</v>
      </c>
      <c r="I503" s="69" t="s">
        <v>8681</v>
      </c>
      <c r="J503" s="545">
        <f>+G503</f>
        <v>81000000</v>
      </c>
    </row>
    <row r="504" spans="1:10" ht="42.75">
      <c r="A504" s="322" t="s">
        <v>3847</v>
      </c>
      <c r="B504" s="964" t="s">
        <v>8682</v>
      </c>
      <c r="C504" s="69" t="s">
        <v>8683</v>
      </c>
      <c r="D504" s="69" t="s">
        <v>8684</v>
      </c>
      <c r="E504" s="69" t="s">
        <v>8679</v>
      </c>
      <c r="F504" s="69" t="s">
        <v>8680</v>
      </c>
      <c r="G504" s="491">
        <v>208000000</v>
      </c>
      <c r="H504" s="69">
        <v>3</v>
      </c>
      <c r="I504" s="69" t="s">
        <v>8685</v>
      </c>
      <c r="J504" s="545">
        <f>+G504</f>
        <v>208000000</v>
      </c>
    </row>
    <row r="505" spans="1:10" ht="57">
      <c r="A505" s="322" t="s">
        <v>7898</v>
      </c>
      <c r="B505" s="964" t="s">
        <v>8686</v>
      </c>
      <c r="C505" s="69" t="s">
        <v>8687</v>
      </c>
      <c r="D505" s="69" t="s">
        <v>8688</v>
      </c>
      <c r="E505" s="69" t="s">
        <v>8689</v>
      </c>
      <c r="F505" s="69" t="s">
        <v>8690</v>
      </c>
      <c r="G505" s="491">
        <v>346800000</v>
      </c>
      <c r="H505" s="69">
        <v>3</v>
      </c>
      <c r="I505" s="69" t="s">
        <v>8691</v>
      </c>
      <c r="J505" s="545">
        <f>+G505</f>
        <v>346800000</v>
      </c>
    </row>
    <row r="506" spans="1:10">
      <c r="A506" s="995"/>
      <c r="B506" s="312"/>
      <c r="C506" s="312"/>
      <c r="D506" s="312"/>
      <c r="E506" s="313"/>
      <c r="F506" s="314"/>
      <c r="G506" s="539"/>
      <c r="H506" s="312"/>
      <c r="I506" s="314"/>
      <c r="J506" s="996"/>
    </row>
    <row r="507" spans="1:10" ht="15.75">
      <c r="A507" s="1038" t="s">
        <v>6444</v>
      </c>
      <c r="B507" s="1039"/>
      <c r="C507" s="1039"/>
      <c r="D507" s="1039"/>
      <c r="E507" s="1039"/>
      <c r="F507" s="1039"/>
      <c r="G507" s="536">
        <f>SUM(G503:G506)</f>
        <v>635800000</v>
      </c>
      <c r="H507" s="567"/>
      <c r="I507" s="567"/>
      <c r="J507" s="977">
        <f>SUM(J503:J506)</f>
        <v>635800000</v>
      </c>
    </row>
    <row r="508" spans="1:10" ht="15.75">
      <c r="A508" s="1038" t="s">
        <v>7902</v>
      </c>
      <c r="B508" s="1039"/>
      <c r="C508" s="1039"/>
      <c r="D508" s="1039"/>
      <c r="E508" s="1039"/>
      <c r="F508" s="1039"/>
      <c r="G508" s="1039"/>
      <c r="H508" s="1039"/>
      <c r="I508" s="1039"/>
      <c r="J508" s="1040"/>
    </row>
    <row r="509" spans="1:10" ht="42.75">
      <c r="A509" s="322" t="s">
        <v>7916</v>
      </c>
      <c r="B509" s="964" t="s">
        <v>8692</v>
      </c>
      <c r="C509" s="69" t="s">
        <v>7923</v>
      </c>
      <c r="D509" s="69" t="s">
        <v>8693</v>
      </c>
      <c r="E509" s="69" t="s">
        <v>8694</v>
      </c>
      <c r="F509" s="69" t="s">
        <v>5730</v>
      </c>
      <c r="G509" s="491">
        <f t="shared" ref="G509:G517" si="2">+J509*0.6</f>
        <v>132461484</v>
      </c>
      <c r="H509" s="69">
        <v>2</v>
      </c>
      <c r="I509" s="316" t="s">
        <v>8695</v>
      </c>
      <c r="J509" s="540">
        <v>220769140</v>
      </c>
    </row>
    <row r="510" spans="1:10" ht="42.75">
      <c r="A510" s="322" t="s">
        <v>7916</v>
      </c>
      <c r="B510" s="964" t="s">
        <v>7558</v>
      </c>
      <c r="C510" s="69" t="s">
        <v>7925</v>
      </c>
      <c r="D510" s="69" t="s">
        <v>8693</v>
      </c>
      <c r="E510" s="69" t="s">
        <v>8696</v>
      </c>
      <c r="F510" s="69" t="s">
        <v>5730</v>
      </c>
      <c r="G510" s="491">
        <f t="shared" si="2"/>
        <v>128817984</v>
      </c>
      <c r="H510" s="69">
        <v>2</v>
      </c>
      <c r="I510" s="316" t="s">
        <v>8697</v>
      </c>
      <c r="J510" s="540">
        <v>214696640</v>
      </c>
    </row>
    <row r="511" spans="1:10" ht="42.75">
      <c r="A511" s="322" t="s">
        <v>7932</v>
      </c>
      <c r="B511" s="964" t="s">
        <v>7935</v>
      </c>
      <c r="C511" s="69" t="s">
        <v>7936</v>
      </c>
      <c r="D511" s="69" t="s">
        <v>8698</v>
      </c>
      <c r="E511" s="69" t="s">
        <v>8696</v>
      </c>
      <c r="F511" s="69" t="s">
        <v>8699</v>
      </c>
      <c r="G511" s="491">
        <f t="shared" si="2"/>
        <v>132461484</v>
      </c>
      <c r="H511" s="69">
        <v>1</v>
      </c>
      <c r="I511" s="316" t="s">
        <v>8695</v>
      </c>
      <c r="J511" s="540">
        <v>220769140</v>
      </c>
    </row>
    <row r="512" spans="1:10" ht="42.75">
      <c r="A512" s="322" t="s">
        <v>7916</v>
      </c>
      <c r="B512" s="964" t="s">
        <v>8700</v>
      </c>
      <c r="C512" s="69" t="s">
        <v>8014</v>
      </c>
      <c r="D512" s="69" t="s">
        <v>8693</v>
      </c>
      <c r="E512" s="69" t="s">
        <v>8696</v>
      </c>
      <c r="F512" s="69" t="s">
        <v>5730</v>
      </c>
      <c r="G512" s="491">
        <f t="shared" si="2"/>
        <v>132461484</v>
      </c>
      <c r="H512" s="69">
        <v>2</v>
      </c>
      <c r="I512" s="316" t="s">
        <v>8695</v>
      </c>
      <c r="J512" s="540">
        <v>220769140</v>
      </c>
    </row>
    <row r="513" spans="1:10" ht="42.75">
      <c r="A513" s="322" t="s">
        <v>7916</v>
      </c>
      <c r="B513" s="964" t="s">
        <v>8701</v>
      </c>
      <c r="C513" s="69" t="s">
        <v>8031</v>
      </c>
      <c r="D513" s="69" t="s">
        <v>3201</v>
      </c>
      <c r="E513" s="69" t="s">
        <v>8696</v>
      </c>
      <c r="F513" s="69" t="s">
        <v>8702</v>
      </c>
      <c r="G513" s="491">
        <f t="shared" si="2"/>
        <v>135665004</v>
      </c>
      <c r="H513" s="69">
        <v>2</v>
      </c>
      <c r="I513" s="316" t="s">
        <v>8703</v>
      </c>
      <c r="J513" s="540">
        <v>226108340</v>
      </c>
    </row>
    <row r="514" spans="1:10" ht="42.75">
      <c r="A514" s="322" t="s">
        <v>7916</v>
      </c>
      <c r="B514" s="964" t="s">
        <v>8046</v>
      </c>
      <c r="C514" s="69" t="s">
        <v>8047</v>
      </c>
      <c r="D514" s="69" t="s">
        <v>8704</v>
      </c>
      <c r="E514" s="69" t="s">
        <v>8705</v>
      </c>
      <c r="F514" s="69" t="s">
        <v>5730</v>
      </c>
      <c r="G514" s="491">
        <f t="shared" si="2"/>
        <v>147830094</v>
      </c>
      <c r="H514" s="69">
        <v>2</v>
      </c>
      <c r="I514" s="316" t="s">
        <v>8706</v>
      </c>
      <c r="J514" s="540">
        <v>246383490</v>
      </c>
    </row>
    <row r="515" spans="1:10" ht="42.75">
      <c r="A515" s="322" t="s">
        <v>3882</v>
      </c>
      <c r="B515" s="964" t="s">
        <v>8707</v>
      </c>
      <c r="C515" s="69" t="s">
        <v>8061</v>
      </c>
      <c r="D515" s="69" t="s">
        <v>3201</v>
      </c>
      <c r="E515" s="69" t="s">
        <v>8696</v>
      </c>
      <c r="F515" s="69" t="s">
        <v>5730</v>
      </c>
      <c r="G515" s="491">
        <f t="shared" si="2"/>
        <v>128817984</v>
      </c>
      <c r="H515" s="69">
        <v>2</v>
      </c>
      <c r="I515" s="316" t="s">
        <v>8697</v>
      </c>
      <c r="J515" s="540">
        <v>214696640</v>
      </c>
    </row>
    <row r="516" spans="1:10" ht="57">
      <c r="A516" s="322" t="s">
        <v>7916</v>
      </c>
      <c r="B516" s="964" t="s">
        <v>8119</v>
      </c>
      <c r="C516" s="69" t="s">
        <v>8120</v>
      </c>
      <c r="D516" s="69" t="s">
        <v>8693</v>
      </c>
      <c r="E516" s="69" t="s">
        <v>8708</v>
      </c>
      <c r="F516" s="69" t="s">
        <v>5730</v>
      </c>
      <c r="G516" s="491">
        <f t="shared" si="2"/>
        <v>135665004</v>
      </c>
      <c r="H516" s="69">
        <v>2</v>
      </c>
      <c r="I516" s="316" t="s">
        <v>8703</v>
      </c>
      <c r="J516" s="540">
        <v>226108340</v>
      </c>
    </row>
    <row r="517" spans="1:10" ht="42.75">
      <c r="A517" s="322" t="s">
        <v>7916</v>
      </c>
      <c r="B517" s="964" t="s">
        <v>8119</v>
      </c>
      <c r="C517" s="69" t="s">
        <v>8120</v>
      </c>
      <c r="D517" s="69" t="s">
        <v>8693</v>
      </c>
      <c r="E517" s="69" t="s">
        <v>8709</v>
      </c>
      <c r="F517" s="69" t="s">
        <v>5730</v>
      </c>
      <c r="G517" s="491">
        <f t="shared" si="2"/>
        <v>132461484</v>
      </c>
      <c r="H517" s="69">
        <v>2</v>
      </c>
      <c r="I517" s="316" t="s">
        <v>8695</v>
      </c>
      <c r="J517" s="540">
        <v>220769140</v>
      </c>
    </row>
    <row r="518" spans="1:10" ht="56.25">
      <c r="A518" s="39" t="s">
        <v>83</v>
      </c>
      <c r="B518" s="52" t="s">
        <v>24734</v>
      </c>
      <c r="C518" s="25" t="s">
        <v>24735</v>
      </c>
      <c r="D518" s="367" t="s">
        <v>24734</v>
      </c>
      <c r="E518" s="367" t="s">
        <v>3143</v>
      </c>
      <c r="F518" s="367" t="s">
        <v>24736</v>
      </c>
      <c r="G518" s="535"/>
      <c r="H518" s="367" t="s">
        <v>31</v>
      </c>
      <c r="I518" s="25" t="s">
        <v>24737</v>
      </c>
      <c r="J518" s="980">
        <v>389760000</v>
      </c>
    </row>
    <row r="519" spans="1:10">
      <c r="A519" s="995"/>
      <c r="B519" s="312"/>
      <c r="C519" s="312"/>
      <c r="D519" s="312"/>
      <c r="E519" s="313"/>
      <c r="F519" s="314"/>
      <c r="G519" s="539"/>
      <c r="H519" s="312"/>
      <c r="I519" s="314"/>
      <c r="J519" s="996"/>
    </row>
    <row r="520" spans="1:10" ht="15.75">
      <c r="A520" s="1038" t="s">
        <v>6444</v>
      </c>
      <c r="B520" s="1039"/>
      <c r="C520" s="1039"/>
      <c r="D520" s="1039"/>
      <c r="E520" s="1039"/>
      <c r="F520" s="1039"/>
      <c r="G520" s="536">
        <f>SUM(G509:G519)</f>
        <v>1206642006</v>
      </c>
      <c r="H520" s="567"/>
      <c r="I520" s="567"/>
      <c r="J520" s="977">
        <f>SUM(J509:J519)</f>
        <v>2400830010</v>
      </c>
    </row>
    <row r="521" spans="1:10" ht="15.75">
      <c r="A521" s="1038" t="s">
        <v>8184</v>
      </c>
      <c r="B521" s="1039"/>
      <c r="C521" s="1039"/>
      <c r="D521" s="1039"/>
      <c r="E521" s="1039"/>
      <c r="F521" s="1039"/>
      <c r="G521" s="1039"/>
      <c r="H521" s="1039"/>
      <c r="I521" s="1039"/>
      <c r="J521" s="1040"/>
    </row>
    <row r="522" spans="1:10" ht="409.5">
      <c r="A522" s="315" t="s">
        <v>8203</v>
      </c>
      <c r="B522" s="965" t="s">
        <v>3179</v>
      </c>
      <c r="C522" s="316" t="s">
        <v>8710</v>
      </c>
      <c r="D522" s="316" t="s">
        <v>8711</v>
      </c>
      <c r="E522" s="316" t="s">
        <v>8712</v>
      </c>
      <c r="F522" s="316" t="s">
        <v>8713</v>
      </c>
      <c r="G522" s="491">
        <f>+J522</f>
        <v>98500000</v>
      </c>
      <c r="H522" s="316">
        <v>1</v>
      </c>
      <c r="I522" s="316" t="s">
        <v>8714</v>
      </c>
      <c r="J522" s="1000">
        <v>98500000</v>
      </c>
    </row>
    <row r="523" spans="1:10" ht="142.5">
      <c r="A523" s="315" t="s">
        <v>8203</v>
      </c>
      <c r="B523" s="965" t="s">
        <v>8715</v>
      </c>
      <c r="C523" s="316" t="s">
        <v>8201</v>
      </c>
      <c r="D523" s="316" t="s">
        <v>8716</v>
      </c>
      <c r="E523" s="316" t="s">
        <v>8717</v>
      </c>
      <c r="F523" s="316" t="s">
        <v>8718</v>
      </c>
      <c r="G523" s="491">
        <v>5000000</v>
      </c>
      <c r="H523" s="316">
        <v>1</v>
      </c>
      <c r="I523" s="316" t="s">
        <v>8719</v>
      </c>
      <c r="J523" s="1000">
        <v>95000000</v>
      </c>
    </row>
    <row r="524" spans="1:10" ht="409.5">
      <c r="A524" s="315" t="s">
        <v>8185</v>
      </c>
      <c r="B524" s="965" t="s">
        <v>8720</v>
      </c>
      <c r="C524" s="316" t="s">
        <v>8721</v>
      </c>
      <c r="D524" s="316" t="s">
        <v>8722</v>
      </c>
      <c r="E524" s="316" t="s">
        <v>8723</v>
      </c>
      <c r="F524" s="316" t="s">
        <v>8724</v>
      </c>
      <c r="G524" s="491">
        <f>+J524</f>
        <v>85500000</v>
      </c>
      <c r="H524" s="316">
        <v>1</v>
      </c>
      <c r="I524" s="316" t="s">
        <v>8725</v>
      </c>
      <c r="J524" s="1000">
        <v>85500000</v>
      </c>
    </row>
    <row r="525" spans="1:10" ht="327.75">
      <c r="A525" s="315" t="s">
        <v>8185</v>
      </c>
      <c r="B525" s="965" t="s">
        <v>8726</v>
      </c>
      <c r="C525" s="316" t="s">
        <v>8727</v>
      </c>
      <c r="D525" s="316" t="s">
        <v>8728</v>
      </c>
      <c r="E525" s="316" t="s">
        <v>8729</v>
      </c>
      <c r="F525" s="316" t="s">
        <v>8730</v>
      </c>
      <c r="G525" s="491">
        <v>0</v>
      </c>
      <c r="H525" s="316">
        <v>2</v>
      </c>
      <c r="I525" s="316" t="s">
        <v>8731</v>
      </c>
      <c r="J525" s="1000">
        <v>84500000</v>
      </c>
    </row>
    <row r="526" spans="1:10" ht="156.75">
      <c r="A526" s="315" t="s">
        <v>8185</v>
      </c>
      <c r="B526" s="965" t="s">
        <v>8732</v>
      </c>
      <c r="C526" s="316" t="s">
        <v>8733</v>
      </c>
      <c r="D526" s="316" t="s">
        <v>8734</v>
      </c>
      <c r="E526" s="316" t="s">
        <v>8735</v>
      </c>
      <c r="F526" s="316" t="s">
        <v>8736</v>
      </c>
      <c r="G526" s="885">
        <v>55500000</v>
      </c>
      <c r="H526" s="316">
        <v>2</v>
      </c>
      <c r="I526" s="316" t="s">
        <v>8737</v>
      </c>
      <c r="J526" s="1000">
        <v>55500000</v>
      </c>
    </row>
    <row r="527" spans="1:10" ht="327.75">
      <c r="A527" s="315" t="s">
        <v>8185</v>
      </c>
      <c r="B527" s="965" t="s">
        <v>8698</v>
      </c>
      <c r="C527" s="316" t="s">
        <v>8738</v>
      </c>
      <c r="D527" s="316" t="s">
        <v>8698</v>
      </c>
      <c r="E527" s="316" t="s">
        <v>8739</v>
      </c>
      <c r="F527" s="316" t="s">
        <v>8740</v>
      </c>
      <c r="G527" s="491">
        <v>0</v>
      </c>
      <c r="H527" s="316">
        <v>1</v>
      </c>
      <c r="I527" s="316" t="s">
        <v>8741</v>
      </c>
      <c r="J527" s="1000">
        <v>80000000</v>
      </c>
    </row>
    <row r="528" spans="1:10" ht="156.75">
      <c r="A528" s="315" t="s">
        <v>8185</v>
      </c>
      <c r="B528" s="965" t="s">
        <v>8742</v>
      </c>
      <c r="C528" s="316" t="s">
        <v>8743</v>
      </c>
      <c r="D528" s="316" t="s">
        <v>8744</v>
      </c>
      <c r="E528" s="316" t="s">
        <v>8745</v>
      </c>
      <c r="F528" s="316" t="s">
        <v>8746</v>
      </c>
      <c r="G528" s="885">
        <f>+J528</f>
        <v>94550000</v>
      </c>
      <c r="H528" s="316">
        <v>1</v>
      </c>
      <c r="I528" s="316" t="s">
        <v>8747</v>
      </c>
      <c r="J528" s="1000">
        <v>94550000</v>
      </c>
    </row>
    <row r="529" spans="1:10" ht="114">
      <c r="A529" s="315" t="s">
        <v>8185</v>
      </c>
      <c r="B529" s="965" t="s">
        <v>8748</v>
      </c>
      <c r="C529" s="316" t="s">
        <v>8738</v>
      </c>
      <c r="D529" s="316" t="s">
        <v>8749</v>
      </c>
      <c r="E529" s="316" t="s">
        <v>8750</v>
      </c>
      <c r="F529" s="316" t="s">
        <v>8751</v>
      </c>
      <c r="G529" s="491">
        <v>45000000</v>
      </c>
      <c r="H529" s="316">
        <v>2</v>
      </c>
      <c r="I529" s="316" t="s">
        <v>8752</v>
      </c>
      <c r="J529" s="540">
        <v>45000000</v>
      </c>
    </row>
    <row r="530" spans="1:10" ht="156.75">
      <c r="A530" s="315" t="s">
        <v>8185</v>
      </c>
      <c r="B530" s="965" t="s">
        <v>6006</v>
      </c>
      <c r="C530" s="316" t="s">
        <v>8753</v>
      </c>
      <c r="D530" s="316" t="s">
        <v>8754</v>
      </c>
      <c r="E530" s="316" t="s">
        <v>8755</v>
      </c>
      <c r="F530" s="316" t="s">
        <v>8756</v>
      </c>
      <c r="G530" s="885">
        <f>+J530</f>
        <v>95000000</v>
      </c>
      <c r="H530" s="316">
        <v>1</v>
      </c>
      <c r="I530" s="316" t="s">
        <v>8747</v>
      </c>
      <c r="J530" s="1000">
        <v>95000000</v>
      </c>
    </row>
    <row r="531" spans="1:10" ht="33.75">
      <c r="A531" s="39" t="s">
        <v>8203</v>
      </c>
      <c r="B531" s="52" t="s">
        <v>23885</v>
      </c>
      <c r="C531" s="25" t="s">
        <v>24755</v>
      </c>
      <c r="D531" s="367" t="s">
        <v>24756</v>
      </c>
      <c r="E531" s="367" t="s">
        <v>3143</v>
      </c>
      <c r="F531" s="367" t="s">
        <v>24757</v>
      </c>
      <c r="G531" s="535"/>
      <c r="H531" s="367">
        <v>1</v>
      </c>
      <c r="I531" s="25" t="s">
        <v>23888</v>
      </c>
      <c r="J531" s="980"/>
    </row>
    <row r="532" spans="1:10">
      <c r="A532" s="995"/>
      <c r="B532" s="312"/>
      <c r="C532" s="312"/>
      <c r="D532" s="312"/>
      <c r="E532" s="313"/>
      <c r="F532" s="314"/>
      <c r="G532" s="539"/>
      <c r="H532" s="312"/>
      <c r="I532" s="314"/>
      <c r="J532" s="996"/>
    </row>
    <row r="533" spans="1:10" ht="15.75">
      <c r="A533" s="1038" t="s">
        <v>6444</v>
      </c>
      <c r="B533" s="1039"/>
      <c r="C533" s="1039"/>
      <c r="D533" s="1039"/>
      <c r="E533" s="1039"/>
      <c r="F533" s="1039"/>
      <c r="G533" s="536">
        <f>SUM(G522:G532)</f>
        <v>479050000</v>
      </c>
      <c r="H533" s="567"/>
      <c r="I533" s="567"/>
      <c r="J533" s="977">
        <f>SUM(J522:J532)</f>
        <v>733550000</v>
      </c>
    </row>
    <row r="534" spans="1:10" ht="15.75">
      <c r="A534" s="1038" t="s">
        <v>8217</v>
      </c>
      <c r="B534" s="1039"/>
      <c r="C534" s="1039"/>
      <c r="D534" s="1039"/>
      <c r="E534" s="1039"/>
      <c r="F534" s="1039"/>
      <c r="G534" s="1039"/>
      <c r="H534" s="1039"/>
      <c r="I534" s="1039"/>
      <c r="J534" s="1040"/>
    </row>
    <row r="535" spans="1:10" ht="42.75">
      <c r="A535" s="322" t="s">
        <v>703</v>
      </c>
      <c r="B535" s="964" t="s">
        <v>8757</v>
      </c>
      <c r="C535" s="69" t="s">
        <v>8229</v>
      </c>
      <c r="D535" s="69" t="s">
        <v>8758</v>
      </c>
      <c r="E535" s="69" t="s">
        <v>8759</v>
      </c>
      <c r="F535" s="69" t="s">
        <v>8760</v>
      </c>
      <c r="G535" s="491">
        <v>15000000</v>
      </c>
      <c r="H535" s="69">
        <v>1</v>
      </c>
      <c r="I535" s="69" t="s">
        <v>8761</v>
      </c>
      <c r="J535" s="997">
        <v>200000000</v>
      </c>
    </row>
    <row r="536" spans="1:10">
      <c r="A536" s="995"/>
      <c r="B536" s="312"/>
      <c r="C536" s="312"/>
      <c r="D536" s="312"/>
      <c r="E536" s="313"/>
      <c r="F536" s="314"/>
      <c r="G536" s="539"/>
      <c r="H536" s="312"/>
      <c r="I536" s="314"/>
      <c r="J536" s="996"/>
    </row>
    <row r="537" spans="1:10" ht="15.75">
      <c r="A537" s="1038" t="s">
        <v>6444</v>
      </c>
      <c r="B537" s="1039"/>
      <c r="C537" s="1039"/>
      <c r="D537" s="1039"/>
      <c r="E537" s="1039"/>
      <c r="F537" s="1039"/>
      <c r="G537" s="536">
        <f>SUM(G535:G536)</f>
        <v>15000000</v>
      </c>
      <c r="H537" s="567"/>
      <c r="I537" s="567"/>
      <c r="J537" s="977">
        <f>SUM(J535:J536)</f>
        <v>200000000</v>
      </c>
    </row>
    <row r="538" spans="1:10" ht="15.75">
      <c r="A538" s="1038" t="s">
        <v>8258</v>
      </c>
      <c r="B538" s="1039"/>
      <c r="C538" s="1039"/>
      <c r="D538" s="1039"/>
      <c r="E538" s="1039"/>
      <c r="F538" s="1039"/>
      <c r="G538" s="1039"/>
      <c r="H538" s="1039"/>
      <c r="I538" s="1039"/>
      <c r="J538" s="1040"/>
    </row>
    <row r="539" spans="1:10" ht="57">
      <c r="A539" s="101" t="s">
        <v>701</v>
      </c>
      <c r="B539" s="264" t="s">
        <v>8762</v>
      </c>
      <c r="C539" s="264" t="s">
        <v>8763</v>
      </c>
      <c r="D539" s="264" t="s">
        <v>1647</v>
      </c>
      <c r="E539" s="264" t="s">
        <v>8764</v>
      </c>
      <c r="F539" s="264" t="s">
        <v>8765</v>
      </c>
      <c r="G539" s="491">
        <v>25000000</v>
      </c>
      <c r="H539" s="264" t="s">
        <v>31</v>
      </c>
      <c r="I539" s="264" t="s">
        <v>8766</v>
      </c>
      <c r="J539" s="997">
        <f t="shared" ref="J539:J540" si="3">G539</f>
        <v>25000000</v>
      </c>
    </row>
    <row r="540" spans="1:10" ht="57">
      <c r="A540" s="901" t="s">
        <v>701</v>
      </c>
      <c r="B540" s="323" t="s">
        <v>8767</v>
      </c>
      <c r="C540" s="264" t="s">
        <v>8763</v>
      </c>
      <c r="D540" s="264" t="s">
        <v>1647</v>
      </c>
      <c r="E540" s="264" t="s">
        <v>8768</v>
      </c>
      <c r="F540" s="264" t="s">
        <v>8769</v>
      </c>
      <c r="G540" s="491">
        <v>5000000</v>
      </c>
      <c r="H540" s="264" t="s">
        <v>31</v>
      </c>
      <c r="I540" s="264" t="s">
        <v>8770</v>
      </c>
      <c r="J540" s="997">
        <f t="shared" si="3"/>
        <v>5000000</v>
      </c>
    </row>
    <row r="541" spans="1:10" ht="42.75">
      <c r="A541" s="901" t="s">
        <v>701</v>
      </c>
      <c r="B541" s="323" t="s">
        <v>8771</v>
      </c>
      <c r="C541" s="264" t="s">
        <v>8772</v>
      </c>
      <c r="D541" s="264" t="s">
        <v>1647</v>
      </c>
      <c r="E541" s="264" t="s">
        <v>8773</v>
      </c>
      <c r="F541" s="264" t="s">
        <v>8774</v>
      </c>
      <c r="G541" s="491"/>
      <c r="H541" s="264" t="s">
        <v>31</v>
      </c>
      <c r="I541" s="264" t="s">
        <v>955</v>
      </c>
      <c r="J541" s="997"/>
    </row>
    <row r="542" spans="1:10">
      <c r="A542" s="995"/>
      <c r="B542" s="312"/>
      <c r="C542" s="312"/>
      <c r="D542" s="312"/>
      <c r="E542" s="313"/>
      <c r="F542" s="314"/>
      <c r="G542" s="539"/>
      <c r="H542" s="312"/>
      <c r="I542" s="314"/>
      <c r="J542" s="996"/>
    </row>
    <row r="543" spans="1:10" ht="15.75">
      <c r="A543" s="1038" t="s">
        <v>6444</v>
      </c>
      <c r="B543" s="1039"/>
      <c r="C543" s="1039"/>
      <c r="D543" s="1039"/>
      <c r="E543" s="1039"/>
      <c r="F543" s="1039"/>
      <c r="G543" s="536">
        <f>SUM(G539:G542)</f>
        <v>30000000</v>
      </c>
      <c r="H543" s="567"/>
      <c r="I543" s="567"/>
      <c r="J543" s="977">
        <f>SUM(J539:J542)</f>
        <v>30000000</v>
      </c>
    </row>
    <row r="544" spans="1:10" ht="15.75">
      <c r="A544" s="1038" t="s">
        <v>8259</v>
      </c>
      <c r="B544" s="1039"/>
      <c r="C544" s="1039"/>
      <c r="D544" s="1039"/>
      <c r="E544" s="1039"/>
      <c r="F544" s="1039"/>
      <c r="G544" s="1039"/>
      <c r="H544" s="1039"/>
      <c r="I544" s="1039"/>
      <c r="J544" s="1040"/>
    </row>
    <row r="545" spans="1:10" ht="85.5">
      <c r="A545" s="322" t="s">
        <v>8260</v>
      </c>
      <c r="B545" s="964" t="s">
        <v>8261</v>
      </c>
      <c r="C545" s="69" t="s">
        <v>8262</v>
      </c>
      <c r="D545" s="69" t="s">
        <v>8775</v>
      </c>
      <c r="E545" s="69" t="s">
        <v>8776</v>
      </c>
      <c r="F545" s="69" t="s">
        <v>8777</v>
      </c>
      <c r="G545" s="491">
        <v>2500000</v>
      </c>
      <c r="H545" s="69" t="s">
        <v>6350</v>
      </c>
      <c r="I545" s="316" t="s">
        <v>8778</v>
      </c>
      <c r="J545" s="545">
        <v>9000000</v>
      </c>
    </row>
    <row r="546" spans="1:10" ht="71.25">
      <c r="A546" s="322" t="s">
        <v>8260</v>
      </c>
      <c r="B546" s="964" t="s">
        <v>8261</v>
      </c>
      <c r="C546" s="69" t="s">
        <v>8265</v>
      </c>
      <c r="D546" s="69" t="s">
        <v>8326</v>
      </c>
      <c r="E546" s="316" t="s">
        <v>8779</v>
      </c>
      <c r="F546" s="316" t="s">
        <v>8780</v>
      </c>
      <c r="G546" s="491">
        <v>40000000</v>
      </c>
      <c r="H546" s="69" t="s">
        <v>2296</v>
      </c>
      <c r="I546" s="316" t="s">
        <v>8781</v>
      </c>
      <c r="J546" s="545">
        <v>25000000</v>
      </c>
    </row>
    <row r="547" spans="1:10">
      <c r="A547" s="995"/>
      <c r="B547" s="312"/>
      <c r="C547" s="312"/>
      <c r="D547" s="312"/>
      <c r="E547" s="313"/>
      <c r="F547" s="314"/>
      <c r="G547" s="539"/>
      <c r="H547" s="312"/>
      <c r="I547" s="314"/>
      <c r="J547" s="996"/>
    </row>
    <row r="548" spans="1:10" ht="15.75">
      <c r="A548" s="1038" t="s">
        <v>6444</v>
      </c>
      <c r="B548" s="1039"/>
      <c r="C548" s="1039"/>
      <c r="D548" s="1039"/>
      <c r="E548" s="1039"/>
      <c r="F548" s="1039"/>
      <c r="G548" s="536">
        <f>SUM(G545:G547)</f>
        <v>42500000</v>
      </c>
      <c r="H548" s="567"/>
      <c r="I548" s="567"/>
      <c r="J548" s="977">
        <f>SUM(J545:J547)</f>
        <v>34000000</v>
      </c>
    </row>
    <row r="549" spans="1:10" ht="15.75">
      <c r="A549" s="1038" t="s">
        <v>8281</v>
      </c>
      <c r="B549" s="1039"/>
      <c r="C549" s="1039"/>
      <c r="D549" s="1039"/>
      <c r="E549" s="1039"/>
      <c r="F549" s="1039"/>
      <c r="G549" s="1039"/>
      <c r="H549" s="1039"/>
      <c r="I549" s="1039"/>
      <c r="J549" s="1040"/>
    </row>
    <row r="550" spans="1:10" ht="28.5">
      <c r="A550" s="1001" t="s">
        <v>700</v>
      </c>
      <c r="B550" s="974" t="s">
        <v>8782</v>
      </c>
      <c r="C550" s="974" t="s">
        <v>8782</v>
      </c>
      <c r="D550" s="974" t="s">
        <v>8783</v>
      </c>
      <c r="E550" s="974" t="s">
        <v>8784</v>
      </c>
      <c r="F550" s="974" t="s">
        <v>8785</v>
      </c>
      <c r="G550" s="975">
        <v>40000000</v>
      </c>
      <c r="H550" s="974">
        <v>1</v>
      </c>
      <c r="I550" s="974" t="s">
        <v>8786</v>
      </c>
      <c r="J550" s="1002">
        <v>80000000</v>
      </c>
    </row>
    <row r="551" spans="1:10" ht="42.75">
      <c r="A551" s="1001" t="s">
        <v>700</v>
      </c>
      <c r="B551" s="976" t="s">
        <v>8787</v>
      </c>
      <c r="C551" s="976" t="s">
        <v>8787</v>
      </c>
      <c r="D551" s="974" t="s">
        <v>8783</v>
      </c>
      <c r="E551" s="976" t="s">
        <v>8788</v>
      </c>
      <c r="F551" s="976" t="s">
        <v>8789</v>
      </c>
      <c r="G551" s="975">
        <v>35000000</v>
      </c>
      <c r="H551" s="976">
        <v>2</v>
      </c>
      <c r="I551" s="976" t="s">
        <v>8786</v>
      </c>
      <c r="J551" s="1003">
        <v>60000000</v>
      </c>
    </row>
    <row r="552" spans="1:10" ht="28.5">
      <c r="A552" s="1001" t="s">
        <v>700</v>
      </c>
      <c r="B552" s="976" t="s">
        <v>8790</v>
      </c>
      <c r="C552" s="976" t="s">
        <v>8790</v>
      </c>
      <c r="D552" s="974" t="s">
        <v>8791</v>
      </c>
      <c r="E552" s="976" t="s">
        <v>8792</v>
      </c>
      <c r="F552" s="976" t="s">
        <v>8793</v>
      </c>
      <c r="G552" s="975">
        <v>20000000</v>
      </c>
      <c r="H552" s="976">
        <v>3</v>
      </c>
      <c r="I552" s="976" t="s">
        <v>8794</v>
      </c>
      <c r="J552" s="1003">
        <v>30000000</v>
      </c>
    </row>
    <row r="553" spans="1:10" ht="42.75">
      <c r="A553" s="1001" t="s">
        <v>700</v>
      </c>
      <c r="B553" s="976" t="s">
        <v>8795</v>
      </c>
      <c r="C553" s="976" t="s">
        <v>8796</v>
      </c>
      <c r="D553" s="974" t="s">
        <v>8791</v>
      </c>
      <c r="E553" s="976" t="s">
        <v>8792</v>
      </c>
      <c r="F553" s="976" t="s">
        <v>8797</v>
      </c>
      <c r="G553" s="975">
        <v>30000000</v>
      </c>
      <c r="H553" s="976">
        <v>4</v>
      </c>
      <c r="I553" s="976" t="s">
        <v>8794</v>
      </c>
      <c r="J553" s="1003">
        <v>50000000</v>
      </c>
    </row>
    <row r="554" spans="1:10" ht="28.5">
      <c r="A554" s="1001" t="s">
        <v>700</v>
      </c>
      <c r="B554" s="976" t="s">
        <v>8798</v>
      </c>
      <c r="C554" s="976" t="s">
        <v>8798</v>
      </c>
      <c r="D554" s="976" t="s">
        <v>8799</v>
      </c>
      <c r="E554" s="976" t="s">
        <v>8792</v>
      </c>
      <c r="F554" s="976" t="s">
        <v>8793</v>
      </c>
      <c r="G554" s="975">
        <v>20000000</v>
      </c>
      <c r="H554" s="976">
        <v>5</v>
      </c>
      <c r="I554" s="976" t="s">
        <v>8794</v>
      </c>
      <c r="J554" s="1003">
        <v>40000000</v>
      </c>
    </row>
    <row r="555" spans="1:10" ht="42.75">
      <c r="A555" s="1001" t="s">
        <v>700</v>
      </c>
      <c r="B555" s="974" t="s">
        <v>8800</v>
      </c>
      <c r="C555" s="974" t="s">
        <v>8800</v>
      </c>
      <c r="D555" s="974" t="s">
        <v>8801</v>
      </c>
      <c r="E555" s="976" t="s">
        <v>8792</v>
      </c>
      <c r="F555" s="976" t="s">
        <v>8797</v>
      </c>
      <c r="G555" s="975">
        <v>25000000</v>
      </c>
      <c r="H555" s="974">
        <v>6</v>
      </c>
      <c r="I555" s="974" t="s">
        <v>8794</v>
      </c>
      <c r="J555" s="1002">
        <v>50000000</v>
      </c>
    </row>
    <row r="556" spans="1:10">
      <c r="A556" s="995"/>
      <c r="B556" s="312"/>
      <c r="C556" s="312"/>
      <c r="D556" s="312"/>
      <c r="E556" s="313"/>
      <c r="F556" s="314"/>
      <c r="G556" s="539"/>
      <c r="H556" s="312"/>
      <c r="I556" s="314"/>
      <c r="J556" s="996"/>
    </row>
    <row r="557" spans="1:10" ht="15.75">
      <c r="A557" s="1038" t="s">
        <v>6444</v>
      </c>
      <c r="B557" s="1039"/>
      <c r="C557" s="1039"/>
      <c r="D557" s="1039"/>
      <c r="E557" s="1039"/>
      <c r="F557" s="1039"/>
      <c r="G557" s="536">
        <f>SUM(G550:G556)</f>
        <v>170000000</v>
      </c>
      <c r="H557" s="567"/>
      <c r="I557" s="567"/>
      <c r="J557" s="977">
        <f>SUM(J550:J556)</f>
        <v>310000000</v>
      </c>
    </row>
    <row r="558" spans="1:10" ht="15.75">
      <c r="A558" s="1038"/>
      <c r="B558" s="1039"/>
      <c r="C558" s="1039"/>
      <c r="D558" s="1039"/>
      <c r="E558" s="1039"/>
      <c r="F558" s="1039"/>
      <c r="G558" s="1039"/>
      <c r="H558" s="1039"/>
      <c r="I558" s="1039"/>
      <c r="J558" s="1040"/>
    </row>
    <row r="559" spans="1:10">
      <c r="A559" s="1004"/>
      <c r="B559" s="374"/>
      <c r="C559" s="374"/>
      <c r="D559" s="374"/>
      <c r="E559" s="374"/>
      <c r="F559" s="374"/>
      <c r="G559" s="551"/>
      <c r="H559" s="374"/>
      <c r="I559" s="374"/>
      <c r="J559" s="1005"/>
    </row>
    <row r="560" spans="1:10" ht="16.5" thickBot="1">
      <c r="A560" s="1051" t="s">
        <v>91</v>
      </c>
      <c r="B560" s="1052"/>
      <c r="C560" s="1052"/>
      <c r="D560" s="1052"/>
      <c r="E560" s="1052"/>
      <c r="F560" s="1052"/>
      <c r="G560" s="1006">
        <f>+G557+G548+G543+G537+G533+G520+G507+G501+G478+G453+G427+G416+G354+G348+G341+G328+G322+G317+G307+G304+G294+G287+G283+G271+G264+G255+G252+G240+G222+G217+G211+G206+G202+G198+G191+G187+G181+G174+G166+G163+G154+G151+G137+G111+G105+G98+G94+G91+G67+G56+G52+G49+G30+G24+G18</f>
        <v>15965952006</v>
      </c>
      <c r="H560" s="1007"/>
      <c r="I560" s="1007"/>
      <c r="J560" s="1008">
        <f>+J557+J548+J543+J537+J533+J520+J507+J501+J478+J453+J427+J416+J354+J348+J341+J328+J322+J317+J307+J304+J294+J287+J283+J271+J264+J255+J252+J240+J222+J217+J211+J206+J202+J198+J191+J187+J181+J174+J166+J163+J154+J151+J137+J111+J105+J98+J94+J91+J67+J56+J52+J49+J30+J24+J18</f>
        <v>59687942359.882729</v>
      </c>
    </row>
  </sheetData>
  <mergeCells count="120">
    <mergeCell ref="A521:J521"/>
    <mergeCell ref="A558:J558"/>
    <mergeCell ref="A560:F560"/>
    <mergeCell ref="A98:F98"/>
    <mergeCell ref="A105:F105"/>
    <mergeCell ref="A106:J106"/>
    <mergeCell ref="A111:F111"/>
    <mergeCell ref="A137:F137"/>
    <mergeCell ref="A151:F151"/>
    <mergeCell ref="A163:F163"/>
    <mergeCell ref="A166:F166"/>
    <mergeCell ref="A240:F240"/>
    <mergeCell ref="A252:F252"/>
    <mergeCell ref="A212:J212"/>
    <mergeCell ref="A223:J223"/>
    <mergeCell ref="A218:J218"/>
    <mergeCell ref="A241:J241"/>
    <mergeCell ref="A222:F222"/>
    <mergeCell ref="A202:F202"/>
    <mergeCell ref="A203:J203"/>
    <mergeCell ref="A206:F206"/>
    <mergeCell ref="A207:J207"/>
    <mergeCell ref="A211:F211"/>
    <mergeCell ref="A217:F217"/>
    <mergeCell ref="A174:F174"/>
    <mergeCell ref="A164:J164"/>
    <mergeCell ref="A155:J155"/>
    <mergeCell ref="A49:F49"/>
    <mergeCell ref="A50:J50"/>
    <mergeCell ref="A52:F52"/>
    <mergeCell ref="A56:F56"/>
    <mergeCell ref="A67:F67"/>
    <mergeCell ref="A91:F91"/>
    <mergeCell ref="A92:J92"/>
    <mergeCell ref="A94:F94"/>
    <mergeCell ref="A95:J95"/>
    <mergeCell ref="A1:J1"/>
    <mergeCell ref="A2:J2"/>
    <mergeCell ref="A3:J3"/>
    <mergeCell ref="A4:A5"/>
    <mergeCell ref="B4:D4"/>
    <mergeCell ref="E4:E5"/>
    <mergeCell ref="F4:G4"/>
    <mergeCell ref="H4:J4"/>
    <mergeCell ref="A256:J256"/>
    <mergeCell ref="A30:F30"/>
    <mergeCell ref="A25:J25"/>
    <mergeCell ref="A68:J68"/>
    <mergeCell ref="A138:J138"/>
    <mergeCell ref="A181:F181"/>
    <mergeCell ref="A182:J182"/>
    <mergeCell ref="A187:F187"/>
    <mergeCell ref="A188:J188"/>
    <mergeCell ref="A191:F191"/>
    <mergeCell ref="A192:J192"/>
    <mergeCell ref="A198:F198"/>
    <mergeCell ref="A19:J19"/>
    <mergeCell ref="A24:F24"/>
    <mergeCell ref="A31:J31"/>
    <mergeCell ref="A57:J57"/>
    <mergeCell ref="A6:J6"/>
    <mergeCell ref="A18:F18"/>
    <mergeCell ref="A53:J53"/>
    <mergeCell ref="A329:J329"/>
    <mergeCell ref="A323:J323"/>
    <mergeCell ref="A304:F304"/>
    <mergeCell ref="A328:F328"/>
    <mergeCell ref="A308:J308"/>
    <mergeCell ref="A317:F317"/>
    <mergeCell ref="A322:F322"/>
    <mergeCell ref="A318:J318"/>
    <mergeCell ref="A295:J295"/>
    <mergeCell ref="A265:J265"/>
    <mergeCell ref="A264:F264"/>
    <mergeCell ref="A271:F271"/>
    <mergeCell ref="A272:J272"/>
    <mergeCell ref="A284:J284"/>
    <mergeCell ref="A287:F287"/>
    <mergeCell ref="A199:J199"/>
    <mergeCell ref="A175:J175"/>
    <mergeCell ref="A112:J112"/>
    <mergeCell ref="A152:J152"/>
    <mergeCell ref="A154:F154"/>
    <mergeCell ref="A167:J167"/>
    <mergeCell ref="A253:J253"/>
    <mergeCell ref="A342:J342"/>
    <mergeCell ref="A348:F348"/>
    <mergeCell ref="A349:J349"/>
    <mergeCell ref="A354:F354"/>
    <mergeCell ref="A341:F341"/>
    <mergeCell ref="A294:F294"/>
    <mergeCell ref="A288:J288"/>
    <mergeCell ref="A283:F283"/>
    <mergeCell ref="A255:F255"/>
    <mergeCell ref="A305:J305"/>
    <mergeCell ref="A307:F307"/>
    <mergeCell ref="A549:J549"/>
    <mergeCell ref="A557:F557"/>
    <mergeCell ref="A99:J99"/>
    <mergeCell ref="A537:F537"/>
    <mergeCell ref="A538:J538"/>
    <mergeCell ref="A543:F543"/>
    <mergeCell ref="A544:J544"/>
    <mergeCell ref="A548:F548"/>
    <mergeCell ref="A508:J508"/>
    <mergeCell ref="A520:F520"/>
    <mergeCell ref="A533:F533"/>
    <mergeCell ref="A534:J534"/>
    <mergeCell ref="A502:J502"/>
    <mergeCell ref="A507:F507"/>
    <mergeCell ref="A453:F453"/>
    <mergeCell ref="A454:J454"/>
    <mergeCell ref="A478:F478"/>
    <mergeCell ref="A479:J479"/>
    <mergeCell ref="A501:F501"/>
    <mergeCell ref="A355:J355"/>
    <mergeCell ref="A416:F416"/>
    <mergeCell ref="A417:J417"/>
    <mergeCell ref="A427:F427"/>
    <mergeCell ref="A428:J428"/>
  </mergeCells>
  <dataValidations count="1">
    <dataValidation type="list" showInputMessage="1" showErrorMessage="1" errorTitle="Error de daño" error="El daño especificado no está en lista" promptTitle="DAÑO ESPECIFICO" prompt="Seleccione el tipo de daño o daño especifico" sqref="F491 F531 F351" xr:uid="{00000000-0002-0000-0200-000000000000}">
      <formula1>DAÑOS</formula1>
    </dataValidation>
  </dataValidations>
  <printOptions horizontalCentered="1" verticalCentered="1"/>
  <pageMargins left="0.23622047244094491" right="0.23622047244094491" top="0.74803149606299213" bottom="0.74803149606299213" header="0.31496062992125984" footer="0.31496062992125984"/>
  <pageSetup scale="55" fitToHeight="0" orientation="landscape" r:id="rId1"/>
  <headerFooter>
    <oddFooter>&amp;C&amp;P DE &amp;N</oddFooter>
  </headerFooter>
  <colBreaks count="1" manualBreakCount="1">
    <brk id="1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K421"/>
  <sheetViews>
    <sheetView view="pageBreakPreview" topLeftCell="A413" zoomScale="75" zoomScaleNormal="75" zoomScaleSheetLayoutView="75" workbookViewId="0">
      <selection activeCell="K422" sqref="K422"/>
    </sheetView>
  </sheetViews>
  <sheetFormatPr baseColWidth="10" defaultColWidth="11.42578125" defaultRowHeight="15"/>
  <cols>
    <col min="1" max="1" width="13.42578125" style="4" customWidth="1"/>
    <col min="2" max="2" width="13.28515625" style="11" customWidth="1"/>
    <col min="3" max="3" width="14.5703125" style="11" customWidth="1"/>
    <col min="4" max="4" width="20.42578125" style="11" customWidth="1"/>
    <col min="5" max="5" width="13.28515625" style="11" customWidth="1"/>
    <col min="6" max="6" width="23.42578125" style="11" customWidth="1"/>
    <col min="7" max="7" width="18.7109375" style="11" customWidth="1"/>
    <col min="8" max="8" width="25.85546875" style="431" customWidth="1"/>
    <col min="9" max="9" width="13.28515625" style="11" customWidth="1"/>
    <col min="10" max="10" width="19.42578125" style="11" customWidth="1"/>
    <col min="11" max="11" width="27.28515625" style="431" customWidth="1"/>
    <col min="12" max="16384" width="11.42578125" style="11"/>
  </cols>
  <sheetData>
    <row r="1" spans="1:11" ht="15.75" customHeight="1">
      <c r="A1" s="1044" t="s">
        <v>0</v>
      </c>
      <c r="B1" s="1045"/>
      <c r="C1" s="1045"/>
      <c r="D1" s="1045"/>
      <c r="E1" s="1045"/>
      <c r="F1" s="1045"/>
      <c r="G1" s="1045"/>
      <c r="H1" s="1045"/>
      <c r="I1" s="1045"/>
      <c r="J1" s="1045"/>
      <c r="K1" s="1045"/>
    </row>
    <row r="2" spans="1:11" ht="15.75" customHeight="1">
      <c r="A2" s="1044" t="s">
        <v>116</v>
      </c>
      <c r="B2" s="1045"/>
      <c r="C2" s="1045"/>
      <c r="D2" s="1045"/>
      <c r="E2" s="1045"/>
      <c r="F2" s="1045"/>
      <c r="G2" s="1045"/>
      <c r="H2" s="1045"/>
      <c r="I2" s="1045"/>
      <c r="J2" s="1045"/>
      <c r="K2" s="1045"/>
    </row>
    <row r="3" spans="1:11" ht="15.75" customHeight="1" thickBot="1">
      <c r="A3" s="1044" t="s">
        <v>33</v>
      </c>
      <c r="B3" s="1045"/>
      <c r="C3" s="1045"/>
      <c r="D3" s="1045"/>
      <c r="E3" s="1045"/>
      <c r="F3" s="1045"/>
      <c r="G3" s="1045"/>
      <c r="H3" s="1045"/>
      <c r="I3" s="1045"/>
      <c r="J3" s="1045"/>
      <c r="K3" s="1045"/>
    </row>
    <row r="4" spans="1:11" ht="18.75" customHeight="1">
      <c r="A4" s="1046" t="s">
        <v>1</v>
      </c>
      <c r="B4" s="1048" t="s">
        <v>2</v>
      </c>
      <c r="C4" s="1048"/>
      <c r="D4" s="1048"/>
      <c r="E4" s="1048" t="s">
        <v>34</v>
      </c>
      <c r="F4" s="1048" t="s">
        <v>35</v>
      </c>
      <c r="G4" s="1048" t="s">
        <v>22</v>
      </c>
      <c r="H4" s="1048"/>
      <c r="I4" s="1048" t="s">
        <v>7</v>
      </c>
      <c r="J4" s="1048"/>
      <c r="K4" s="1050"/>
    </row>
    <row r="5" spans="1:11" ht="48" thickBot="1">
      <c r="A5" s="1047"/>
      <c r="B5" s="835" t="s">
        <v>3</v>
      </c>
      <c r="C5" s="835" t="s">
        <v>36</v>
      </c>
      <c r="D5" s="835" t="s">
        <v>37</v>
      </c>
      <c r="E5" s="1049"/>
      <c r="F5" s="1049"/>
      <c r="G5" s="835" t="s">
        <v>25</v>
      </c>
      <c r="H5" s="887" t="s">
        <v>26</v>
      </c>
      <c r="I5" s="835" t="s">
        <v>27</v>
      </c>
      <c r="J5" s="835" t="s">
        <v>28</v>
      </c>
      <c r="K5" s="888" t="s">
        <v>14</v>
      </c>
    </row>
    <row r="6" spans="1:11" ht="15.75">
      <c r="A6" s="1058" t="s">
        <v>1920</v>
      </c>
      <c r="B6" s="1059"/>
      <c r="C6" s="1059"/>
      <c r="D6" s="1059"/>
      <c r="E6" s="1059"/>
      <c r="F6" s="1059"/>
      <c r="G6" s="1059"/>
      <c r="H6" s="1059"/>
      <c r="I6" s="1059"/>
      <c r="J6" s="1059"/>
      <c r="K6" s="1060"/>
    </row>
    <row r="7" spans="1:11" ht="102">
      <c r="A7" s="22" t="s">
        <v>2924</v>
      </c>
      <c r="B7" s="26" t="s">
        <v>2924</v>
      </c>
      <c r="C7" s="26" t="s">
        <v>2925</v>
      </c>
      <c r="D7" s="26" t="s">
        <v>2926</v>
      </c>
      <c r="E7" s="26" t="s">
        <v>2927</v>
      </c>
      <c r="F7" s="26" t="s">
        <v>2928</v>
      </c>
      <c r="G7" s="611" t="s">
        <v>2929</v>
      </c>
      <c r="H7" s="527">
        <v>50000000</v>
      </c>
      <c r="I7" s="26">
        <v>1</v>
      </c>
      <c r="J7" s="26" t="s">
        <v>2930</v>
      </c>
      <c r="K7" s="532">
        <v>1200000000</v>
      </c>
    </row>
    <row r="8" spans="1:11" ht="51">
      <c r="A8" s="22" t="s">
        <v>2931</v>
      </c>
      <c r="B8" s="26" t="s">
        <v>2932</v>
      </c>
      <c r="C8" s="26" t="s">
        <v>2933</v>
      </c>
      <c r="D8" s="26" t="s">
        <v>2179</v>
      </c>
      <c r="E8" s="26" t="s">
        <v>2934</v>
      </c>
      <c r="F8" s="26" t="s">
        <v>2935</v>
      </c>
      <c r="G8" s="26" t="s">
        <v>2936</v>
      </c>
      <c r="H8" s="527">
        <v>50000000</v>
      </c>
      <c r="I8" s="26">
        <v>1</v>
      </c>
      <c r="J8" s="26" t="s">
        <v>2937</v>
      </c>
      <c r="K8" s="532">
        <v>300000000</v>
      </c>
    </row>
    <row r="9" spans="1:11" ht="51">
      <c r="A9" s="22" t="s">
        <v>2931</v>
      </c>
      <c r="B9" s="26" t="s">
        <v>2938</v>
      </c>
      <c r="C9" s="26" t="s">
        <v>2933</v>
      </c>
      <c r="D9" s="26" t="s">
        <v>2179</v>
      </c>
      <c r="E9" s="26">
        <v>350</v>
      </c>
      <c r="F9" s="26" t="s">
        <v>2935</v>
      </c>
      <c r="G9" s="26" t="s">
        <v>2936</v>
      </c>
      <c r="H9" s="527">
        <v>50000000</v>
      </c>
      <c r="I9" s="26">
        <v>3</v>
      </c>
      <c r="J9" s="26" t="s">
        <v>2937</v>
      </c>
      <c r="K9" s="532">
        <v>200000000</v>
      </c>
    </row>
    <row r="10" spans="1:11" ht="63.75">
      <c r="A10" s="22" t="s">
        <v>2924</v>
      </c>
      <c r="B10" s="26" t="s">
        <v>2939</v>
      </c>
      <c r="C10" s="26" t="s">
        <v>2940</v>
      </c>
      <c r="D10" s="26" t="s">
        <v>2179</v>
      </c>
      <c r="E10" s="26">
        <v>270</v>
      </c>
      <c r="F10" s="26" t="s">
        <v>2941</v>
      </c>
      <c r="G10" s="26" t="s">
        <v>2942</v>
      </c>
      <c r="H10" s="527">
        <v>50000000</v>
      </c>
      <c r="I10" s="26">
        <v>1</v>
      </c>
      <c r="J10" s="26" t="s">
        <v>2943</v>
      </c>
      <c r="K10" s="532">
        <v>284000000</v>
      </c>
    </row>
    <row r="11" spans="1:11" ht="51">
      <c r="A11" s="950" t="s">
        <v>2944</v>
      </c>
      <c r="B11" s="89" t="s">
        <v>2945</v>
      </c>
      <c r="C11" s="89" t="s">
        <v>2946</v>
      </c>
      <c r="D11" s="26" t="s">
        <v>2947</v>
      </c>
      <c r="E11" s="89" t="s">
        <v>2948</v>
      </c>
      <c r="F11" s="89" t="s">
        <v>2949</v>
      </c>
      <c r="G11" s="26" t="s">
        <v>2950</v>
      </c>
      <c r="H11" s="524">
        <v>50000000</v>
      </c>
      <c r="I11" s="90">
        <v>3</v>
      </c>
      <c r="J11" s="26" t="s">
        <v>2951</v>
      </c>
      <c r="K11" s="532">
        <v>100000000</v>
      </c>
    </row>
    <row r="12" spans="1:11" customFormat="1">
      <c r="A12" s="1053" t="s">
        <v>189</v>
      </c>
      <c r="B12" s="1054"/>
      <c r="C12" s="1054"/>
      <c r="D12" s="1054"/>
      <c r="E12" s="1054"/>
      <c r="F12" s="521"/>
      <c r="G12" s="570"/>
      <c r="H12" s="521">
        <f>SUM(H7:H11)</f>
        <v>250000000</v>
      </c>
      <c r="I12" s="521"/>
      <c r="J12" s="523"/>
      <c r="K12" s="852">
        <f>SUM(K7:K11)</f>
        <v>2084000000</v>
      </c>
    </row>
    <row r="13" spans="1:11">
      <c r="A13" s="1053" t="s">
        <v>1787</v>
      </c>
      <c r="B13" s="1054"/>
      <c r="C13" s="1054"/>
      <c r="D13" s="1054"/>
      <c r="E13" s="1054"/>
      <c r="F13" s="1054"/>
      <c r="G13" s="1054"/>
      <c r="H13" s="1054"/>
      <c r="I13" s="1054"/>
      <c r="J13" s="1054"/>
      <c r="K13" s="1055"/>
    </row>
    <row r="14" spans="1:11" ht="22.5">
      <c r="A14" s="22" t="s">
        <v>1922</v>
      </c>
      <c r="B14" s="26" t="s">
        <v>1938</v>
      </c>
      <c r="C14" s="569" t="s">
        <v>1939</v>
      </c>
      <c r="D14" s="569" t="s">
        <v>1940</v>
      </c>
      <c r="E14" s="569">
        <v>1</v>
      </c>
      <c r="F14" s="569" t="s">
        <v>1941</v>
      </c>
      <c r="G14" s="569" t="s">
        <v>1942</v>
      </c>
      <c r="H14" s="73">
        <v>15000000</v>
      </c>
      <c r="I14" s="569">
        <v>1</v>
      </c>
      <c r="J14" s="569" t="s">
        <v>1943</v>
      </c>
      <c r="K14" s="531">
        <v>47510154.041179247</v>
      </c>
    </row>
    <row r="15" spans="1:11" ht="22.5">
      <c r="A15" s="22" t="s">
        <v>1922</v>
      </c>
      <c r="B15" s="26" t="s">
        <v>1944</v>
      </c>
      <c r="C15" s="569" t="s">
        <v>1822</v>
      </c>
      <c r="D15" s="569" t="s">
        <v>1940</v>
      </c>
      <c r="E15" s="569">
        <v>1</v>
      </c>
      <c r="F15" s="569" t="s">
        <v>1945</v>
      </c>
      <c r="G15" s="569" t="s">
        <v>1946</v>
      </c>
      <c r="H15" s="73">
        <v>10000000</v>
      </c>
      <c r="I15" s="569">
        <v>2</v>
      </c>
      <c r="J15" s="569" t="s">
        <v>1943</v>
      </c>
      <c r="K15" s="531">
        <v>79183590.068632081</v>
      </c>
    </row>
    <row r="16" spans="1:11" ht="22.5">
      <c r="A16" s="22" t="s">
        <v>1922</v>
      </c>
      <c r="B16" s="26" t="s">
        <v>1885</v>
      </c>
      <c r="C16" s="569" t="s">
        <v>1814</v>
      </c>
      <c r="D16" s="569" t="s">
        <v>1947</v>
      </c>
      <c r="E16" s="569">
        <v>1</v>
      </c>
      <c r="F16" s="569" t="s">
        <v>1945</v>
      </c>
      <c r="G16" s="569" t="s">
        <v>1948</v>
      </c>
      <c r="H16" s="73">
        <v>20000000</v>
      </c>
      <c r="I16" s="569">
        <v>2</v>
      </c>
      <c r="J16" s="569" t="s">
        <v>1943</v>
      </c>
      <c r="K16" s="531">
        <v>79183590.068632081</v>
      </c>
    </row>
    <row r="17" spans="1:11" ht="33.75">
      <c r="A17" s="22" t="s">
        <v>1922</v>
      </c>
      <c r="B17" s="26" t="s">
        <v>1949</v>
      </c>
      <c r="C17" s="569" t="s">
        <v>1823</v>
      </c>
      <c r="D17" s="569" t="s">
        <v>1947</v>
      </c>
      <c r="E17" s="569">
        <v>1</v>
      </c>
      <c r="F17" s="569" t="s">
        <v>1320</v>
      </c>
      <c r="G17" s="569" t="s">
        <v>1950</v>
      </c>
      <c r="H17" s="73">
        <v>1500000</v>
      </c>
      <c r="I17" s="25">
        <v>1</v>
      </c>
      <c r="J17" s="569" t="s">
        <v>1951</v>
      </c>
      <c r="K17" s="531">
        <v>47510154.041179247</v>
      </c>
    </row>
    <row r="18" spans="1:11" ht="33.75">
      <c r="A18" s="22" t="s">
        <v>1894</v>
      </c>
      <c r="B18" s="26" t="s">
        <v>1908</v>
      </c>
      <c r="C18" s="569" t="s">
        <v>1909</v>
      </c>
      <c r="D18" s="569" t="s">
        <v>1952</v>
      </c>
      <c r="E18" s="569">
        <v>1</v>
      </c>
      <c r="F18" s="569" t="s">
        <v>1953</v>
      </c>
      <c r="G18" s="569" t="s">
        <v>1954</v>
      </c>
      <c r="H18" s="528">
        <v>40000000</v>
      </c>
      <c r="I18" s="25">
        <v>2</v>
      </c>
      <c r="J18" s="569" t="s">
        <v>1951</v>
      </c>
      <c r="K18" s="533">
        <v>110857026.09608491</v>
      </c>
    </row>
    <row r="19" spans="1:11" ht="22.5">
      <c r="A19" s="22" t="s">
        <v>1922</v>
      </c>
      <c r="B19" s="26" t="s">
        <v>1806</v>
      </c>
      <c r="C19" s="569" t="s">
        <v>1955</v>
      </c>
      <c r="D19" s="569" t="s">
        <v>1956</v>
      </c>
      <c r="E19" s="569">
        <v>3</v>
      </c>
      <c r="F19" s="569" t="s">
        <v>1953</v>
      </c>
      <c r="G19" s="569" t="s">
        <v>1957</v>
      </c>
      <c r="H19" s="528">
        <v>15000000</v>
      </c>
      <c r="I19" s="25">
        <v>1</v>
      </c>
      <c r="J19" s="569" t="s">
        <v>1943</v>
      </c>
      <c r="K19" s="533">
        <v>39279240</v>
      </c>
    </row>
    <row r="20" spans="1:11">
      <c r="A20" s="22" t="s">
        <v>1922</v>
      </c>
      <c r="B20" s="26" t="s">
        <v>1127</v>
      </c>
      <c r="C20" s="569" t="s">
        <v>1888</v>
      </c>
      <c r="D20" s="569" t="s">
        <v>1956</v>
      </c>
      <c r="E20" s="569">
        <v>1</v>
      </c>
      <c r="F20" s="569" t="s">
        <v>1953</v>
      </c>
      <c r="G20" s="569" t="s">
        <v>1958</v>
      </c>
      <c r="H20" s="528">
        <v>2000000</v>
      </c>
      <c r="I20" s="25">
        <v>2</v>
      </c>
      <c r="J20" s="569" t="s">
        <v>1959</v>
      </c>
      <c r="K20" s="533">
        <v>3815000</v>
      </c>
    </row>
    <row r="21" spans="1:11">
      <c r="A21" s="22" t="s">
        <v>1922</v>
      </c>
      <c r="B21" s="26" t="s">
        <v>1824</v>
      </c>
      <c r="C21" s="569" t="s">
        <v>1825</v>
      </c>
      <c r="D21" s="569" t="s">
        <v>1956</v>
      </c>
      <c r="E21" s="569">
        <v>1</v>
      </c>
      <c r="F21" s="569" t="s">
        <v>1953</v>
      </c>
      <c r="G21" s="569" t="s">
        <v>1958</v>
      </c>
      <c r="H21" s="528">
        <v>3000000</v>
      </c>
      <c r="I21" s="25">
        <v>2</v>
      </c>
      <c r="J21" s="569" t="s">
        <v>1959</v>
      </c>
      <c r="K21" s="533">
        <v>7450000</v>
      </c>
    </row>
    <row r="22" spans="1:11" ht="25.5">
      <c r="A22" s="22" t="s">
        <v>1800</v>
      </c>
      <c r="B22" s="26" t="s">
        <v>1960</v>
      </c>
      <c r="C22" s="569" t="s">
        <v>1961</v>
      </c>
      <c r="D22" s="569" t="s">
        <v>1962</v>
      </c>
      <c r="E22" s="569">
        <v>1</v>
      </c>
      <c r="F22" s="569" t="s">
        <v>1963</v>
      </c>
      <c r="G22" s="569" t="s">
        <v>1958</v>
      </c>
      <c r="H22" s="528">
        <v>2000000</v>
      </c>
      <c r="I22" s="25">
        <v>2</v>
      </c>
      <c r="J22" s="569" t="s">
        <v>1943</v>
      </c>
      <c r="K22" s="533">
        <v>8175000</v>
      </c>
    </row>
    <row r="23" spans="1:11" ht="25.5">
      <c r="A23" s="22" t="s">
        <v>1800</v>
      </c>
      <c r="B23" s="26" t="s">
        <v>1960</v>
      </c>
      <c r="C23" s="569" t="s">
        <v>1961</v>
      </c>
      <c r="D23" s="569" t="s">
        <v>1964</v>
      </c>
      <c r="E23" s="569">
        <v>1</v>
      </c>
      <c r="F23" s="569" t="s">
        <v>1963</v>
      </c>
      <c r="G23" s="569" t="s">
        <v>1958</v>
      </c>
      <c r="H23" s="528">
        <v>2000000</v>
      </c>
      <c r="I23" s="25">
        <v>2</v>
      </c>
      <c r="J23" s="569" t="s">
        <v>1959</v>
      </c>
      <c r="K23" s="533">
        <v>15260000</v>
      </c>
    </row>
    <row r="24" spans="1:11" ht="25.5">
      <c r="A24" s="22" t="s">
        <v>1800</v>
      </c>
      <c r="B24" s="26" t="s">
        <v>1960</v>
      </c>
      <c r="C24" s="569" t="s">
        <v>1961</v>
      </c>
      <c r="D24" s="569" t="s">
        <v>1956</v>
      </c>
      <c r="E24" s="569">
        <v>1</v>
      </c>
      <c r="F24" s="569" t="s">
        <v>1963</v>
      </c>
      <c r="G24" s="569" t="s">
        <v>1958</v>
      </c>
      <c r="H24" s="528">
        <v>2000000</v>
      </c>
      <c r="I24" s="25">
        <v>2</v>
      </c>
      <c r="J24" s="569" t="s">
        <v>1943</v>
      </c>
      <c r="K24" s="533">
        <v>8175000</v>
      </c>
    </row>
    <row r="25" spans="1:11">
      <c r="A25" s="1053" t="s">
        <v>189</v>
      </c>
      <c r="B25" s="1054"/>
      <c r="C25" s="1054"/>
      <c r="D25" s="1054"/>
      <c r="E25" s="1054"/>
      <c r="F25" s="521"/>
      <c r="G25" s="570"/>
      <c r="H25" s="521">
        <f>SUM(H14:H24)</f>
        <v>112500000</v>
      </c>
      <c r="I25" s="521"/>
      <c r="J25" s="523"/>
      <c r="K25" s="852">
        <f>SUM(K14:K24)</f>
        <v>446398754.31570756</v>
      </c>
    </row>
    <row r="26" spans="1:11">
      <c r="A26" s="1053" t="s">
        <v>1968</v>
      </c>
      <c r="B26" s="1054"/>
      <c r="C26" s="1054"/>
      <c r="D26" s="1054"/>
      <c r="E26" s="1054"/>
      <c r="F26" s="1054"/>
      <c r="G26" s="1054"/>
      <c r="H26" s="1054"/>
      <c r="I26" s="1054"/>
      <c r="J26" s="1054"/>
      <c r="K26" s="1055"/>
    </row>
    <row r="27" spans="1:11" ht="76.5">
      <c r="A27" s="65" t="s">
        <v>2005</v>
      </c>
      <c r="B27" s="21" t="s">
        <v>2118</v>
      </c>
      <c r="C27" s="21" t="s">
        <v>2150</v>
      </c>
      <c r="D27" s="21" t="s">
        <v>2151</v>
      </c>
      <c r="E27" s="21">
        <v>1</v>
      </c>
      <c r="F27" s="21" t="s">
        <v>2152</v>
      </c>
      <c r="G27" s="21" t="s">
        <v>2153</v>
      </c>
      <c r="H27" s="386">
        <v>8500000</v>
      </c>
      <c r="I27" s="21">
        <v>1</v>
      </c>
      <c r="J27" s="21" t="s">
        <v>2154</v>
      </c>
      <c r="K27" s="534">
        <v>35000000</v>
      </c>
    </row>
    <row r="28" spans="1:11" ht="76.5">
      <c r="A28" s="65" t="s">
        <v>1969</v>
      </c>
      <c r="B28" s="21" t="s">
        <v>1982</v>
      </c>
      <c r="C28" s="21" t="s">
        <v>1983</v>
      </c>
      <c r="D28" s="21" t="s">
        <v>201</v>
      </c>
      <c r="E28" s="21">
        <v>1</v>
      </c>
      <c r="F28" s="21" t="s">
        <v>2155</v>
      </c>
      <c r="G28" s="21" t="s">
        <v>2156</v>
      </c>
      <c r="H28" s="386">
        <v>10000000</v>
      </c>
      <c r="I28" s="21">
        <v>1</v>
      </c>
      <c r="J28" s="21" t="s">
        <v>2154</v>
      </c>
      <c r="K28" s="534">
        <v>35000000</v>
      </c>
    </row>
    <row r="29" spans="1:11" ht="89.25">
      <c r="A29" s="65" t="s">
        <v>1969</v>
      </c>
      <c r="B29" s="21" t="s">
        <v>1970</v>
      </c>
      <c r="C29" s="21" t="s">
        <v>1971</v>
      </c>
      <c r="D29" s="21" t="s">
        <v>201</v>
      </c>
      <c r="E29" s="21">
        <v>2</v>
      </c>
      <c r="F29" s="21" t="s">
        <v>2157</v>
      </c>
      <c r="G29" s="21" t="s">
        <v>1972</v>
      </c>
      <c r="H29" s="386">
        <v>40000000</v>
      </c>
      <c r="I29" s="21">
        <v>1</v>
      </c>
      <c r="J29" s="21" t="s">
        <v>2158</v>
      </c>
      <c r="K29" s="534">
        <v>120000000</v>
      </c>
    </row>
    <row r="30" spans="1:11" ht="114.75">
      <c r="A30" s="65" t="s">
        <v>1969</v>
      </c>
      <c r="B30" s="21" t="s">
        <v>2159</v>
      </c>
      <c r="C30" s="21" t="s">
        <v>2160</v>
      </c>
      <c r="D30" s="21" t="s">
        <v>2161</v>
      </c>
      <c r="E30" s="21">
        <v>1</v>
      </c>
      <c r="F30" s="21" t="s">
        <v>2162</v>
      </c>
      <c r="G30" s="21" t="s">
        <v>2163</v>
      </c>
      <c r="H30" s="386">
        <v>15000000</v>
      </c>
      <c r="I30" s="21">
        <v>1</v>
      </c>
      <c r="J30" s="21" t="s">
        <v>2164</v>
      </c>
      <c r="K30" s="534">
        <v>35000000</v>
      </c>
    </row>
    <row r="31" spans="1:11" ht="63.75">
      <c r="A31" s="65" t="s">
        <v>1969</v>
      </c>
      <c r="B31" s="21" t="s">
        <v>2159</v>
      </c>
      <c r="C31" s="21" t="s">
        <v>2165</v>
      </c>
      <c r="D31" s="21" t="s">
        <v>2161</v>
      </c>
      <c r="E31" s="21">
        <v>1</v>
      </c>
      <c r="F31" s="21" t="s">
        <v>2166</v>
      </c>
      <c r="G31" s="21" t="s">
        <v>2167</v>
      </c>
      <c r="H31" s="386">
        <v>15000000</v>
      </c>
      <c r="I31" s="21">
        <v>1</v>
      </c>
      <c r="J31" s="21" t="s">
        <v>2168</v>
      </c>
      <c r="K31" s="534">
        <v>35000000</v>
      </c>
    </row>
    <row r="32" spans="1:11" ht="89.25">
      <c r="A32" s="65" t="s">
        <v>1969</v>
      </c>
      <c r="B32" s="21" t="s">
        <v>1982</v>
      </c>
      <c r="C32" s="21" t="s">
        <v>1983</v>
      </c>
      <c r="D32" s="21" t="s">
        <v>2169</v>
      </c>
      <c r="E32" s="21">
        <v>1</v>
      </c>
      <c r="F32" s="21" t="s">
        <v>2170</v>
      </c>
      <c r="G32" s="21" t="s">
        <v>2171</v>
      </c>
      <c r="H32" s="386">
        <v>10000000</v>
      </c>
      <c r="I32" s="21">
        <v>1</v>
      </c>
      <c r="J32" s="21" t="s">
        <v>2172</v>
      </c>
      <c r="K32" s="534">
        <v>35000000</v>
      </c>
    </row>
    <row r="33" spans="1:11" ht="38.25">
      <c r="A33" s="65" t="str">
        <f>+A32</f>
        <v>Aserrí</v>
      </c>
      <c r="B33" s="21" t="s">
        <v>1978</v>
      </c>
      <c r="C33" s="21" t="s">
        <v>1979</v>
      </c>
      <c r="D33" s="21" t="s">
        <v>2085</v>
      </c>
      <c r="E33" s="21">
        <v>1</v>
      </c>
      <c r="F33" s="21" t="s">
        <v>2173</v>
      </c>
      <c r="G33" s="21" t="s">
        <v>2174</v>
      </c>
      <c r="H33" s="386">
        <v>12000000</v>
      </c>
      <c r="I33" s="21">
        <v>1</v>
      </c>
      <c r="J33" s="21" t="s">
        <v>2175</v>
      </c>
      <c r="K33" s="534">
        <v>15000000</v>
      </c>
    </row>
    <row r="34" spans="1:11" ht="51">
      <c r="A34" s="65" t="s">
        <v>1969</v>
      </c>
      <c r="B34" s="21" t="s">
        <v>1982</v>
      </c>
      <c r="C34" s="21" t="s">
        <v>1983</v>
      </c>
      <c r="D34" s="21" t="s">
        <v>201</v>
      </c>
      <c r="E34" s="21">
        <v>2</v>
      </c>
      <c r="F34" s="21" t="s">
        <v>2176</v>
      </c>
      <c r="G34" s="21" t="s">
        <v>2177</v>
      </c>
      <c r="H34" s="386">
        <v>10000000</v>
      </c>
      <c r="I34" s="21">
        <v>1</v>
      </c>
      <c r="J34" s="21" t="s">
        <v>2172</v>
      </c>
      <c r="K34" s="534">
        <v>60000000</v>
      </c>
    </row>
    <row r="35" spans="1:11" ht="51">
      <c r="A35" s="65" t="s">
        <v>2020</v>
      </c>
      <c r="B35" s="21" t="s">
        <v>1982</v>
      </c>
      <c r="C35" s="21" t="s">
        <v>2178</v>
      </c>
      <c r="D35" s="21" t="s">
        <v>2179</v>
      </c>
      <c r="E35" s="21">
        <v>1</v>
      </c>
      <c r="F35" s="21" t="s">
        <v>2180</v>
      </c>
      <c r="G35" s="21" t="s">
        <v>2181</v>
      </c>
      <c r="H35" s="386">
        <v>15000000</v>
      </c>
      <c r="I35" s="21">
        <v>1</v>
      </c>
      <c r="J35" s="21" t="s">
        <v>2182</v>
      </c>
      <c r="K35" s="534">
        <v>35000000</v>
      </c>
    </row>
    <row r="36" spans="1:11" ht="63.75">
      <c r="A36" s="65" t="s">
        <v>2020</v>
      </c>
      <c r="B36" s="21" t="s">
        <v>1982</v>
      </c>
      <c r="C36" s="21" t="s">
        <v>2178</v>
      </c>
      <c r="D36" s="21" t="s">
        <v>2179</v>
      </c>
      <c r="E36" s="21">
        <v>1</v>
      </c>
      <c r="F36" s="21" t="s">
        <v>2183</v>
      </c>
      <c r="G36" s="21" t="s">
        <v>2184</v>
      </c>
      <c r="H36" s="386">
        <v>15000000</v>
      </c>
      <c r="I36" s="21">
        <v>1</v>
      </c>
      <c r="J36" s="21" t="s">
        <v>2185</v>
      </c>
      <c r="K36" s="534">
        <v>35000000</v>
      </c>
    </row>
    <row r="37" spans="1:11" ht="63.75">
      <c r="A37" s="65" t="s">
        <v>2020</v>
      </c>
      <c r="B37" s="21" t="s">
        <v>1982</v>
      </c>
      <c r="C37" s="21" t="s">
        <v>2178</v>
      </c>
      <c r="D37" s="21" t="s">
        <v>2179</v>
      </c>
      <c r="E37" s="21">
        <v>2</v>
      </c>
      <c r="F37" s="21" t="s">
        <v>2183</v>
      </c>
      <c r="G37" s="21" t="s">
        <v>2184</v>
      </c>
      <c r="H37" s="386">
        <v>30000000</v>
      </c>
      <c r="I37" s="21">
        <v>1</v>
      </c>
      <c r="J37" s="21" t="s">
        <v>2175</v>
      </c>
      <c r="K37" s="534">
        <v>70000000</v>
      </c>
    </row>
    <row r="38" spans="1:11" ht="89.25">
      <c r="A38" s="65" t="s">
        <v>1989</v>
      </c>
      <c r="B38" s="21" t="s">
        <v>1998</v>
      </c>
      <c r="C38" s="21" t="s">
        <v>1999</v>
      </c>
      <c r="D38" s="21" t="s">
        <v>2179</v>
      </c>
      <c r="E38" s="21">
        <v>1</v>
      </c>
      <c r="F38" s="21" t="s">
        <v>2186</v>
      </c>
      <c r="G38" s="21" t="s">
        <v>2000</v>
      </c>
      <c r="H38" s="386">
        <v>22000000</v>
      </c>
      <c r="I38" s="21">
        <v>1</v>
      </c>
      <c r="J38" s="21" t="s">
        <v>2187</v>
      </c>
      <c r="K38" s="534">
        <v>35000000</v>
      </c>
    </row>
    <row r="39" spans="1:11" ht="63.75">
      <c r="A39" s="65" t="s">
        <v>2005</v>
      </c>
      <c r="B39" s="21" t="s">
        <v>2188</v>
      </c>
      <c r="C39" s="21" t="s">
        <v>2189</v>
      </c>
      <c r="D39" s="21" t="s">
        <v>2179</v>
      </c>
      <c r="E39" s="21">
        <v>1</v>
      </c>
      <c r="F39" s="21" t="s">
        <v>2190</v>
      </c>
      <c r="G39" s="21" t="s">
        <v>2191</v>
      </c>
      <c r="H39" s="386">
        <v>4500000</v>
      </c>
      <c r="I39" s="21">
        <v>1</v>
      </c>
      <c r="J39" s="21" t="str">
        <f>+J27</f>
        <v>Construcción de Alcantarilla cuadrada</v>
      </c>
      <c r="K39" s="534">
        <v>35000000</v>
      </c>
    </row>
    <row r="40" spans="1:11" ht="38.25">
      <c r="A40" s="65" t="s">
        <v>2005</v>
      </c>
      <c r="B40" s="21" t="s">
        <v>2192</v>
      </c>
      <c r="C40" s="21" t="s">
        <v>2124</v>
      </c>
      <c r="D40" s="21" t="s">
        <v>2151</v>
      </c>
      <c r="E40" s="21">
        <v>1</v>
      </c>
      <c r="F40" s="21" t="s">
        <v>1320</v>
      </c>
      <c r="G40" s="21" t="s">
        <v>2193</v>
      </c>
      <c r="H40" s="386">
        <v>15000000</v>
      </c>
      <c r="I40" s="21">
        <v>1</v>
      </c>
      <c r="J40" s="21" t="s">
        <v>2194</v>
      </c>
      <c r="K40" s="534">
        <v>50000000</v>
      </c>
    </row>
    <row r="41" spans="1:11" ht="51">
      <c r="A41" s="65" t="s">
        <v>2005</v>
      </c>
      <c r="B41" s="21" t="s">
        <v>2052</v>
      </c>
      <c r="C41" s="21" t="s">
        <v>2195</v>
      </c>
      <c r="D41" s="21" t="s">
        <v>2196</v>
      </c>
      <c r="E41" s="21">
        <v>1</v>
      </c>
      <c r="F41" s="21" t="s">
        <v>2197</v>
      </c>
      <c r="G41" s="21" t="s">
        <v>2193</v>
      </c>
      <c r="H41" s="386">
        <v>15000000</v>
      </c>
      <c r="I41" s="21">
        <v>1</v>
      </c>
      <c r="J41" s="21" t="s">
        <v>2194</v>
      </c>
      <c r="K41" s="534">
        <v>50000000</v>
      </c>
    </row>
    <row r="42" spans="1:11" ht="51">
      <c r="A42" s="65" t="s">
        <v>2005</v>
      </c>
      <c r="B42" s="21" t="s">
        <v>2052</v>
      </c>
      <c r="C42" s="21" t="s">
        <v>2195</v>
      </c>
      <c r="D42" s="21" t="s">
        <v>2196</v>
      </c>
      <c r="E42" s="21">
        <v>1</v>
      </c>
      <c r="F42" s="21" t="s">
        <v>2198</v>
      </c>
      <c r="G42" s="21" t="s">
        <v>2199</v>
      </c>
      <c r="H42" s="386">
        <v>8000000</v>
      </c>
      <c r="I42" s="21">
        <v>1</v>
      </c>
      <c r="J42" s="21" t="s">
        <v>2200</v>
      </c>
      <c r="K42" s="534">
        <v>15000000</v>
      </c>
    </row>
    <row r="43" spans="1:11" ht="25.5">
      <c r="A43" s="65" t="s">
        <v>2052</v>
      </c>
      <c r="B43" s="21" t="s">
        <v>2053</v>
      </c>
      <c r="C43" s="21" t="s">
        <v>2054</v>
      </c>
      <c r="D43" s="21" t="s">
        <v>2179</v>
      </c>
      <c r="E43" s="21">
        <v>1</v>
      </c>
      <c r="F43" s="21" t="s">
        <v>2183</v>
      </c>
      <c r="G43" s="21" t="s">
        <v>2201</v>
      </c>
      <c r="H43" s="386">
        <v>18000000</v>
      </c>
      <c r="I43" s="21">
        <v>1</v>
      </c>
      <c r="J43" s="21" t="s">
        <v>2202</v>
      </c>
      <c r="K43" s="534">
        <v>26500000</v>
      </c>
    </row>
    <row r="44" spans="1:11" ht="89.25">
      <c r="A44" s="65" t="s">
        <v>2041</v>
      </c>
      <c r="B44" s="21" t="s">
        <v>2057</v>
      </c>
      <c r="C44" s="21" t="s">
        <v>2058</v>
      </c>
      <c r="D44" s="21" t="s">
        <v>2203</v>
      </c>
      <c r="E44" s="21">
        <v>1</v>
      </c>
      <c r="F44" s="21" t="s">
        <v>2204</v>
      </c>
      <c r="G44" s="21" t="s">
        <v>2205</v>
      </c>
      <c r="H44" s="386">
        <v>25000000</v>
      </c>
      <c r="I44" s="21">
        <v>1</v>
      </c>
      <c r="J44" s="21" t="s">
        <v>2206</v>
      </c>
      <c r="K44" s="534">
        <v>45000000</v>
      </c>
    </row>
    <row r="45" spans="1:11" ht="76.5">
      <c r="A45" s="65" t="s">
        <v>2041</v>
      </c>
      <c r="B45" s="21" t="s">
        <v>1697</v>
      </c>
      <c r="C45" s="21" t="s">
        <v>2061</v>
      </c>
      <c r="D45" s="21" t="s">
        <v>2207</v>
      </c>
      <c r="E45" s="21">
        <v>1</v>
      </c>
      <c r="F45" s="21" t="s">
        <v>2204</v>
      </c>
      <c r="G45" s="21" t="s">
        <v>2208</v>
      </c>
      <c r="H45" s="386">
        <v>22000000</v>
      </c>
      <c r="I45" s="21">
        <v>1</v>
      </c>
      <c r="J45" s="21" t="s">
        <v>2209</v>
      </c>
      <c r="K45" s="534">
        <v>42000000</v>
      </c>
    </row>
    <row r="46" spans="1:11" ht="127.5">
      <c r="A46" s="65" t="s">
        <v>2041</v>
      </c>
      <c r="B46" s="21" t="s">
        <v>2042</v>
      </c>
      <c r="C46" s="21" t="s">
        <v>2043</v>
      </c>
      <c r="D46" s="21" t="s">
        <v>2179</v>
      </c>
      <c r="E46" s="21">
        <v>1</v>
      </c>
      <c r="F46" s="21" t="s">
        <v>2157</v>
      </c>
      <c r="G46" s="21" t="s">
        <v>2044</v>
      </c>
      <c r="H46" s="386">
        <v>14000000</v>
      </c>
      <c r="I46" s="21">
        <v>1</v>
      </c>
      <c r="J46" s="21" t="s">
        <v>2210</v>
      </c>
      <c r="K46" s="534">
        <v>45000000</v>
      </c>
    </row>
    <row r="47" spans="1:11" ht="38.25">
      <c r="A47" s="65" t="s">
        <v>2041</v>
      </c>
      <c r="B47" s="21" t="s">
        <v>2052</v>
      </c>
      <c r="C47" s="21" t="s">
        <v>2211</v>
      </c>
      <c r="D47" s="21" t="s">
        <v>2196</v>
      </c>
      <c r="E47" s="21">
        <v>1</v>
      </c>
      <c r="F47" s="21" t="s">
        <v>2198</v>
      </c>
      <c r="G47" s="21" t="s">
        <v>2199</v>
      </c>
      <c r="H47" s="386">
        <v>8000000</v>
      </c>
      <c r="I47" s="21">
        <v>1</v>
      </c>
      <c r="J47" s="21" t="s">
        <v>2194</v>
      </c>
      <c r="K47" s="534">
        <v>35000000</v>
      </c>
    </row>
    <row r="48" spans="1:11" ht="165.75">
      <c r="A48" s="65" t="s">
        <v>2041</v>
      </c>
      <c r="B48" s="21" t="s">
        <v>1827</v>
      </c>
      <c r="C48" s="21" t="s">
        <v>2050</v>
      </c>
      <c r="D48" s="21" t="s">
        <v>2212</v>
      </c>
      <c r="E48" s="21">
        <v>1</v>
      </c>
      <c r="F48" s="21" t="s">
        <v>2157</v>
      </c>
      <c r="G48" s="21" t="s">
        <v>2051</v>
      </c>
      <c r="H48" s="386">
        <v>45000000</v>
      </c>
      <c r="I48" s="21">
        <v>1</v>
      </c>
      <c r="J48" s="21" t="s">
        <v>2213</v>
      </c>
      <c r="K48" s="534">
        <v>35000000</v>
      </c>
    </row>
    <row r="49" spans="1:11" ht="178.5">
      <c r="A49" s="65" t="s">
        <v>2041</v>
      </c>
      <c r="B49" s="21" t="s">
        <v>2057</v>
      </c>
      <c r="C49" s="21" t="s">
        <v>2214</v>
      </c>
      <c r="D49" s="21" t="s">
        <v>201</v>
      </c>
      <c r="E49" s="21">
        <v>9</v>
      </c>
      <c r="F49" s="21" t="s">
        <v>2215</v>
      </c>
      <c r="G49" s="21" t="s">
        <v>2216</v>
      </c>
      <c r="H49" s="386">
        <v>15000000</v>
      </c>
      <c r="I49" s="21">
        <v>9</v>
      </c>
      <c r="J49" s="21" t="s">
        <v>2217</v>
      </c>
      <c r="K49" s="534">
        <v>100000000</v>
      </c>
    </row>
    <row r="50" spans="1:11" ht="63.75">
      <c r="A50" s="65" t="s">
        <v>2041</v>
      </c>
      <c r="B50" s="21" t="s">
        <v>2052</v>
      </c>
      <c r="C50" s="21" t="s">
        <v>2218</v>
      </c>
      <c r="D50" s="21" t="s">
        <v>2219</v>
      </c>
      <c r="E50" s="21">
        <v>1</v>
      </c>
      <c r="F50" s="21" t="s">
        <v>2220</v>
      </c>
      <c r="G50" s="21" t="s">
        <v>2191</v>
      </c>
      <c r="H50" s="386">
        <v>8500000</v>
      </c>
      <c r="I50" s="21">
        <v>1</v>
      </c>
      <c r="J50" s="21" t="str">
        <f>+J27</f>
        <v>Construcción de Alcantarilla cuadrada</v>
      </c>
      <c r="K50" s="534">
        <v>40000000</v>
      </c>
    </row>
    <row r="51" spans="1:11">
      <c r="A51" s="1053" t="s">
        <v>189</v>
      </c>
      <c r="B51" s="1054"/>
      <c r="C51" s="1054"/>
      <c r="D51" s="1054"/>
      <c r="E51" s="1054"/>
      <c r="F51" s="521"/>
      <c r="G51" s="570"/>
      <c r="H51" s="521">
        <f>SUM(H27:H50)</f>
        <v>400500000</v>
      </c>
      <c r="I51" s="521"/>
      <c r="J51" s="523"/>
      <c r="K51" s="852">
        <f>SUM(K27:K50)</f>
        <v>1063500000</v>
      </c>
    </row>
    <row r="52" spans="1:11">
      <c r="A52" s="1053" t="s">
        <v>2406</v>
      </c>
      <c r="B52" s="1054"/>
      <c r="C52" s="1054"/>
      <c r="D52" s="1054"/>
      <c r="E52" s="1054"/>
      <c r="F52" s="1054"/>
      <c r="G52" s="1054"/>
      <c r="H52" s="1054"/>
      <c r="I52" s="1054"/>
      <c r="J52" s="1054"/>
      <c r="K52" s="1055"/>
    </row>
    <row r="53" spans="1:11" ht="90">
      <c r="A53" s="27" t="s">
        <v>2053</v>
      </c>
      <c r="B53" s="300" t="s">
        <v>1658</v>
      </c>
      <c r="C53" s="71" t="s">
        <v>2420</v>
      </c>
      <c r="D53" s="569" t="s">
        <v>2416</v>
      </c>
      <c r="E53" s="569">
        <v>1</v>
      </c>
      <c r="F53" s="569" t="s">
        <v>2421</v>
      </c>
      <c r="G53" s="569" t="s">
        <v>2422</v>
      </c>
      <c r="H53" s="73">
        <v>25000000</v>
      </c>
      <c r="I53" s="569">
        <v>1</v>
      </c>
      <c r="J53" s="569" t="s">
        <v>2423</v>
      </c>
      <c r="K53" s="531">
        <v>75000000</v>
      </c>
    </row>
    <row r="54" spans="1:11" ht="90">
      <c r="A54" s="27" t="s">
        <v>2053</v>
      </c>
      <c r="B54" s="300" t="s">
        <v>2053</v>
      </c>
      <c r="C54" s="71" t="s">
        <v>2424</v>
      </c>
      <c r="D54" s="569" t="s">
        <v>2416</v>
      </c>
      <c r="E54" s="569">
        <v>1</v>
      </c>
      <c r="F54" s="569" t="s">
        <v>2425</v>
      </c>
      <c r="G54" s="569" t="s">
        <v>2422</v>
      </c>
      <c r="H54" s="73">
        <v>10000000</v>
      </c>
      <c r="I54" s="569">
        <v>2</v>
      </c>
      <c r="J54" s="569" t="s">
        <v>2426</v>
      </c>
      <c r="K54" s="531">
        <v>60000000</v>
      </c>
    </row>
    <row r="55" spans="1:11" ht="90">
      <c r="A55" s="27" t="s">
        <v>2053</v>
      </c>
      <c r="B55" s="300" t="s">
        <v>2053</v>
      </c>
      <c r="C55" s="71" t="s">
        <v>2427</v>
      </c>
      <c r="D55" s="569" t="s">
        <v>2416</v>
      </c>
      <c r="E55" s="569">
        <v>1</v>
      </c>
      <c r="F55" s="569" t="s">
        <v>2428</v>
      </c>
      <c r="G55" s="569" t="s">
        <v>2422</v>
      </c>
      <c r="H55" s="73">
        <v>23000000</v>
      </c>
      <c r="I55" s="569">
        <v>2</v>
      </c>
      <c r="J55" s="569" t="s">
        <v>2426</v>
      </c>
      <c r="K55" s="531">
        <v>63500000</v>
      </c>
    </row>
    <row r="56" spans="1:11">
      <c r="A56" s="1053" t="s">
        <v>189</v>
      </c>
      <c r="B56" s="1054"/>
      <c r="C56" s="1054"/>
      <c r="D56" s="1054"/>
      <c r="E56" s="1054"/>
      <c r="F56" s="521"/>
      <c r="G56" s="570"/>
      <c r="H56" s="521">
        <f>SUM(H53:H55)</f>
        <v>58000000</v>
      </c>
      <c r="I56" s="521"/>
      <c r="J56" s="523"/>
      <c r="K56" s="852">
        <f>SUM(K53:K55)</f>
        <v>198500000</v>
      </c>
    </row>
    <row r="57" spans="1:11">
      <c r="A57" s="1053" t="s">
        <v>2784</v>
      </c>
      <c r="B57" s="1054"/>
      <c r="C57" s="1054"/>
      <c r="D57" s="1054"/>
      <c r="E57" s="1054"/>
      <c r="F57" s="1054"/>
      <c r="G57" s="1054"/>
      <c r="H57" s="1054"/>
      <c r="I57" s="1054"/>
      <c r="J57" s="1054"/>
      <c r="K57" s="1055"/>
    </row>
    <row r="58" spans="1:11" ht="56.25">
      <c r="A58" s="22" t="s">
        <v>2505</v>
      </c>
      <c r="B58" s="26" t="s">
        <v>2512</v>
      </c>
      <c r="C58" s="569" t="s">
        <v>3184</v>
      </c>
      <c r="D58" s="569" t="s">
        <v>3229</v>
      </c>
      <c r="E58" s="569">
        <v>1</v>
      </c>
      <c r="F58" s="35" t="s">
        <v>3232</v>
      </c>
      <c r="G58" s="35" t="s">
        <v>3233</v>
      </c>
      <c r="H58" s="73">
        <v>30000000</v>
      </c>
      <c r="I58" s="569">
        <v>1</v>
      </c>
      <c r="J58" s="35" t="s">
        <v>3234</v>
      </c>
      <c r="K58" s="531">
        <v>30000000</v>
      </c>
    </row>
    <row r="59" spans="1:11" ht="22.5">
      <c r="A59" s="22" t="s">
        <v>2595</v>
      </c>
      <c r="B59" s="26" t="s">
        <v>2900</v>
      </c>
      <c r="C59" s="569" t="s">
        <v>3154</v>
      </c>
      <c r="D59" s="569" t="s">
        <v>3201</v>
      </c>
      <c r="E59" s="569">
        <v>1</v>
      </c>
      <c r="F59" s="35" t="s">
        <v>3235</v>
      </c>
      <c r="G59" s="35" t="s">
        <v>3236</v>
      </c>
      <c r="H59" s="73">
        <v>30000000</v>
      </c>
      <c r="I59" s="569">
        <v>1</v>
      </c>
      <c r="J59" s="35" t="s">
        <v>3237</v>
      </c>
      <c r="K59" s="531">
        <v>30000000</v>
      </c>
    </row>
    <row r="60" spans="1:11" ht="22.5">
      <c r="A60" s="22" t="s">
        <v>2505</v>
      </c>
      <c r="B60" s="26" t="s">
        <v>3238</v>
      </c>
      <c r="C60" s="569" t="s">
        <v>3239</v>
      </c>
      <c r="D60" s="569" t="s">
        <v>3240</v>
      </c>
      <c r="E60" s="569">
        <v>1</v>
      </c>
      <c r="F60" s="35" t="s">
        <v>3241</v>
      </c>
      <c r="G60" s="35" t="s">
        <v>3157</v>
      </c>
      <c r="H60" s="73">
        <v>30000000</v>
      </c>
      <c r="I60" s="569">
        <v>2</v>
      </c>
      <c r="J60" s="35" t="s">
        <v>3237</v>
      </c>
      <c r="K60" s="531">
        <v>30000000</v>
      </c>
    </row>
    <row r="61" spans="1:11" ht="22.5">
      <c r="A61" s="22" t="s">
        <v>2505</v>
      </c>
      <c r="B61" s="26" t="s">
        <v>3238</v>
      </c>
      <c r="C61" s="569" t="s">
        <v>3239</v>
      </c>
      <c r="D61" s="569" t="s">
        <v>3240</v>
      </c>
      <c r="E61" s="569">
        <v>1</v>
      </c>
      <c r="F61" s="35" t="s">
        <v>3241</v>
      </c>
      <c r="G61" s="35" t="s">
        <v>3157</v>
      </c>
      <c r="H61" s="73">
        <v>30000000</v>
      </c>
      <c r="I61" s="569">
        <v>2</v>
      </c>
      <c r="J61" s="35" t="s">
        <v>3237</v>
      </c>
      <c r="K61" s="531">
        <v>30000000</v>
      </c>
    </row>
    <row r="62" spans="1:11" ht="33.75">
      <c r="A62" s="22" t="s">
        <v>2509</v>
      </c>
      <c r="B62" s="26" t="s">
        <v>3242</v>
      </c>
      <c r="C62" s="569" t="s">
        <v>3243</v>
      </c>
      <c r="D62" s="569" t="s">
        <v>3201</v>
      </c>
      <c r="E62" s="569">
        <v>1</v>
      </c>
      <c r="F62" s="35" t="s">
        <v>3244</v>
      </c>
      <c r="G62" s="35" t="s">
        <v>3245</v>
      </c>
      <c r="H62" s="73">
        <v>10000000</v>
      </c>
      <c r="I62" s="569">
        <v>1</v>
      </c>
      <c r="J62" s="35" t="s">
        <v>3237</v>
      </c>
      <c r="K62" s="531">
        <v>20000000</v>
      </c>
    </row>
    <row r="63" spans="1:11">
      <c r="A63" s="1053" t="s">
        <v>189</v>
      </c>
      <c r="B63" s="1054"/>
      <c r="C63" s="1054"/>
      <c r="D63" s="1054"/>
      <c r="E63" s="1054"/>
      <c r="F63" s="521"/>
      <c r="G63" s="570"/>
      <c r="H63" s="521">
        <f>SUM(H58:H62)</f>
        <v>130000000</v>
      </c>
      <c r="I63" s="521"/>
      <c r="J63" s="523"/>
      <c r="K63" s="852">
        <f>SUM(K58:K62)</f>
        <v>140000000</v>
      </c>
    </row>
    <row r="64" spans="1:11">
      <c r="A64" s="1053" t="s">
        <v>24528</v>
      </c>
      <c r="B64" s="1054"/>
      <c r="C64" s="1054"/>
      <c r="D64" s="1054"/>
      <c r="E64" s="1054"/>
      <c r="F64" s="1054"/>
      <c r="G64" s="1054"/>
      <c r="H64" s="1054"/>
      <c r="I64" s="1054"/>
      <c r="J64" s="1054"/>
      <c r="K64" s="1055"/>
    </row>
    <row r="65" spans="1:11" ht="56.25">
      <c r="A65" s="51" t="s">
        <v>13215</v>
      </c>
      <c r="B65" s="25"/>
      <c r="C65" s="941" t="s">
        <v>24951</v>
      </c>
      <c r="D65" s="367" t="s">
        <v>24952</v>
      </c>
      <c r="E65" s="25"/>
      <c r="F65" s="25" t="s">
        <v>24953</v>
      </c>
      <c r="G65" s="367" t="s">
        <v>24954</v>
      </c>
      <c r="H65" s="73">
        <v>1500000</v>
      </c>
      <c r="I65" s="367">
        <v>1</v>
      </c>
      <c r="J65" s="367" t="s">
        <v>24527</v>
      </c>
      <c r="K65" s="951">
        <v>93524738.950000003</v>
      </c>
    </row>
    <row r="66" spans="1:11">
      <c r="A66" s="1053" t="s">
        <v>189</v>
      </c>
      <c r="B66" s="1054"/>
      <c r="C66" s="1054"/>
      <c r="D66" s="1054"/>
      <c r="E66" s="1054"/>
      <c r="F66" s="521"/>
      <c r="G66" s="570"/>
      <c r="H66" s="521">
        <f>SUM(H65)</f>
        <v>1500000</v>
      </c>
      <c r="I66" s="521"/>
      <c r="J66" s="523"/>
      <c r="K66" s="852">
        <f>SUM(K65)</f>
        <v>93524738.950000003</v>
      </c>
    </row>
    <row r="67" spans="1:11" ht="15.75" customHeight="1">
      <c r="A67" s="1053" t="s">
        <v>9797</v>
      </c>
      <c r="B67" s="1054"/>
      <c r="C67" s="1054"/>
      <c r="D67" s="1054"/>
      <c r="E67" s="1054"/>
      <c r="F67" s="1054"/>
      <c r="G67" s="1054"/>
      <c r="H67" s="1054"/>
      <c r="I67" s="1054"/>
      <c r="J67" s="1054"/>
      <c r="K67" s="1055"/>
    </row>
    <row r="68" spans="1:11" ht="89.25">
      <c r="A68" s="22" t="s">
        <v>9800</v>
      </c>
      <c r="B68" s="26" t="s">
        <v>9811</v>
      </c>
      <c r="C68" s="569">
        <v>111601700</v>
      </c>
      <c r="D68" s="569" t="s">
        <v>1956</v>
      </c>
      <c r="E68" s="569">
        <v>8</v>
      </c>
      <c r="F68" s="569" t="s">
        <v>8941</v>
      </c>
      <c r="G68" s="569" t="s">
        <v>9947</v>
      </c>
      <c r="H68" s="73">
        <v>16000000</v>
      </c>
      <c r="I68" s="569">
        <v>1</v>
      </c>
      <c r="J68" s="569" t="s">
        <v>1943</v>
      </c>
      <c r="K68" s="531">
        <v>36000000</v>
      </c>
    </row>
    <row r="69" spans="1:11" ht="89.25">
      <c r="A69" s="22" t="s">
        <v>9800</v>
      </c>
      <c r="B69" s="26" t="s">
        <v>9811</v>
      </c>
      <c r="C69" s="569">
        <v>111601700</v>
      </c>
      <c r="D69" s="569" t="s">
        <v>9948</v>
      </c>
      <c r="E69" s="569">
        <v>1</v>
      </c>
      <c r="F69" s="569" t="s">
        <v>1945</v>
      </c>
      <c r="G69" s="569" t="s">
        <v>9949</v>
      </c>
      <c r="H69" s="73">
        <v>25000000</v>
      </c>
      <c r="I69" s="569">
        <v>3</v>
      </c>
      <c r="J69" s="569" t="s">
        <v>9950</v>
      </c>
      <c r="K69" s="531">
        <v>45000000</v>
      </c>
    </row>
    <row r="70" spans="1:11" ht="89.25">
      <c r="A70" s="22" t="s">
        <v>9800</v>
      </c>
      <c r="B70" s="26" t="s">
        <v>9811</v>
      </c>
      <c r="C70" s="569">
        <v>111601700</v>
      </c>
      <c r="D70" s="569" t="s">
        <v>1956</v>
      </c>
      <c r="E70" s="569">
        <v>1</v>
      </c>
      <c r="F70" s="569" t="s">
        <v>1945</v>
      </c>
      <c r="G70" s="569" t="s">
        <v>9951</v>
      </c>
      <c r="H70" s="73">
        <v>12000000</v>
      </c>
      <c r="I70" s="569">
        <v>1</v>
      </c>
      <c r="J70" s="569" t="s">
        <v>9950</v>
      </c>
      <c r="K70" s="531">
        <v>35000000</v>
      </c>
    </row>
    <row r="71" spans="1:11" ht="25.5">
      <c r="A71" s="22" t="s">
        <v>9805</v>
      </c>
      <c r="B71" s="26" t="s">
        <v>9921</v>
      </c>
      <c r="C71" s="569">
        <v>111601200</v>
      </c>
      <c r="D71" s="569" t="s">
        <v>9952</v>
      </c>
      <c r="E71" s="569">
        <v>1</v>
      </c>
      <c r="F71" s="569" t="s">
        <v>1945</v>
      </c>
      <c r="G71" s="569" t="s">
        <v>9953</v>
      </c>
      <c r="H71" s="73">
        <v>10000000</v>
      </c>
      <c r="I71" s="25">
        <v>2</v>
      </c>
      <c r="J71" s="569" t="s">
        <v>9950</v>
      </c>
      <c r="K71" s="531">
        <v>35000000</v>
      </c>
    </row>
    <row r="72" spans="1:11" ht="89.25">
      <c r="A72" s="22" t="s">
        <v>9800</v>
      </c>
      <c r="B72" s="26" t="s">
        <v>9811</v>
      </c>
      <c r="C72" s="569">
        <v>111601700</v>
      </c>
      <c r="D72" s="569" t="s">
        <v>9954</v>
      </c>
      <c r="E72" s="569">
        <v>1</v>
      </c>
      <c r="F72" s="569" t="s">
        <v>1945</v>
      </c>
      <c r="G72" s="569" t="s">
        <v>9949</v>
      </c>
      <c r="H72" s="73">
        <v>12000000</v>
      </c>
      <c r="I72" s="569">
        <v>3</v>
      </c>
      <c r="J72" s="569" t="s">
        <v>9950</v>
      </c>
      <c r="K72" s="531">
        <v>45000000</v>
      </c>
    </row>
    <row r="73" spans="1:11" ht="15.75" customHeight="1">
      <c r="A73" s="22" t="s">
        <v>9800</v>
      </c>
      <c r="B73" s="26" t="s">
        <v>9810</v>
      </c>
      <c r="C73" s="569">
        <v>111601600</v>
      </c>
      <c r="D73" s="569" t="s">
        <v>1956</v>
      </c>
      <c r="E73" s="569">
        <v>3</v>
      </c>
      <c r="F73" s="569" t="s">
        <v>1953</v>
      </c>
      <c r="G73" s="569" t="s">
        <v>9955</v>
      </c>
      <c r="H73" s="528">
        <v>8000000</v>
      </c>
      <c r="I73" s="25">
        <v>1</v>
      </c>
      <c r="J73" s="569" t="s">
        <v>1951</v>
      </c>
      <c r="K73" s="533">
        <v>12000000</v>
      </c>
    </row>
    <row r="74" spans="1:11" ht="51" customHeight="1">
      <c r="A74" s="22" t="s">
        <v>9800</v>
      </c>
      <c r="B74" s="26" t="s">
        <v>9820</v>
      </c>
      <c r="C74" s="569">
        <v>111602800</v>
      </c>
      <c r="D74" s="569" t="s">
        <v>1956</v>
      </c>
      <c r="E74" s="569">
        <v>3</v>
      </c>
      <c r="F74" s="569" t="s">
        <v>1953</v>
      </c>
      <c r="G74" s="569" t="s">
        <v>9955</v>
      </c>
      <c r="H74" s="528">
        <v>3000000</v>
      </c>
      <c r="I74" s="25">
        <v>2</v>
      </c>
      <c r="J74" s="569" t="s">
        <v>1951</v>
      </c>
      <c r="K74" s="533">
        <v>11500000</v>
      </c>
    </row>
    <row r="75" spans="1:11" ht="33.75">
      <c r="A75" s="22" t="s">
        <v>9800</v>
      </c>
      <c r="B75" s="26" t="s">
        <v>9838</v>
      </c>
      <c r="C75" s="569">
        <v>111604700</v>
      </c>
      <c r="D75" s="569" t="s">
        <v>1956</v>
      </c>
      <c r="E75" s="569">
        <v>3</v>
      </c>
      <c r="F75" s="569" t="s">
        <v>1953</v>
      </c>
      <c r="G75" s="569" t="s">
        <v>9955</v>
      </c>
      <c r="H75" s="528">
        <v>8000000</v>
      </c>
      <c r="I75" s="25">
        <v>2</v>
      </c>
      <c r="J75" s="569" t="s">
        <v>1951</v>
      </c>
      <c r="K75" s="533">
        <v>12000000</v>
      </c>
    </row>
    <row r="76" spans="1:11" ht="63.75" customHeight="1">
      <c r="A76" s="22" t="s">
        <v>4343</v>
      </c>
      <c r="B76" s="26" t="s">
        <v>9825</v>
      </c>
      <c r="C76" s="569">
        <v>111603300</v>
      </c>
      <c r="D76" s="569" t="s">
        <v>1956</v>
      </c>
      <c r="E76" s="569">
        <v>3</v>
      </c>
      <c r="F76" s="569" t="s">
        <v>1953</v>
      </c>
      <c r="G76" s="569" t="s">
        <v>9955</v>
      </c>
      <c r="H76" s="528">
        <v>8500000</v>
      </c>
      <c r="I76" s="25">
        <v>2</v>
      </c>
      <c r="J76" s="569" t="s">
        <v>1951</v>
      </c>
      <c r="K76" s="533">
        <v>12500000</v>
      </c>
    </row>
    <row r="77" spans="1:11" ht="25.5">
      <c r="A77" s="22" t="s">
        <v>4343</v>
      </c>
      <c r="B77" s="26" t="s">
        <v>9827</v>
      </c>
      <c r="C77" s="569">
        <v>111603500</v>
      </c>
      <c r="D77" s="569" t="s">
        <v>1956</v>
      </c>
      <c r="E77" s="569">
        <v>2</v>
      </c>
      <c r="F77" s="569" t="s">
        <v>8941</v>
      </c>
      <c r="G77" s="569" t="s">
        <v>9947</v>
      </c>
      <c r="H77" s="73">
        <v>4000000</v>
      </c>
      <c r="I77" s="569">
        <v>1</v>
      </c>
      <c r="J77" s="569" t="s">
        <v>1943</v>
      </c>
      <c r="K77" s="531">
        <v>7000000</v>
      </c>
    </row>
    <row r="78" spans="1:11" ht="38.25">
      <c r="A78" s="22" t="s">
        <v>9800</v>
      </c>
      <c r="B78" s="26" t="s">
        <v>9815</v>
      </c>
      <c r="C78" s="26">
        <v>111602200</v>
      </c>
      <c r="D78" s="569" t="s">
        <v>1956</v>
      </c>
      <c r="E78" s="26">
        <v>2</v>
      </c>
      <c r="F78" s="569" t="s">
        <v>8941</v>
      </c>
      <c r="G78" s="569" t="s">
        <v>9955</v>
      </c>
      <c r="H78" s="73">
        <v>4000000</v>
      </c>
      <c r="I78" s="569">
        <v>1</v>
      </c>
      <c r="J78" s="569" t="s">
        <v>1943</v>
      </c>
      <c r="K78" s="531">
        <v>7000000</v>
      </c>
    </row>
    <row r="79" spans="1:11" ht="102" customHeight="1">
      <c r="A79" s="22" t="s">
        <v>3375</v>
      </c>
      <c r="B79" s="26" t="s">
        <v>7301</v>
      </c>
      <c r="C79" s="26">
        <v>111600400</v>
      </c>
      <c r="D79" s="569" t="s">
        <v>1956</v>
      </c>
      <c r="E79" s="26">
        <v>3</v>
      </c>
      <c r="F79" s="569" t="s">
        <v>8941</v>
      </c>
      <c r="G79" s="569" t="s">
        <v>9947</v>
      </c>
      <c r="H79" s="73">
        <v>6000000</v>
      </c>
      <c r="I79" s="569">
        <v>1</v>
      </c>
      <c r="J79" s="569" t="s">
        <v>1943</v>
      </c>
      <c r="K79" s="531">
        <v>10500000</v>
      </c>
    </row>
    <row r="80" spans="1:11" ht="33.75">
      <c r="A80" s="22" t="s">
        <v>9800</v>
      </c>
      <c r="B80" s="26" t="s">
        <v>9956</v>
      </c>
      <c r="C80" s="26">
        <v>111602300</v>
      </c>
      <c r="D80" s="569" t="s">
        <v>1956</v>
      </c>
      <c r="E80" s="569">
        <v>1</v>
      </c>
      <c r="F80" s="569" t="s">
        <v>1945</v>
      </c>
      <c r="G80" s="569" t="s">
        <v>9951</v>
      </c>
      <c r="H80" s="73">
        <v>14000000</v>
      </c>
      <c r="I80" s="569">
        <v>1</v>
      </c>
      <c r="J80" s="569" t="s">
        <v>9950</v>
      </c>
      <c r="K80" s="531">
        <v>50000000</v>
      </c>
    </row>
    <row r="81" spans="1:11" ht="63.75" customHeight="1">
      <c r="A81" s="22" t="s">
        <v>9800</v>
      </c>
      <c r="B81" s="26" t="s">
        <v>1166</v>
      </c>
      <c r="C81" s="26">
        <v>111600900</v>
      </c>
      <c r="D81" s="569" t="s">
        <v>1956</v>
      </c>
      <c r="E81" s="26">
        <v>2</v>
      </c>
      <c r="F81" s="569" t="s">
        <v>8941</v>
      </c>
      <c r="G81" s="569" t="s">
        <v>9947</v>
      </c>
      <c r="H81" s="73">
        <v>4000000</v>
      </c>
      <c r="I81" s="569">
        <v>1</v>
      </c>
      <c r="J81" s="569" t="s">
        <v>1943</v>
      </c>
      <c r="K81" s="531">
        <v>7000000</v>
      </c>
    </row>
    <row r="82" spans="1:11" ht="76.5" customHeight="1">
      <c r="A82" s="22" t="s">
        <v>9800</v>
      </c>
      <c r="B82" s="26" t="s">
        <v>9807</v>
      </c>
      <c r="C82" s="26">
        <v>111601000</v>
      </c>
      <c r="D82" s="569" t="s">
        <v>1956</v>
      </c>
      <c r="E82" s="26">
        <v>1</v>
      </c>
      <c r="F82" s="569" t="s">
        <v>8941</v>
      </c>
      <c r="G82" s="569" t="s">
        <v>9947</v>
      </c>
      <c r="H82" s="73">
        <v>2500000</v>
      </c>
      <c r="I82" s="569">
        <v>1</v>
      </c>
      <c r="J82" s="569" t="s">
        <v>1943</v>
      </c>
      <c r="K82" s="531">
        <v>3500000</v>
      </c>
    </row>
    <row r="83" spans="1:11" ht="22.5">
      <c r="A83" s="22" t="s">
        <v>9800</v>
      </c>
      <c r="B83" s="26" t="s">
        <v>9801</v>
      </c>
      <c r="C83" s="26">
        <v>111600300</v>
      </c>
      <c r="D83" s="569" t="s">
        <v>1956</v>
      </c>
      <c r="E83" s="26">
        <v>1</v>
      </c>
      <c r="F83" s="569" t="s">
        <v>8941</v>
      </c>
      <c r="G83" s="569" t="s">
        <v>9947</v>
      </c>
      <c r="H83" s="73">
        <v>2000000</v>
      </c>
      <c r="I83" s="569">
        <v>1</v>
      </c>
      <c r="J83" s="569" t="s">
        <v>1943</v>
      </c>
      <c r="K83" s="531">
        <v>3500000</v>
      </c>
    </row>
    <row r="84" spans="1:11" ht="90">
      <c r="A84" s="51" t="s">
        <v>421</v>
      </c>
      <c r="B84" s="25" t="s">
        <v>24955</v>
      </c>
      <c r="C84" s="941" t="s">
        <v>24956</v>
      </c>
      <c r="D84" s="367" t="s">
        <v>201</v>
      </c>
      <c r="E84" s="25"/>
      <c r="F84" s="25" t="s">
        <v>24957</v>
      </c>
      <c r="G84" s="367" t="s">
        <v>24958</v>
      </c>
      <c r="H84" s="73">
        <v>18500000</v>
      </c>
      <c r="I84" s="367">
        <v>1</v>
      </c>
      <c r="J84" s="367" t="s">
        <v>24959</v>
      </c>
      <c r="K84" s="951">
        <v>35000000</v>
      </c>
    </row>
    <row r="85" spans="1:11">
      <c r="A85" s="1053" t="s">
        <v>91</v>
      </c>
      <c r="B85" s="1054"/>
      <c r="C85" s="1054"/>
      <c r="D85" s="1054"/>
      <c r="E85" s="1054"/>
      <c r="F85" s="521"/>
      <c r="G85" s="570"/>
      <c r="H85" s="521">
        <f>SUM(H68:H84)</f>
        <v>157500000</v>
      </c>
      <c r="I85" s="521"/>
      <c r="J85" s="523"/>
      <c r="K85" s="852">
        <f>SUM(K68:K84)</f>
        <v>367500000</v>
      </c>
    </row>
    <row r="86" spans="1:11">
      <c r="A86" s="1053" t="s">
        <v>3444</v>
      </c>
      <c r="B86" s="1054"/>
      <c r="C86" s="1054"/>
      <c r="D86" s="1054"/>
      <c r="E86" s="1054"/>
      <c r="F86" s="1054"/>
      <c r="G86" s="1054"/>
      <c r="H86" s="1054"/>
      <c r="I86" s="1054"/>
      <c r="J86" s="1054"/>
      <c r="K86" s="1055"/>
    </row>
    <row r="87" spans="1:11" ht="90">
      <c r="A87" s="27" t="s">
        <v>3341</v>
      </c>
      <c r="B87" s="300" t="s">
        <v>3467</v>
      </c>
      <c r="C87" s="569" t="s">
        <v>3347</v>
      </c>
      <c r="D87" s="569" t="s">
        <v>3468</v>
      </c>
      <c r="E87" s="569">
        <v>1</v>
      </c>
      <c r="F87" s="569" t="s">
        <v>3469</v>
      </c>
      <c r="G87" s="569" t="s">
        <v>3470</v>
      </c>
      <c r="H87" s="73">
        <v>2500000</v>
      </c>
      <c r="I87" s="569">
        <v>1</v>
      </c>
      <c r="J87" s="569" t="s">
        <v>3471</v>
      </c>
      <c r="K87" s="531">
        <v>62500000</v>
      </c>
    </row>
    <row r="88" spans="1:11" ht="101.25">
      <c r="A88" s="27" t="s">
        <v>3341</v>
      </c>
      <c r="B88" s="300" t="s">
        <v>3375</v>
      </c>
      <c r="C88" s="569" t="s">
        <v>3376</v>
      </c>
      <c r="D88" s="569" t="s">
        <v>1474</v>
      </c>
      <c r="E88" s="569">
        <v>1</v>
      </c>
      <c r="F88" s="569" t="s">
        <v>3472</v>
      </c>
      <c r="G88" s="569" t="s">
        <v>3473</v>
      </c>
      <c r="H88" s="73">
        <v>11000000</v>
      </c>
      <c r="I88" s="569">
        <v>1</v>
      </c>
      <c r="J88" s="569" t="s">
        <v>3474</v>
      </c>
      <c r="K88" s="531">
        <v>120000000</v>
      </c>
    </row>
    <row r="89" spans="1:11">
      <c r="A89" s="1053" t="s">
        <v>189</v>
      </c>
      <c r="B89" s="1054"/>
      <c r="C89" s="1054"/>
      <c r="D89" s="1054"/>
      <c r="E89" s="1054"/>
      <c r="F89" s="521"/>
      <c r="G89" s="570"/>
      <c r="H89" s="521">
        <f>SUM(H87:H88)</f>
        <v>13500000</v>
      </c>
      <c r="I89" s="521"/>
      <c r="J89" s="523"/>
      <c r="K89" s="852">
        <f>SUM(K87:K88)</f>
        <v>182500000</v>
      </c>
    </row>
    <row r="90" spans="1:11" ht="15.75" customHeight="1">
      <c r="A90" s="1053" t="s">
        <v>6203</v>
      </c>
      <c r="B90" s="1054"/>
      <c r="C90" s="1054"/>
      <c r="D90" s="1054"/>
      <c r="E90" s="1054"/>
      <c r="F90" s="1054"/>
      <c r="G90" s="1054"/>
      <c r="H90" s="1054"/>
      <c r="I90" s="1054"/>
      <c r="J90" s="1054"/>
      <c r="K90" s="1055"/>
    </row>
    <row r="91" spans="1:11" ht="51">
      <c r="A91" s="436" t="s">
        <v>19</v>
      </c>
      <c r="B91" s="44" t="s">
        <v>6281</v>
      </c>
      <c r="C91" s="56" t="s">
        <v>6282</v>
      </c>
      <c r="D91" s="44" t="s">
        <v>6283</v>
      </c>
      <c r="E91" s="26">
        <v>1</v>
      </c>
      <c r="F91" s="26" t="s">
        <v>6284</v>
      </c>
      <c r="G91" s="44" t="s">
        <v>6285</v>
      </c>
      <c r="H91" s="381">
        <v>4500000</v>
      </c>
      <c r="I91" s="26"/>
      <c r="J91" s="26" t="s">
        <v>6286</v>
      </c>
      <c r="K91" s="530">
        <v>2500000</v>
      </c>
    </row>
    <row r="92" spans="1:11" ht="51">
      <c r="A92" s="436" t="s">
        <v>19</v>
      </c>
      <c r="B92" s="249" t="s">
        <v>1754</v>
      </c>
      <c r="C92" s="26" t="s">
        <v>6287</v>
      </c>
      <c r="D92" s="44" t="s">
        <v>6288</v>
      </c>
      <c r="E92" s="26">
        <v>2</v>
      </c>
      <c r="F92" s="26" t="s">
        <v>6284</v>
      </c>
      <c r="G92" s="44" t="s">
        <v>6289</v>
      </c>
      <c r="H92" s="381">
        <v>8500000</v>
      </c>
      <c r="I92" s="26"/>
      <c r="J92" s="26" t="s">
        <v>6290</v>
      </c>
      <c r="K92" s="530">
        <v>2800000</v>
      </c>
    </row>
    <row r="93" spans="1:11" ht="63.75">
      <c r="A93" s="436" t="s">
        <v>4940</v>
      </c>
      <c r="B93" s="249" t="s">
        <v>5919</v>
      </c>
      <c r="C93" s="26" t="s">
        <v>6291</v>
      </c>
      <c r="D93" s="44" t="s">
        <v>6292</v>
      </c>
      <c r="E93" s="26">
        <v>4</v>
      </c>
      <c r="F93" s="26" t="s">
        <v>6284</v>
      </c>
      <c r="G93" s="44" t="s">
        <v>6293</v>
      </c>
      <c r="H93" s="381">
        <v>25500000</v>
      </c>
      <c r="I93" s="26"/>
      <c r="J93" s="26" t="s">
        <v>6290</v>
      </c>
      <c r="K93" s="530">
        <v>75000000</v>
      </c>
    </row>
    <row r="94" spans="1:11" ht="51">
      <c r="A94" s="436" t="s">
        <v>2436</v>
      </c>
      <c r="B94" s="249" t="s">
        <v>6294</v>
      </c>
      <c r="C94" s="26" t="s">
        <v>6295</v>
      </c>
      <c r="D94" s="26"/>
      <c r="E94" s="26">
        <v>6</v>
      </c>
      <c r="F94" s="26" t="s">
        <v>6284</v>
      </c>
      <c r="G94" s="44" t="s">
        <v>6296</v>
      </c>
      <c r="H94" s="381">
        <v>49500000</v>
      </c>
      <c r="I94" s="26"/>
      <c r="J94" s="26" t="s">
        <v>6290</v>
      </c>
      <c r="K94" s="530">
        <v>35000000</v>
      </c>
    </row>
    <row r="95" spans="1:11" ht="63.75">
      <c r="A95" s="436" t="s">
        <v>3825</v>
      </c>
      <c r="B95" s="249" t="s">
        <v>6297</v>
      </c>
      <c r="C95" s="26" t="s">
        <v>6298</v>
      </c>
      <c r="D95" s="44" t="s">
        <v>6299</v>
      </c>
      <c r="E95" s="26">
        <v>1</v>
      </c>
      <c r="F95" s="26" t="s">
        <v>6284</v>
      </c>
      <c r="G95" s="44" t="s">
        <v>6300</v>
      </c>
      <c r="H95" s="381">
        <v>15000000</v>
      </c>
      <c r="I95" s="26"/>
      <c r="J95" s="26" t="s">
        <v>6301</v>
      </c>
      <c r="K95" s="530">
        <v>35000000</v>
      </c>
    </row>
    <row r="96" spans="1:11" ht="102">
      <c r="A96" s="436" t="s">
        <v>2436</v>
      </c>
      <c r="B96" s="44" t="s">
        <v>6047</v>
      </c>
      <c r="C96" s="26" t="s">
        <v>6302</v>
      </c>
      <c r="D96" s="44" t="s">
        <v>6303</v>
      </c>
      <c r="E96" s="26">
        <v>1</v>
      </c>
      <c r="F96" s="26" t="s">
        <v>855</v>
      </c>
      <c r="G96" s="44" t="s">
        <v>6304</v>
      </c>
      <c r="H96" s="381">
        <v>1200000</v>
      </c>
      <c r="I96" s="26"/>
      <c r="J96" s="26" t="s">
        <v>6290</v>
      </c>
      <c r="K96" s="530">
        <v>5600000</v>
      </c>
    </row>
    <row r="97" spans="1:11" ht="38.25">
      <c r="A97" s="436" t="s">
        <v>3825</v>
      </c>
      <c r="B97" s="249" t="s">
        <v>6305</v>
      </c>
      <c r="C97" s="26" t="s">
        <v>6306</v>
      </c>
      <c r="D97" s="44" t="s">
        <v>6307</v>
      </c>
      <c r="E97" s="26">
        <v>1</v>
      </c>
      <c r="F97" s="26" t="s">
        <v>6284</v>
      </c>
      <c r="G97" s="44" t="s">
        <v>6308</v>
      </c>
      <c r="H97" s="381">
        <v>5500000</v>
      </c>
      <c r="I97" s="26"/>
      <c r="J97" s="26" t="s">
        <v>6309</v>
      </c>
      <c r="K97" s="530">
        <v>8900000</v>
      </c>
    </row>
    <row r="98" spans="1:11" ht="63.75">
      <c r="A98" s="436" t="s">
        <v>3825</v>
      </c>
      <c r="B98" s="249" t="s">
        <v>6305</v>
      </c>
      <c r="C98" s="26" t="s">
        <v>6306</v>
      </c>
      <c r="D98" s="44" t="s">
        <v>6310</v>
      </c>
      <c r="E98" s="26">
        <v>1</v>
      </c>
      <c r="F98" s="26" t="s">
        <v>6284</v>
      </c>
      <c r="G98" s="44" t="s">
        <v>6311</v>
      </c>
      <c r="H98" s="381">
        <v>12500000</v>
      </c>
      <c r="I98" s="26"/>
      <c r="J98" s="26" t="s">
        <v>6309</v>
      </c>
      <c r="K98" s="530">
        <v>12000000</v>
      </c>
    </row>
    <row r="99" spans="1:11" ht="76.5">
      <c r="A99" s="436" t="s">
        <v>4940</v>
      </c>
      <c r="B99" s="44" t="s">
        <v>6312</v>
      </c>
      <c r="C99" s="26" t="s">
        <v>6313</v>
      </c>
      <c r="D99" s="26"/>
      <c r="E99" s="26">
        <v>2</v>
      </c>
      <c r="F99" s="26" t="s">
        <v>6284</v>
      </c>
      <c r="G99" s="44" t="s">
        <v>6314</v>
      </c>
      <c r="H99" s="381">
        <v>1200000</v>
      </c>
      <c r="I99" s="26"/>
      <c r="J99" s="26" t="s">
        <v>6309</v>
      </c>
      <c r="K99" s="530">
        <v>1500000</v>
      </c>
    </row>
    <row r="100" spans="1:11" ht="63.75">
      <c r="A100" s="436" t="s">
        <v>4940</v>
      </c>
      <c r="B100" s="44" t="s">
        <v>6315</v>
      </c>
      <c r="C100" s="26" t="s">
        <v>6316</v>
      </c>
      <c r="D100" s="26"/>
      <c r="E100" s="26">
        <v>3</v>
      </c>
      <c r="F100" s="26" t="s">
        <v>6284</v>
      </c>
      <c r="G100" s="44" t="s">
        <v>6317</v>
      </c>
      <c r="H100" s="381">
        <v>5600000</v>
      </c>
      <c r="I100" s="26"/>
      <c r="J100" s="26" t="s">
        <v>6309</v>
      </c>
      <c r="K100" s="530">
        <v>8500000</v>
      </c>
    </row>
    <row r="101" spans="1:11" ht="63.75">
      <c r="A101" s="436" t="s">
        <v>2436</v>
      </c>
      <c r="B101" s="44" t="s">
        <v>6318</v>
      </c>
      <c r="C101" s="26" t="s">
        <v>6319</v>
      </c>
      <c r="D101" s="26"/>
      <c r="E101" s="26">
        <v>10</v>
      </c>
      <c r="F101" s="26" t="s">
        <v>6284</v>
      </c>
      <c r="G101" s="44" t="s">
        <v>6320</v>
      </c>
      <c r="H101" s="381">
        <v>15900000</v>
      </c>
      <c r="I101" s="26"/>
      <c r="J101" s="26" t="s">
        <v>6290</v>
      </c>
      <c r="K101" s="530">
        <v>68200000</v>
      </c>
    </row>
    <row r="102" spans="1:11" ht="38.25">
      <c r="A102" s="436" t="s">
        <v>6321</v>
      </c>
      <c r="B102" s="44" t="s">
        <v>6322</v>
      </c>
      <c r="C102" s="26" t="s">
        <v>6323</v>
      </c>
      <c r="D102" s="249" t="s">
        <v>6324</v>
      </c>
      <c r="E102" s="26">
        <v>1</v>
      </c>
      <c r="F102" s="26" t="s">
        <v>6284</v>
      </c>
      <c r="G102" s="44" t="s">
        <v>6325</v>
      </c>
      <c r="H102" s="381">
        <v>2500000</v>
      </c>
      <c r="I102" s="26"/>
      <c r="J102" s="26" t="s">
        <v>6309</v>
      </c>
      <c r="K102" s="530">
        <v>3500000</v>
      </c>
    </row>
    <row r="103" spans="1:11" ht="51">
      <c r="A103" s="436" t="s">
        <v>3825</v>
      </c>
      <c r="B103" s="44" t="s">
        <v>6326</v>
      </c>
      <c r="C103" s="26" t="s">
        <v>6327</v>
      </c>
      <c r="D103" s="44" t="s">
        <v>6328</v>
      </c>
      <c r="E103" s="26">
        <v>1</v>
      </c>
      <c r="F103" s="26" t="s">
        <v>6284</v>
      </c>
      <c r="G103" s="44" t="s">
        <v>6329</v>
      </c>
      <c r="H103" s="381">
        <v>1200000</v>
      </c>
      <c r="I103" s="26"/>
      <c r="J103" s="26" t="s">
        <v>6309</v>
      </c>
      <c r="K103" s="530">
        <v>25000000</v>
      </c>
    </row>
    <row r="104" spans="1:11" ht="51">
      <c r="A104" s="436" t="s">
        <v>3825</v>
      </c>
      <c r="B104" s="44" t="s">
        <v>6330</v>
      </c>
      <c r="C104" s="26" t="s">
        <v>6331</v>
      </c>
      <c r="D104" s="44" t="s">
        <v>6332</v>
      </c>
      <c r="E104" s="26">
        <v>1</v>
      </c>
      <c r="F104" s="26" t="s">
        <v>6284</v>
      </c>
      <c r="G104" s="44" t="s">
        <v>6333</v>
      </c>
      <c r="H104" s="381">
        <v>1500000</v>
      </c>
      <c r="I104" s="26"/>
      <c r="J104" s="26" t="s">
        <v>6309</v>
      </c>
      <c r="K104" s="530">
        <v>5800000</v>
      </c>
    </row>
    <row r="105" spans="1:11" ht="38.25">
      <c r="A105" s="436" t="s">
        <v>6334</v>
      </c>
      <c r="B105" s="44" t="s">
        <v>6121</v>
      </c>
      <c r="C105" s="26" t="s">
        <v>6335</v>
      </c>
      <c r="D105" s="44" t="s">
        <v>6336</v>
      </c>
      <c r="E105" s="26">
        <v>1</v>
      </c>
      <c r="F105" s="26" t="s">
        <v>1945</v>
      </c>
      <c r="G105" s="44" t="s">
        <v>6337</v>
      </c>
      <c r="H105" s="381">
        <v>5000000</v>
      </c>
      <c r="I105" s="26"/>
      <c r="J105" s="26" t="s">
        <v>6338</v>
      </c>
      <c r="K105" s="530">
        <v>18000000</v>
      </c>
    </row>
    <row r="106" spans="1:11" ht="38.25">
      <c r="A106" s="436" t="s">
        <v>6334</v>
      </c>
      <c r="B106" s="44" t="s">
        <v>6121</v>
      </c>
      <c r="C106" s="26" t="s">
        <v>6335</v>
      </c>
      <c r="D106" s="44" t="s">
        <v>6339</v>
      </c>
      <c r="E106" s="26">
        <v>1</v>
      </c>
      <c r="F106" s="26" t="s">
        <v>1945</v>
      </c>
      <c r="G106" s="44" t="s">
        <v>6337</v>
      </c>
      <c r="H106" s="381">
        <v>1200000</v>
      </c>
      <c r="I106" s="26"/>
      <c r="J106" s="26" t="s">
        <v>6338</v>
      </c>
      <c r="K106" s="530">
        <v>6000000</v>
      </c>
    </row>
    <row r="107" spans="1:11" ht="38.25">
      <c r="A107" s="436" t="s">
        <v>6334</v>
      </c>
      <c r="B107" s="44" t="s">
        <v>6121</v>
      </c>
      <c r="C107" s="26" t="s">
        <v>6335</v>
      </c>
      <c r="D107" s="44" t="s">
        <v>6340</v>
      </c>
      <c r="E107" s="26">
        <v>1</v>
      </c>
      <c r="F107" s="26" t="s">
        <v>1945</v>
      </c>
      <c r="G107" s="44" t="s">
        <v>6337</v>
      </c>
      <c r="H107" s="381">
        <v>12000000</v>
      </c>
      <c r="I107" s="26"/>
      <c r="J107" s="26" t="s">
        <v>6338</v>
      </c>
      <c r="K107" s="530">
        <v>19000000</v>
      </c>
    </row>
    <row r="108" spans="1:11" ht="38.25">
      <c r="A108" s="436" t="s">
        <v>6334</v>
      </c>
      <c r="B108" s="44" t="s">
        <v>6264</v>
      </c>
      <c r="C108" s="26" t="s">
        <v>6335</v>
      </c>
      <c r="D108" s="44" t="s">
        <v>6341</v>
      </c>
      <c r="E108" s="26">
        <v>1</v>
      </c>
      <c r="F108" s="26" t="s">
        <v>1945</v>
      </c>
      <c r="G108" s="44" t="s">
        <v>6342</v>
      </c>
      <c r="H108" s="381">
        <v>105000000</v>
      </c>
      <c r="I108" s="26"/>
      <c r="J108" s="26" t="s">
        <v>955</v>
      </c>
      <c r="K108" s="530">
        <v>355000000</v>
      </c>
    </row>
    <row r="109" spans="1:11" ht="38.25">
      <c r="A109" s="436" t="s">
        <v>6334</v>
      </c>
      <c r="B109" s="44" t="s">
        <v>6264</v>
      </c>
      <c r="C109" s="26" t="s">
        <v>6335</v>
      </c>
      <c r="D109" s="44" t="s">
        <v>6343</v>
      </c>
      <c r="E109" s="26">
        <v>1</v>
      </c>
      <c r="F109" s="26" t="s">
        <v>1945</v>
      </c>
      <c r="G109" s="44" t="s">
        <v>6337</v>
      </c>
      <c r="H109" s="381">
        <v>15000000</v>
      </c>
      <c r="I109" s="26"/>
      <c r="J109" s="26" t="s">
        <v>6338</v>
      </c>
      <c r="K109" s="530">
        <v>19500000</v>
      </c>
    </row>
    <row r="110" spans="1:11" ht="38.25">
      <c r="A110" s="436" t="s">
        <v>6334</v>
      </c>
      <c r="B110" s="44" t="s">
        <v>6264</v>
      </c>
      <c r="C110" s="26" t="s">
        <v>6335</v>
      </c>
      <c r="D110" s="44" t="s">
        <v>6344</v>
      </c>
      <c r="E110" s="26">
        <v>1</v>
      </c>
      <c r="F110" s="26" t="s">
        <v>1945</v>
      </c>
      <c r="G110" s="44" t="s">
        <v>6337</v>
      </c>
      <c r="H110" s="381">
        <v>13500000</v>
      </c>
      <c r="I110" s="26"/>
      <c r="J110" s="26" t="s">
        <v>6338</v>
      </c>
      <c r="K110" s="530">
        <v>17800000</v>
      </c>
    </row>
    <row r="111" spans="1:11" ht="38.25">
      <c r="A111" s="436" t="s">
        <v>6334</v>
      </c>
      <c r="B111" s="44" t="s">
        <v>6264</v>
      </c>
      <c r="C111" s="26" t="s">
        <v>6335</v>
      </c>
      <c r="D111" s="44" t="s">
        <v>6345</v>
      </c>
      <c r="E111" s="26">
        <v>1</v>
      </c>
      <c r="F111" s="26" t="s">
        <v>1945</v>
      </c>
      <c r="G111" s="44" t="s">
        <v>6337</v>
      </c>
      <c r="H111" s="381">
        <v>7800000</v>
      </c>
      <c r="I111" s="26"/>
      <c r="J111" s="26" t="s">
        <v>6338</v>
      </c>
      <c r="K111" s="530">
        <v>18900000</v>
      </c>
    </row>
    <row r="112" spans="1:11">
      <c r="A112" s="1053" t="s">
        <v>189</v>
      </c>
      <c r="B112" s="1054"/>
      <c r="C112" s="1054"/>
      <c r="D112" s="1054"/>
      <c r="E112" s="1054"/>
      <c r="F112" s="521"/>
      <c r="G112" s="570"/>
      <c r="H112" s="521">
        <f>SUM(H91:H111)</f>
        <v>309600000</v>
      </c>
      <c r="I112" s="521"/>
      <c r="J112" s="523"/>
      <c r="K112" s="852">
        <f>SUM(K91:K111)</f>
        <v>743500000</v>
      </c>
    </row>
    <row r="113" spans="1:11" ht="15.75" customHeight="1">
      <c r="A113" s="1053" t="s">
        <v>3719</v>
      </c>
      <c r="B113" s="1054"/>
      <c r="C113" s="1054"/>
      <c r="D113" s="1054"/>
      <c r="E113" s="1054"/>
      <c r="F113" s="1054"/>
      <c r="G113" s="1054"/>
      <c r="H113" s="1054"/>
      <c r="I113" s="1054"/>
      <c r="J113" s="1054"/>
      <c r="K113" s="1055"/>
    </row>
    <row r="114" spans="1:11" ht="45">
      <c r="A114" s="51" t="s">
        <v>3672</v>
      </c>
      <c r="B114" s="40" t="s">
        <v>3720</v>
      </c>
      <c r="C114" s="52" t="s">
        <v>3609</v>
      </c>
      <c r="D114" s="108" t="s">
        <v>3721</v>
      </c>
      <c r="E114" s="25">
        <v>12</v>
      </c>
      <c r="F114" s="25" t="s">
        <v>3722</v>
      </c>
      <c r="G114" s="25" t="s">
        <v>3723</v>
      </c>
      <c r="H114" s="73">
        <v>4000000</v>
      </c>
      <c r="I114" s="25" t="s">
        <v>2296</v>
      </c>
      <c r="J114" s="25" t="s">
        <v>3724</v>
      </c>
      <c r="K114" s="531">
        <v>4000000</v>
      </c>
    </row>
    <row r="115" spans="1:11" ht="33.75">
      <c r="A115" s="51" t="s">
        <v>2621</v>
      </c>
      <c r="B115" s="110" t="s">
        <v>3725</v>
      </c>
      <c r="C115" s="52" t="s">
        <v>3532</v>
      </c>
      <c r="D115" s="25"/>
      <c r="E115" s="25">
        <v>13</v>
      </c>
      <c r="F115" s="25" t="s">
        <v>3726</v>
      </c>
      <c r="G115" s="25" t="s">
        <v>3727</v>
      </c>
      <c r="H115" s="73">
        <v>2000000</v>
      </c>
      <c r="I115" s="25" t="s">
        <v>2296</v>
      </c>
      <c r="J115" s="25" t="s">
        <v>3724</v>
      </c>
      <c r="K115" s="531">
        <v>4000000</v>
      </c>
    </row>
    <row r="116" spans="1:11" ht="33.75">
      <c r="A116" s="51" t="s">
        <v>2621</v>
      </c>
      <c r="B116" s="110" t="s">
        <v>3710</v>
      </c>
      <c r="C116" s="52" t="s">
        <v>3570</v>
      </c>
      <c r="D116" s="108" t="s">
        <v>3686</v>
      </c>
      <c r="E116" s="25">
        <v>30</v>
      </c>
      <c r="F116" s="25" t="s">
        <v>3722</v>
      </c>
      <c r="G116" s="25" t="s">
        <v>3728</v>
      </c>
      <c r="H116" s="73">
        <v>20000000</v>
      </c>
      <c r="I116" s="25" t="s">
        <v>2296</v>
      </c>
      <c r="J116" s="25" t="s">
        <v>3724</v>
      </c>
      <c r="K116" s="531">
        <v>20000000</v>
      </c>
    </row>
    <row r="117" spans="1:11" ht="33.75">
      <c r="A117" s="51" t="s">
        <v>1455</v>
      </c>
      <c r="B117" s="110" t="s">
        <v>3729</v>
      </c>
      <c r="C117" s="52" t="s">
        <v>3612</v>
      </c>
      <c r="D117" s="25"/>
      <c r="E117" s="25">
        <v>7</v>
      </c>
      <c r="F117" s="25" t="s">
        <v>3722</v>
      </c>
      <c r="G117" s="25" t="s">
        <v>3728</v>
      </c>
      <c r="H117" s="73">
        <v>2000000</v>
      </c>
      <c r="I117" s="25" t="s">
        <v>2296</v>
      </c>
      <c r="J117" s="25" t="s">
        <v>3724</v>
      </c>
      <c r="K117" s="531">
        <v>2000000</v>
      </c>
    </row>
    <row r="118" spans="1:11" ht="36">
      <c r="A118" s="51" t="s">
        <v>1455</v>
      </c>
      <c r="B118" s="110" t="s">
        <v>3730</v>
      </c>
      <c r="C118" s="52" t="s">
        <v>3622</v>
      </c>
      <c r="D118" s="25"/>
      <c r="E118" s="25">
        <v>84</v>
      </c>
      <c r="F118" s="25" t="s">
        <v>3722</v>
      </c>
      <c r="G118" s="25" t="s">
        <v>3731</v>
      </c>
      <c r="H118" s="73">
        <v>1000000</v>
      </c>
      <c r="I118" s="25" t="s">
        <v>2296</v>
      </c>
      <c r="J118" s="25" t="s">
        <v>3724</v>
      </c>
      <c r="K118" s="531">
        <v>28000000</v>
      </c>
    </row>
    <row r="119" spans="1:11" ht="56.25">
      <c r="A119" s="51" t="s">
        <v>3636</v>
      </c>
      <c r="B119" s="110" t="s">
        <v>3732</v>
      </c>
      <c r="C119" s="52" t="s">
        <v>3638</v>
      </c>
      <c r="D119" s="25"/>
      <c r="E119" s="25">
        <v>36</v>
      </c>
      <c r="F119" s="25" t="s">
        <v>3722</v>
      </c>
      <c r="G119" s="25" t="s">
        <v>3733</v>
      </c>
      <c r="H119" s="73">
        <v>4000000</v>
      </c>
      <c r="I119" s="25" t="s">
        <v>2296</v>
      </c>
      <c r="J119" s="25" t="s">
        <v>3734</v>
      </c>
      <c r="K119" s="531">
        <v>12000000</v>
      </c>
    </row>
    <row r="120" spans="1:11" ht="24">
      <c r="A120" s="51" t="s">
        <v>3636</v>
      </c>
      <c r="B120" s="110" t="s">
        <v>3644</v>
      </c>
      <c r="C120" s="52" t="s">
        <v>3645</v>
      </c>
      <c r="D120" s="108" t="s">
        <v>3735</v>
      </c>
      <c r="E120" s="25">
        <v>6</v>
      </c>
      <c r="F120" s="25" t="s">
        <v>3722</v>
      </c>
      <c r="G120" s="25" t="s">
        <v>3736</v>
      </c>
      <c r="H120" s="73">
        <v>1000000</v>
      </c>
      <c r="I120" s="25" t="s">
        <v>3620</v>
      </c>
      <c r="J120" s="25" t="s">
        <v>3734</v>
      </c>
      <c r="K120" s="531">
        <v>1000000</v>
      </c>
    </row>
    <row r="121" spans="1:11" ht="56.25">
      <c r="A121" s="51"/>
      <c r="B121" s="25"/>
      <c r="C121" s="941" t="s">
        <v>24919</v>
      </c>
      <c r="D121" s="367"/>
      <c r="E121" s="25"/>
      <c r="F121" s="25"/>
      <c r="G121" s="367" t="s">
        <v>24920</v>
      </c>
      <c r="H121" s="73"/>
      <c r="I121" s="367"/>
      <c r="J121" s="367"/>
      <c r="K121" s="951"/>
    </row>
    <row r="122" spans="1:11">
      <c r="A122" s="1053" t="s">
        <v>189</v>
      </c>
      <c r="B122" s="1054"/>
      <c r="C122" s="1054"/>
      <c r="D122" s="1054"/>
      <c r="E122" s="1054"/>
      <c r="F122" s="521"/>
      <c r="G122" s="570"/>
      <c r="H122" s="521">
        <f>SUM(H114:H121)</f>
        <v>34000000</v>
      </c>
      <c r="I122" s="521"/>
      <c r="J122" s="523"/>
      <c r="K122" s="852">
        <f>SUM(K114:K121)</f>
        <v>71000000</v>
      </c>
    </row>
    <row r="123" spans="1:11">
      <c r="A123" s="1053" t="s">
        <v>9997</v>
      </c>
      <c r="B123" s="1054"/>
      <c r="C123" s="1054"/>
      <c r="D123" s="1054"/>
      <c r="E123" s="1054"/>
      <c r="F123" s="1054"/>
      <c r="G123" s="1054"/>
      <c r="H123" s="1054"/>
      <c r="I123" s="1054"/>
      <c r="J123" s="1054"/>
      <c r="K123" s="1055"/>
    </row>
    <row r="124" spans="1:11" ht="33.75">
      <c r="A124" s="51" t="s">
        <v>24947</v>
      </c>
      <c r="B124" s="25" t="s">
        <v>9798</v>
      </c>
      <c r="C124" s="941" t="s">
        <v>24948</v>
      </c>
      <c r="D124" s="367" t="s">
        <v>24941</v>
      </c>
      <c r="E124" s="25"/>
      <c r="F124" s="25"/>
      <c r="G124" s="367" t="s">
        <v>24949</v>
      </c>
      <c r="H124" s="73">
        <v>2000000</v>
      </c>
      <c r="I124" s="367">
        <v>1</v>
      </c>
      <c r="J124" s="367" t="s">
        <v>24950</v>
      </c>
      <c r="K124" s="951">
        <v>2000000</v>
      </c>
    </row>
    <row r="125" spans="1:11">
      <c r="A125" s="1053" t="s">
        <v>189</v>
      </c>
      <c r="B125" s="1054"/>
      <c r="C125" s="1054"/>
      <c r="D125" s="1054"/>
      <c r="E125" s="1054"/>
      <c r="F125" s="521"/>
      <c r="G125" s="570"/>
      <c r="H125" s="521">
        <f>SUM(H124)</f>
        <v>2000000</v>
      </c>
      <c r="I125" s="521"/>
      <c r="J125" s="523"/>
      <c r="K125" s="852">
        <f>SUM(K124)</f>
        <v>2000000</v>
      </c>
    </row>
    <row r="126" spans="1:11">
      <c r="A126" s="1053" t="s">
        <v>6458</v>
      </c>
      <c r="B126" s="1054"/>
      <c r="C126" s="1054"/>
      <c r="D126" s="1054"/>
      <c r="E126" s="1054"/>
      <c r="F126" s="1054"/>
      <c r="G126" s="1054"/>
      <c r="H126" s="1054"/>
      <c r="I126" s="1054"/>
      <c r="J126" s="1054"/>
      <c r="K126" s="1055"/>
    </row>
    <row r="127" spans="1:11" ht="38.25">
      <c r="A127" s="638" t="s">
        <v>938</v>
      </c>
      <c r="B127" s="284" t="s">
        <v>7180</v>
      </c>
      <c r="C127" s="284" t="s">
        <v>7181</v>
      </c>
      <c r="D127" s="284"/>
      <c r="E127" s="284" t="s">
        <v>7182</v>
      </c>
      <c r="F127" s="284" t="s">
        <v>7183</v>
      </c>
      <c r="G127" s="284" t="s">
        <v>7184</v>
      </c>
      <c r="H127" s="401">
        <v>10000000</v>
      </c>
      <c r="I127" s="284" t="s">
        <v>4572</v>
      </c>
      <c r="J127" s="284" t="s">
        <v>7185</v>
      </c>
      <c r="K127" s="639">
        <v>20000000</v>
      </c>
    </row>
    <row r="128" spans="1:11" ht="51">
      <c r="A128" s="638" t="s">
        <v>1846</v>
      </c>
      <c r="B128" s="284" t="s">
        <v>7186</v>
      </c>
      <c r="C128" s="284" t="s">
        <v>7187</v>
      </c>
      <c r="D128" s="284"/>
      <c r="E128" s="284" t="s">
        <v>7188</v>
      </c>
      <c r="F128" s="284" t="s">
        <v>7183</v>
      </c>
      <c r="G128" s="284" t="s">
        <v>7184</v>
      </c>
      <c r="H128" s="401">
        <v>15000000</v>
      </c>
      <c r="I128" s="284" t="s">
        <v>4572</v>
      </c>
      <c r="J128" s="284" t="s">
        <v>7189</v>
      </c>
      <c r="K128" s="639">
        <v>40000000</v>
      </c>
    </row>
    <row r="129" spans="1:11" ht="38.25">
      <c r="A129" s="638" t="s">
        <v>4161</v>
      </c>
      <c r="B129" s="284" t="s">
        <v>7190</v>
      </c>
      <c r="C129" s="284" t="s">
        <v>6468</v>
      </c>
      <c r="D129" s="284"/>
      <c r="E129" s="284" t="s">
        <v>7191</v>
      </c>
      <c r="F129" s="284" t="s">
        <v>7183</v>
      </c>
      <c r="G129" s="284" t="s">
        <v>7184</v>
      </c>
      <c r="H129" s="401">
        <v>5000000</v>
      </c>
      <c r="I129" s="284" t="s">
        <v>6465</v>
      </c>
      <c r="J129" s="284" t="s">
        <v>7192</v>
      </c>
      <c r="K129" s="639">
        <v>10000000</v>
      </c>
    </row>
    <row r="130" spans="1:11" ht="38.25">
      <c r="A130" s="638" t="s">
        <v>4161</v>
      </c>
      <c r="B130" s="284" t="s">
        <v>6502</v>
      </c>
      <c r="C130" s="284" t="s">
        <v>6503</v>
      </c>
      <c r="D130" s="284" t="s">
        <v>7193</v>
      </c>
      <c r="E130" s="284" t="s">
        <v>7194</v>
      </c>
      <c r="F130" s="284" t="s">
        <v>7195</v>
      </c>
      <c r="G130" s="284" t="s">
        <v>7196</v>
      </c>
      <c r="H130" s="401">
        <v>10000000</v>
      </c>
      <c r="I130" s="284" t="s">
        <v>4572</v>
      </c>
      <c r="J130" s="284" t="s">
        <v>7192</v>
      </c>
      <c r="K130" s="639">
        <v>25000000</v>
      </c>
    </row>
    <row r="131" spans="1:11" ht="38.25">
      <c r="A131" s="638" t="s">
        <v>4161</v>
      </c>
      <c r="B131" s="284" t="s">
        <v>7197</v>
      </c>
      <c r="C131" s="284" t="s">
        <v>6468</v>
      </c>
      <c r="D131" s="284"/>
      <c r="E131" s="284" t="s">
        <v>7198</v>
      </c>
      <c r="F131" s="284" t="s">
        <v>7199</v>
      </c>
      <c r="G131" s="284" t="s">
        <v>7184</v>
      </c>
      <c r="H131" s="401">
        <v>15000000</v>
      </c>
      <c r="I131" s="284" t="s">
        <v>4572</v>
      </c>
      <c r="J131" s="284" t="s">
        <v>7192</v>
      </c>
      <c r="K131" s="639">
        <v>25000000</v>
      </c>
    </row>
    <row r="132" spans="1:11" ht="38.25">
      <c r="A132" s="638" t="s">
        <v>6473</v>
      </c>
      <c r="B132" s="284" t="s">
        <v>6516</v>
      </c>
      <c r="C132" s="284" t="s">
        <v>6517</v>
      </c>
      <c r="D132" s="284" t="s">
        <v>7200</v>
      </c>
      <c r="E132" s="284" t="s">
        <v>7194</v>
      </c>
      <c r="F132" s="284" t="s">
        <v>7195</v>
      </c>
      <c r="G132" s="284" t="s">
        <v>7196</v>
      </c>
      <c r="H132" s="401">
        <v>10000000</v>
      </c>
      <c r="I132" s="284" t="s">
        <v>4572</v>
      </c>
      <c r="J132" s="284" t="s">
        <v>7192</v>
      </c>
      <c r="K132" s="639">
        <v>25000000</v>
      </c>
    </row>
    <row r="133" spans="1:11">
      <c r="A133" s="952"/>
      <c r="B133" s="377"/>
      <c r="C133" s="377"/>
      <c r="D133" s="377"/>
      <c r="E133" s="377"/>
      <c r="F133" s="272"/>
      <c r="G133" s="377"/>
      <c r="H133" s="493"/>
      <c r="I133" s="377"/>
      <c r="J133" s="377"/>
      <c r="K133" s="641"/>
    </row>
    <row r="134" spans="1:11">
      <c r="A134" s="1053" t="s">
        <v>6444</v>
      </c>
      <c r="B134" s="1054"/>
      <c r="C134" s="1054"/>
      <c r="D134" s="1054"/>
      <c r="E134" s="1054"/>
      <c r="F134" s="521"/>
      <c r="G134" s="570"/>
      <c r="H134" s="521">
        <f>SUM(H127:H133)</f>
        <v>65000000</v>
      </c>
      <c r="I134" s="521"/>
      <c r="J134" s="523"/>
      <c r="K134" s="852">
        <f>SUM(K127:K133)</f>
        <v>145000000</v>
      </c>
    </row>
    <row r="135" spans="1:11">
      <c r="A135" s="1053" t="s">
        <v>6620</v>
      </c>
      <c r="B135" s="1054"/>
      <c r="C135" s="1054"/>
      <c r="D135" s="1054"/>
      <c r="E135" s="1054"/>
      <c r="F135" s="1054"/>
      <c r="G135" s="1054"/>
      <c r="H135" s="1054"/>
      <c r="I135" s="1054"/>
      <c r="J135" s="1054"/>
      <c r="K135" s="1055"/>
    </row>
    <row r="136" spans="1:11" ht="165.75">
      <c r="A136" s="638" t="s">
        <v>6627</v>
      </c>
      <c r="B136" s="284" t="s">
        <v>7201</v>
      </c>
      <c r="C136" s="284" t="s">
        <v>7202</v>
      </c>
      <c r="D136" s="284" t="s">
        <v>7203</v>
      </c>
      <c r="E136" s="284">
        <v>1</v>
      </c>
      <c r="F136" s="284" t="s">
        <v>7204</v>
      </c>
      <c r="G136" s="284" t="s">
        <v>7205</v>
      </c>
      <c r="H136" s="401">
        <v>3000000</v>
      </c>
      <c r="I136" s="284">
        <v>1</v>
      </c>
      <c r="J136" s="284" t="s">
        <v>7206</v>
      </c>
      <c r="K136" s="639">
        <v>10500000</v>
      </c>
    </row>
    <row r="137" spans="1:11" ht="63.75">
      <c r="A137" s="638" t="s">
        <v>6621</v>
      </c>
      <c r="B137" s="284" t="s">
        <v>134</v>
      </c>
      <c r="C137" s="284" t="s">
        <v>7207</v>
      </c>
      <c r="D137" s="284" t="s">
        <v>7208</v>
      </c>
      <c r="E137" s="284">
        <v>1</v>
      </c>
      <c r="F137" s="284" t="s">
        <v>7209</v>
      </c>
      <c r="G137" s="284" t="s">
        <v>7210</v>
      </c>
      <c r="H137" s="401">
        <v>2500000</v>
      </c>
      <c r="I137" s="284">
        <v>1</v>
      </c>
      <c r="J137" s="377" t="s">
        <v>7211</v>
      </c>
      <c r="K137" s="639">
        <v>80000000</v>
      </c>
    </row>
    <row r="138" spans="1:11" ht="63.75">
      <c r="A138" s="638" t="s">
        <v>6621</v>
      </c>
      <c r="B138" s="284" t="s">
        <v>134</v>
      </c>
      <c r="C138" s="284" t="s">
        <v>7169</v>
      </c>
      <c r="D138" s="284" t="s">
        <v>134</v>
      </c>
      <c r="E138" s="284">
        <v>1</v>
      </c>
      <c r="F138" s="284" t="s">
        <v>7212</v>
      </c>
      <c r="G138" s="284" t="s">
        <v>7213</v>
      </c>
      <c r="H138" s="401">
        <v>40000000</v>
      </c>
      <c r="I138" s="284">
        <v>1</v>
      </c>
      <c r="J138" s="284" t="s">
        <v>7214</v>
      </c>
      <c r="K138" s="639">
        <v>80000000</v>
      </c>
    </row>
    <row r="139" spans="1:11" ht="165.75">
      <c r="A139" s="638" t="s">
        <v>4729</v>
      </c>
      <c r="B139" s="284" t="s">
        <v>4729</v>
      </c>
      <c r="C139" s="284" t="s">
        <v>7215</v>
      </c>
      <c r="D139" s="284" t="s">
        <v>7216</v>
      </c>
      <c r="E139" s="284">
        <v>1</v>
      </c>
      <c r="F139" s="377" t="s">
        <v>7217</v>
      </c>
      <c r="G139" s="284" t="s">
        <v>7218</v>
      </c>
      <c r="H139" s="401">
        <v>18000000</v>
      </c>
      <c r="I139" s="284">
        <v>1</v>
      </c>
      <c r="J139" s="284" t="s">
        <v>7219</v>
      </c>
      <c r="K139" s="639">
        <v>18000000</v>
      </c>
    </row>
    <row r="140" spans="1:11">
      <c r="A140" s="952"/>
      <c r="B140" s="377"/>
      <c r="C140" s="377"/>
      <c r="D140" s="377"/>
      <c r="E140" s="377"/>
      <c r="F140" s="272"/>
      <c r="G140" s="377"/>
      <c r="H140" s="493"/>
      <c r="I140" s="377"/>
      <c r="J140" s="377"/>
      <c r="K140" s="641"/>
    </row>
    <row r="141" spans="1:11">
      <c r="A141" s="1053" t="s">
        <v>6444</v>
      </c>
      <c r="B141" s="1054"/>
      <c r="C141" s="1054"/>
      <c r="D141" s="1054"/>
      <c r="E141" s="1054"/>
      <c r="F141" s="521"/>
      <c r="G141" s="570"/>
      <c r="H141" s="521">
        <f>SUM(H136:H140)</f>
        <v>63500000</v>
      </c>
      <c r="I141" s="521"/>
      <c r="J141" s="523"/>
      <c r="K141" s="852">
        <f>SUM(K136:K140)</f>
        <v>188500000</v>
      </c>
    </row>
    <row r="142" spans="1:11" ht="15.75" customHeight="1">
      <c r="A142" s="1053" t="s">
        <v>6634</v>
      </c>
      <c r="B142" s="1054"/>
      <c r="C142" s="1054"/>
      <c r="D142" s="1054"/>
      <c r="E142" s="1054"/>
      <c r="F142" s="1054"/>
      <c r="G142" s="1054"/>
      <c r="H142" s="1054"/>
      <c r="I142" s="1054"/>
      <c r="J142" s="1054"/>
      <c r="K142" s="1055"/>
    </row>
    <row r="143" spans="1:11" ht="67.5">
      <c r="A143" s="51" t="s">
        <v>6945</v>
      </c>
      <c r="B143" s="25" t="s">
        <v>24432</v>
      </c>
      <c r="C143" s="941" t="s">
        <v>24940</v>
      </c>
      <c r="D143" s="367" t="s">
        <v>24941</v>
      </c>
      <c r="E143" s="25"/>
      <c r="F143" s="25"/>
      <c r="G143" s="367" t="s">
        <v>24942</v>
      </c>
      <c r="H143" s="73">
        <v>750000</v>
      </c>
      <c r="I143" s="367">
        <v>1</v>
      </c>
      <c r="J143" s="367" t="s">
        <v>24943</v>
      </c>
      <c r="K143" s="951">
        <v>750000</v>
      </c>
    </row>
    <row r="144" spans="1:11" ht="67.5">
      <c r="A144" s="51" t="s">
        <v>6945</v>
      </c>
      <c r="B144" s="25" t="s">
        <v>24432</v>
      </c>
      <c r="C144" s="941" t="s">
        <v>24944</v>
      </c>
      <c r="D144" s="367" t="s">
        <v>24941</v>
      </c>
      <c r="E144" s="25"/>
      <c r="F144" s="25"/>
      <c r="G144" s="367" t="s">
        <v>24945</v>
      </c>
      <c r="H144" s="73">
        <v>3000000</v>
      </c>
      <c r="I144" s="367">
        <v>1</v>
      </c>
      <c r="J144" s="367" t="s">
        <v>24946</v>
      </c>
      <c r="K144" s="951">
        <v>3000000</v>
      </c>
    </row>
    <row r="145" spans="1:11">
      <c r="A145" s="952"/>
      <c r="B145" s="377"/>
      <c r="C145" s="377"/>
      <c r="D145" s="377"/>
      <c r="E145" s="377"/>
      <c r="F145" s="272"/>
      <c r="G145" s="377"/>
      <c r="H145" s="493"/>
      <c r="I145" s="377"/>
      <c r="J145" s="377"/>
      <c r="K145" s="641"/>
    </row>
    <row r="146" spans="1:11">
      <c r="A146" s="1053" t="s">
        <v>6444</v>
      </c>
      <c r="B146" s="1054"/>
      <c r="C146" s="1054"/>
      <c r="D146" s="1054"/>
      <c r="E146" s="1054"/>
      <c r="F146" s="521"/>
      <c r="G146" s="570"/>
      <c r="H146" s="521">
        <f>SUM(H143:H145)</f>
        <v>3750000</v>
      </c>
      <c r="I146" s="521"/>
      <c r="J146" s="523"/>
      <c r="K146" s="852">
        <f>SUM(K143:K145)</f>
        <v>3750000</v>
      </c>
    </row>
    <row r="147" spans="1:11">
      <c r="A147" s="1053" t="s">
        <v>7066</v>
      </c>
      <c r="B147" s="1054"/>
      <c r="C147" s="1054"/>
      <c r="D147" s="1054"/>
      <c r="E147" s="1054"/>
      <c r="F147" s="1054"/>
      <c r="G147" s="1054"/>
      <c r="H147" s="1054"/>
      <c r="I147" s="1054"/>
      <c r="J147" s="1054"/>
      <c r="K147" s="1055"/>
    </row>
    <row r="148" spans="1:11" ht="51">
      <c r="A148" s="638" t="s">
        <v>157</v>
      </c>
      <c r="B148" s="284" t="s">
        <v>137</v>
      </c>
      <c r="C148" s="284" t="s">
        <v>7220</v>
      </c>
      <c r="D148" s="284" t="s">
        <v>7221</v>
      </c>
      <c r="E148" s="284">
        <v>430</v>
      </c>
      <c r="F148" s="284" t="s">
        <v>7222</v>
      </c>
      <c r="G148" s="284" t="s">
        <v>7223</v>
      </c>
      <c r="H148" s="401">
        <v>2000000</v>
      </c>
      <c r="I148" s="284" t="s">
        <v>31</v>
      </c>
      <c r="J148" s="284" t="s">
        <v>7224</v>
      </c>
      <c r="K148" s="639">
        <v>4000000</v>
      </c>
    </row>
    <row r="149" spans="1:11">
      <c r="A149" s="952"/>
      <c r="B149" s="377"/>
      <c r="C149" s="377"/>
      <c r="D149" s="377"/>
      <c r="E149" s="377"/>
      <c r="F149" s="272"/>
      <c r="G149" s="377"/>
      <c r="H149" s="493"/>
      <c r="I149" s="377"/>
      <c r="J149" s="377"/>
      <c r="K149" s="641"/>
    </row>
    <row r="150" spans="1:11">
      <c r="A150" s="1053" t="s">
        <v>6444</v>
      </c>
      <c r="B150" s="1054"/>
      <c r="C150" s="1054"/>
      <c r="D150" s="1054"/>
      <c r="E150" s="1054"/>
      <c r="F150" s="521"/>
      <c r="G150" s="570"/>
      <c r="H150" s="521">
        <f>SUM(H148:H149)</f>
        <v>2000000</v>
      </c>
      <c r="I150" s="521"/>
      <c r="J150" s="523"/>
      <c r="K150" s="852">
        <f>SUM(K148:K149)</f>
        <v>4000000</v>
      </c>
    </row>
    <row r="151" spans="1:11">
      <c r="A151" s="1053" t="s">
        <v>5761</v>
      </c>
      <c r="B151" s="1054"/>
      <c r="C151" s="1054"/>
      <c r="D151" s="1054"/>
      <c r="E151" s="1054"/>
      <c r="F151" s="1054"/>
      <c r="G151" s="1054"/>
      <c r="H151" s="1054"/>
      <c r="I151" s="1054"/>
      <c r="J151" s="1054"/>
      <c r="K151" s="1055"/>
    </row>
    <row r="152" spans="1:11" ht="101.25">
      <c r="A152" s="645" t="s">
        <v>5762</v>
      </c>
      <c r="B152" s="236" t="s">
        <v>5763</v>
      </c>
      <c r="C152" s="237" t="s">
        <v>5764</v>
      </c>
      <c r="D152" s="237" t="s">
        <v>5765</v>
      </c>
      <c r="E152" s="237">
        <v>1</v>
      </c>
      <c r="F152" s="237" t="s">
        <v>5766</v>
      </c>
      <c r="G152" s="237" t="s">
        <v>5767</v>
      </c>
      <c r="H152" s="529"/>
      <c r="I152" s="237"/>
      <c r="J152" s="237" t="s">
        <v>5768</v>
      </c>
      <c r="K152" s="646">
        <v>36596214</v>
      </c>
    </row>
    <row r="153" spans="1:11" ht="67.5">
      <c r="A153" s="645" t="s">
        <v>5762</v>
      </c>
      <c r="B153" s="236" t="s">
        <v>5769</v>
      </c>
      <c r="C153" s="237" t="s">
        <v>5770</v>
      </c>
      <c r="D153" s="237" t="s">
        <v>5765</v>
      </c>
      <c r="E153" s="237">
        <v>1</v>
      </c>
      <c r="F153" s="237" t="s">
        <v>5766</v>
      </c>
      <c r="G153" s="237" t="s">
        <v>5771</v>
      </c>
      <c r="H153" s="529"/>
      <c r="I153" s="237"/>
      <c r="J153" s="237" t="s">
        <v>5768</v>
      </c>
      <c r="K153" s="646">
        <v>36596214</v>
      </c>
    </row>
    <row r="154" spans="1:11" ht="67.5">
      <c r="A154" s="645" t="s">
        <v>1697</v>
      </c>
      <c r="B154" s="236" t="s">
        <v>1819</v>
      </c>
      <c r="C154" s="237" t="s">
        <v>5356</v>
      </c>
      <c r="D154" s="237" t="s">
        <v>5772</v>
      </c>
      <c r="E154" s="237">
        <v>1</v>
      </c>
      <c r="F154" s="237" t="s">
        <v>5766</v>
      </c>
      <c r="G154" s="237" t="s">
        <v>5773</v>
      </c>
      <c r="H154" s="529"/>
      <c r="I154" s="237"/>
      <c r="J154" s="237" t="s">
        <v>5768</v>
      </c>
      <c r="K154" s="646">
        <v>35132365.140000001</v>
      </c>
    </row>
    <row r="155" spans="1:11" ht="67.5">
      <c r="A155" s="645" t="s">
        <v>5762</v>
      </c>
      <c r="B155" s="236" t="s">
        <v>5359</v>
      </c>
      <c r="C155" s="237" t="s">
        <v>5360</v>
      </c>
      <c r="D155" s="237" t="s">
        <v>201</v>
      </c>
      <c r="E155" s="237">
        <v>1</v>
      </c>
      <c r="F155" s="237" t="s">
        <v>5774</v>
      </c>
      <c r="G155" s="237" t="s">
        <v>5775</v>
      </c>
      <c r="H155" s="529"/>
      <c r="I155" s="237"/>
      <c r="J155" s="237" t="s">
        <v>5768</v>
      </c>
      <c r="K155" s="646">
        <v>29276971.199999999</v>
      </c>
    </row>
    <row r="156" spans="1:11" ht="67.5">
      <c r="A156" s="51" t="s">
        <v>4085</v>
      </c>
      <c r="B156" s="25" t="s">
        <v>4085</v>
      </c>
      <c r="C156" s="941" t="s">
        <v>24901</v>
      </c>
      <c r="D156" s="367"/>
      <c r="E156" s="25"/>
      <c r="F156" s="25"/>
      <c r="G156" s="367" t="s">
        <v>856</v>
      </c>
      <c r="H156" s="73"/>
      <c r="I156" s="367">
        <v>1</v>
      </c>
      <c r="J156" s="367" t="s">
        <v>24902</v>
      </c>
      <c r="K156" s="951">
        <v>20000000</v>
      </c>
    </row>
    <row r="157" spans="1:11">
      <c r="A157" s="51"/>
      <c r="B157" s="25"/>
      <c r="C157" s="941"/>
      <c r="D157" s="367"/>
      <c r="E157" s="25"/>
      <c r="F157" s="25"/>
      <c r="G157" s="367"/>
      <c r="H157" s="73"/>
      <c r="I157" s="367"/>
      <c r="J157" s="367"/>
      <c r="K157" s="951"/>
    </row>
    <row r="158" spans="1:11">
      <c r="A158" s="1053" t="s">
        <v>5370</v>
      </c>
      <c r="B158" s="1054"/>
      <c r="C158" s="1054"/>
      <c r="D158" s="1054"/>
      <c r="E158" s="1054"/>
      <c r="F158" s="521"/>
      <c r="G158" s="570"/>
      <c r="H158" s="521">
        <f>SUM(H152:H156)</f>
        <v>0</v>
      </c>
      <c r="I158" s="521"/>
      <c r="J158" s="523"/>
      <c r="K158" s="852">
        <f>SUM(K152:K156)</f>
        <v>157601764.34</v>
      </c>
    </row>
    <row r="159" spans="1:11">
      <c r="A159" s="953" t="s">
        <v>23846</v>
      </c>
      <c r="B159" s="570" t="s">
        <v>5548</v>
      </c>
      <c r="C159" s="570"/>
      <c r="D159" s="570"/>
      <c r="E159" s="570"/>
      <c r="F159" s="570"/>
      <c r="G159" s="570"/>
      <c r="H159" s="570"/>
      <c r="I159" s="570"/>
      <c r="J159" s="570"/>
      <c r="K159" s="954"/>
    </row>
    <row r="160" spans="1:11" ht="45">
      <c r="A160" s="22" t="s">
        <v>4268</v>
      </c>
      <c r="B160" s="26" t="s">
        <v>5748</v>
      </c>
      <c r="C160" s="569" t="s">
        <v>5580</v>
      </c>
      <c r="D160" s="569" t="s">
        <v>5776</v>
      </c>
      <c r="E160" s="569">
        <v>1</v>
      </c>
      <c r="F160" s="569" t="s">
        <v>5777</v>
      </c>
      <c r="G160" s="569" t="s">
        <v>5778</v>
      </c>
      <c r="H160" s="73">
        <v>3000000</v>
      </c>
      <c r="I160" s="569">
        <v>1</v>
      </c>
      <c r="J160" s="569" t="s">
        <v>5779</v>
      </c>
      <c r="K160" s="531">
        <v>8000000</v>
      </c>
    </row>
    <row r="161" spans="1:11" ht="45">
      <c r="A161" s="22" t="s">
        <v>4268</v>
      </c>
      <c r="B161" s="26" t="s">
        <v>5602</v>
      </c>
      <c r="C161" s="569" t="s">
        <v>5607</v>
      </c>
      <c r="D161" s="569" t="s">
        <v>5776</v>
      </c>
      <c r="E161" s="569">
        <v>1</v>
      </c>
      <c r="F161" s="569" t="s">
        <v>5777</v>
      </c>
      <c r="G161" s="569" t="s">
        <v>5778</v>
      </c>
      <c r="H161" s="73">
        <v>3500000</v>
      </c>
      <c r="I161" s="569">
        <v>1</v>
      </c>
      <c r="J161" s="569" t="s">
        <v>5780</v>
      </c>
      <c r="K161" s="531">
        <v>40000000</v>
      </c>
    </row>
    <row r="162" spans="1:11" ht="45">
      <c r="A162" s="22" t="s">
        <v>4268</v>
      </c>
      <c r="B162" s="26" t="s">
        <v>5781</v>
      </c>
      <c r="C162" s="569" t="s">
        <v>5782</v>
      </c>
      <c r="D162" s="569" t="s">
        <v>5783</v>
      </c>
      <c r="E162" s="569">
        <v>1</v>
      </c>
      <c r="F162" s="569" t="s">
        <v>5784</v>
      </c>
      <c r="G162" s="569" t="s">
        <v>5785</v>
      </c>
      <c r="H162" s="73">
        <v>5500000</v>
      </c>
      <c r="I162" s="569">
        <v>1</v>
      </c>
      <c r="J162" s="569" t="s">
        <v>5786</v>
      </c>
      <c r="K162" s="531">
        <v>60000000</v>
      </c>
    </row>
    <row r="163" spans="1:11" ht="56.25">
      <c r="A163" s="22" t="s">
        <v>19</v>
      </c>
      <c r="B163" s="26" t="s">
        <v>5723</v>
      </c>
      <c r="C163" s="569" t="s">
        <v>5574</v>
      </c>
      <c r="D163" s="569" t="s">
        <v>5783</v>
      </c>
      <c r="E163" s="569">
        <v>1</v>
      </c>
      <c r="F163" s="569" t="s">
        <v>5784</v>
      </c>
      <c r="G163" s="569" t="s">
        <v>5787</v>
      </c>
      <c r="H163" s="73">
        <v>3000000</v>
      </c>
      <c r="I163" s="569">
        <v>1</v>
      </c>
      <c r="J163" s="569" t="s">
        <v>5780</v>
      </c>
      <c r="K163" s="531">
        <v>60000000</v>
      </c>
    </row>
    <row r="164" spans="1:11" ht="45">
      <c r="A164" s="22" t="s">
        <v>4268</v>
      </c>
      <c r="B164" s="26" t="s">
        <v>5781</v>
      </c>
      <c r="C164" s="569" t="s">
        <v>5788</v>
      </c>
      <c r="D164" s="569" t="s">
        <v>5783</v>
      </c>
      <c r="E164" s="569">
        <v>1</v>
      </c>
      <c r="F164" s="569" t="s">
        <v>2157</v>
      </c>
      <c r="G164" s="569" t="s">
        <v>5789</v>
      </c>
      <c r="H164" s="73">
        <v>7500000</v>
      </c>
      <c r="I164" s="569">
        <v>1</v>
      </c>
      <c r="J164" s="569" t="s">
        <v>5786</v>
      </c>
      <c r="K164" s="531">
        <v>65000000</v>
      </c>
    </row>
    <row r="165" spans="1:11" ht="67.5">
      <c r="A165" s="22" t="s">
        <v>19</v>
      </c>
      <c r="B165" s="26" t="s">
        <v>5790</v>
      </c>
      <c r="C165" s="569" t="s">
        <v>5791</v>
      </c>
      <c r="D165" s="569" t="s">
        <v>5776</v>
      </c>
      <c r="E165" s="569">
        <v>1</v>
      </c>
      <c r="F165" s="569" t="s">
        <v>2157</v>
      </c>
      <c r="G165" s="569" t="s">
        <v>5792</v>
      </c>
      <c r="H165" s="73">
        <v>7000000</v>
      </c>
      <c r="I165" s="569">
        <v>1</v>
      </c>
      <c r="J165" s="569" t="s">
        <v>5793</v>
      </c>
      <c r="K165" s="531">
        <v>75000000</v>
      </c>
    </row>
    <row r="166" spans="1:11">
      <c r="A166" s="1053" t="s">
        <v>5760</v>
      </c>
      <c r="B166" s="1054"/>
      <c r="C166" s="1054"/>
      <c r="D166" s="1054"/>
      <c r="E166" s="1054"/>
      <c r="F166" s="521"/>
      <c r="G166" s="570"/>
      <c r="H166" s="521">
        <f>SUM(H160:H165)</f>
        <v>29500000</v>
      </c>
      <c r="I166" s="521"/>
      <c r="J166" s="523"/>
      <c r="K166" s="852">
        <f>SUM(K160:K165)</f>
        <v>308000000</v>
      </c>
    </row>
    <row r="167" spans="1:11">
      <c r="A167" s="1053" t="s">
        <v>704</v>
      </c>
      <c r="B167" s="1054"/>
      <c r="C167" s="1054"/>
      <c r="D167" s="1054"/>
      <c r="E167" s="1054"/>
      <c r="F167" s="1054"/>
      <c r="G167" s="1054"/>
      <c r="H167" s="1054"/>
      <c r="I167" s="1054"/>
      <c r="J167" s="1054"/>
      <c r="K167" s="1055"/>
    </row>
    <row r="168" spans="1:11" ht="25.5">
      <c r="A168" s="955" t="s">
        <v>705</v>
      </c>
      <c r="B168" s="38" t="s">
        <v>845</v>
      </c>
      <c r="C168" s="38" t="s">
        <v>846</v>
      </c>
      <c r="D168" s="38" t="s">
        <v>847</v>
      </c>
      <c r="E168" s="38">
        <v>1</v>
      </c>
      <c r="F168" s="38" t="s">
        <v>848</v>
      </c>
      <c r="G168" s="38" t="s">
        <v>821</v>
      </c>
      <c r="H168" s="381">
        <v>680000</v>
      </c>
      <c r="I168" s="52" t="s">
        <v>725</v>
      </c>
      <c r="J168" s="942" t="s">
        <v>849</v>
      </c>
      <c r="K168" s="530">
        <v>2347500</v>
      </c>
    </row>
    <row r="169" spans="1:11" ht="51">
      <c r="A169" s="955" t="s">
        <v>768</v>
      </c>
      <c r="B169" s="38" t="s">
        <v>850</v>
      </c>
      <c r="C169" s="42" t="s">
        <v>781</v>
      </c>
      <c r="D169" s="38" t="s">
        <v>624</v>
      </c>
      <c r="E169" s="38">
        <v>1</v>
      </c>
      <c r="F169" s="38" t="s">
        <v>851</v>
      </c>
      <c r="G169" s="38" t="s">
        <v>821</v>
      </c>
      <c r="H169" s="381">
        <v>255000</v>
      </c>
      <c r="I169" s="52" t="s">
        <v>18</v>
      </c>
      <c r="J169" s="942" t="s">
        <v>852</v>
      </c>
      <c r="K169" s="530">
        <v>1600000</v>
      </c>
    </row>
    <row r="170" spans="1:11">
      <c r="A170" s="1061" t="s">
        <v>853</v>
      </c>
      <c r="B170" s="38" t="s">
        <v>854</v>
      </c>
      <c r="C170" s="42" t="s">
        <v>800</v>
      </c>
      <c r="D170" s="38" t="s">
        <v>624</v>
      </c>
      <c r="E170" s="38">
        <v>1</v>
      </c>
      <c r="F170" s="38" t="s">
        <v>855</v>
      </c>
      <c r="G170" s="38" t="s">
        <v>856</v>
      </c>
      <c r="H170" s="381">
        <v>170000</v>
      </c>
      <c r="I170" s="52" t="s">
        <v>725</v>
      </c>
      <c r="J170" s="942" t="s">
        <v>857</v>
      </c>
      <c r="K170" s="530">
        <v>20162500</v>
      </c>
    </row>
    <row r="171" spans="1:11">
      <c r="A171" s="1061"/>
      <c r="B171" s="38" t="s">
        <v>858</v>
      </c>
      <c r="C171" s="38" t="s">
        <v>859</v>
      </c>
      <c r="D171" s="38" t="s">
        <v>594</v>
      </c>
      <c r="E171" s="38">
        <v>1</v>
      </c>
      <c r="F171" s="38" t="s">
        <v>855</v>
      </c>
      <c r="G171" s="38" t="s">
        <v>821</v>
      </c>
      <c r="H171" s="381">
        <v>510000</v>
      </c>
      <c r="I171" s="52" t="s">
        <v>18</v>
      </c>
      <c r="J171" s="942" t="s">
        <v>860</v>
      </c>
      <c r="K171" s="530">
        <v>2985000</v>
      </c>
    </row>
    <row r="172" spans="1:11" ht="25.5">
      <c r="A172" s="1061"/>
      <c r="B172" s="38" t="s">
        <v>861</v>
      </c>
      <c r="C172" s="38" t="s">
        <v>862</v>
      </c>
      <c r="D172" s="38" t="s">
        <v>863</v>
      </c>
      <c r="E172" s="38">
        <v>1</v>
      </c>
      <c r="F172" s="38" t="s">
        <v>855</v>
      </c>
      <c r="G172" s="38" t="s">
        <v>864</v>
      </c>
      <c r="H172" s="381">
        <v>340000</v>
      </c>
      <c r="I172" s="52" t="s">
        <v>18</v>
      </c>
      <c r="J172" s="942" t="s">
        <v>865</v>
      </c>
      <c r="K172" s="530">
        <v>21200000</v>
      </c>
    </row>
    <row r="173" spans="1:11">
      <c r="A173" s="1053" t="s">
        <v>189</v>
      </c>
      <c r="B173" s="1054"/>
      <c r="C173" s="1054"/>
      <c r="D173" s="1054"/>
      <c r="E173" s="1054"/>
      <c r="F173" s="521"/>
      <c r="G173" s="570"/>
      <c r="H173" s="521">
        <f>SUM(H168:H172)</f>
        <v>1955000</v>
      </c>
      <c r="I173" s="521"/>
      <c r="J173" s="523"/>
      <c r="K173" s="852">
        <f>SUM(K168:K172)</f>
        <v>48295000</v>
      </c>
    </row>
    <row r="174" spans="1:11">
      <c r="A174" s="1053" t="s">
        <v>866</v>
      </c>
      <c r="B174" s="1054"/>
      <c r="C174" s="1054"/>
      <c r="D174" s="1054"/>
      <c r="E174" s="1054"/>
      <c r="F174" s="1054"/>
      <c r="G174" s="1054"/>
      <c r="H174" s="1054"/>
      <c r="I174" s="1054"/>
      <c r="J174" s="1054"/>
      <c r="K174" s="1055"/>
    </row>
    <row r="175" spans="1:11" ht="38.25">
      <c r="A175" s="51" t="s">
        <v>867</v>
      </c>
      <c r="B175" s="324" t="s">
        <v>323</v>
      </c>
      <c r="C175" s="26" t="s">
        <v>956</v>
      </c>
      <c r="D175" s="52" t="s">
        <v>957</v>
      </c>
      <c r="E175" s="52">
        <v>1</v>
      </c>
      <c r="F175" s="52" t="s">
        <v>958</v>
      </c>
      <c r="G175" s="52" t="s">
        <v>959</v>
      </c>
      <c r="H175" s="381">
        <v>15000000</v>
      </c>
      <c r="I175" s="52">
        <v>1</v>
      </c>
      <c r="J175" s="52" t="s">
        <v>960</v>
      </c>
      <c r="K175" s="530">
        <v>22000000</v>
      </c>
    </row>
    <row r="176" spans="1:11">
      <c r="A176" s="1053" t="s">
        <v>189</v>
      </c>
      <c r="B176" s="1054"/>
      <c r="C176" s="1054"/>
      <c r="D176" s="1054"/>
      <c r="E176" s="1054"/>
      <c r="F176" s="521"/>
      <c r="G176" s="570"/>
      <c r="H176" s="521">
        <f>SUM(H175)</f>
        <v>15000000</v>
      </c>
      <c r="I176" s="521"/>
      <c r="J176" s="523"/>
      <c r="K176" s="852">
        <f>SUM(K175)</f>
        <v>22000000</v>
      </c>
    </row>
    <row r="177" spans="1:11">
      <c r="A177" s="1053" t="s">
        <v>1261</v>
      </c>
      <c r="B177" s="1054"/>
      <c r="C177" s="1054"/>
      <c r="D177" s="1054"/>
      <c r="E177" s="1054"/>
      <c r="F177" s="1054"/>
      <c r="G177" s="1054"/>
      <c r="H177" s="1054"/>
      <c r="I177" s="1054"/>
      <c r="J177" s="1054"/>
      <c r="K177" s="1055"/>
    </row>
    <row r="178" spans="1:11" ht="114.75">
      <c r="A178" s="27" t="s">
        <v>1055</v>
      </c>
      <c r="B178" s="300" t="s">
        <v>1048</v>
      </c>
      <c r="C178" s="48" t="s">
        <v>1318</v>
      </c>
      <c r="D178" s="26" t="s">
        <v>1319</v>
      </c>
      <c r="E178" s="26">
        <v>1</v>
      </c>
      <c r="F178" s="26" t="s">
        <v>1320</v>
      </c>
      <c r="G178" s="26" t="s">
        <v>1321</v>
      </c>
      <c r="H178" s="381">
        <v>6000000</v>
      </c>
      <c r="I178" s="91">
        <v>1</v>
      </c>
      <c r="J178" s="26" t="s">
        <v>1322</v>
      </c>
      <c r="K178" s="530">
        <v>17000000</v>
      </c>
    </row>
    <row r="179" spans="1:11" ht="165.75">
      <c r="A179" s="27" t="s">
        <v>1268</v>
      </c>
      <c r="B179" s="300" t="s">
        <v>621</v>
      </c>
      <c r="C179" s="48" t="s">
        <v>1272</v>
      </c>
      <c r="D179" s="52" t="s">
        <v>1273</v>
      </c>
      <c r="E179" s="52">
        <v>1</v>
      </c>
      <c r="F179" s="52" t="s">
        <v>1274</v>
      </c>
      <c r="G179" s="52" t="s">
        <v>1275</v>
      </c>
      <c r="H179" s="381">
        <v>18000000</v>
      </c>
      <c r="I179" s="91">
        <v>2</v>
      </c>
      <c r="J179" s="26" t="s">
        <v>1276</v>
      </c>
      <c r="K179" s="530">
        <v>18000000</v>
      </c>
    </row>
    <row r="180" spans="1:11" ht="51">
      <c r="A180" s="27" t="s">
        <v>1268</v>
      </c>
      <c r="B180" s="300" t="s">
        <v>1323</v>
      </c>
      <c r="C180" s="48" t="s">
        <v>1255</v>
      </c>
      <c r="D180" s="52" t="s">
        <v>1324</v>
      </c>
      <c r="E180" s="52">
        <v>1</v>
      </c>
      <c r="F180" s="52" t="s">
        <v>1325</v>
      </c>
      <c r="G180" s="52" t="s">
        <v>1326</v>
      </c>
      <c r="H180" s="381">
        <v>6000000</v>
      </c>
      <c r="I180" s="91">
        <v>1</v>
      </c>
      <c r="J180" s="52" t="s">
        <v>1327</v>
      </c>
      <c r="K180" s="530">
        <v>12000000</v>
      </c>
    </row>
    <row r="181" spans="1:11" ht="63.75">
      <c r="A181" s="27" t="s">
        <v>1268</v>
      </c>
      <c r="B181" s="300" t="s">
        <v>1323</v>
      </c>
      <c r="C181" s="48" t="s">
        <v>1255</v>
      </c>
      <c r="D181" s="52" t="s">
        <v>1328</v>
      </c>
      <c r="E181" s="52">
        <v>1</v>
      </c>
      <c r="F181" s="52" t="s">
        <v>1329</v>
      </c>
      <c r="G181" s="52" t="s">
        <v>1330</v>
      </c>
      <c r="H181" s="381">
        <v>5000000</v>
      </c>
      <c r="I181" s="91">
        <v>1</v>
      </c>
      <c r="J181" s="52" t="s">
        <v>1331</v>
      </c>
      <c r="K181" s="530">
        <v>15000000</v>
      </c>
    </row>
    <row r="182" spans="1:11" ht="127.5">
      <c r="A182" s="27" t="s">
        <v>1268</v>
      </c>
      <c r="B182" s="300" t="s">
        <v>1332</v>
      </c>
      <c r="C182" s="48" t="s">
        <v>1059</v>
      </c>
      <c r="D182" s="26" t="s">
        <v>1333</v>
      </c>
      <c r="E182" s="26">
        <v>1</v>
      </c>
      <c r="F182" s="26" t="s">
        <v>1329</v>
      </c>
      <c r="G182" s="26" t="s">
        <v>1334</v>
      </c>
      <c r="H182" s="381">
        <v>12000000</v>
      </c>
      <c r="I182" s="91">
        <v>1</v>
      </c>
      <c r="J182" s="26" t="s">
        <v>1331</v>
      </c>
      <c r="K182" s="530">
        <v>20000000</v>
      </c>
    </row>
    <row r="183" spans="1:11" ht="76.5">
      <c r="A183" s="27" t="s">
        <v>1268</v>
      </c>
      <c r="B183" s="300" t="s">
        <v>1332</v>
      </c>
      <c r="C183" s="48" t="s">
        <v>1059</v>
      </c>
      <c r="D183" s="26" t="s">
        <v>1333</v>
      </c>
      <c r="E183" s="26">
        <v>1</v>
      </c>
      <c r="F183" s="26" t="s">
        <v>1320</v>
      </c>
      <c r="G183" s="26" t="s">
        <v>1335</v>
      </c>
      <c r="H183" s="381">
        <v>5000000</v>
      </c>
      <c r="I183" s="91">
        <v>1</v>
      </c>
      <c r="J183" s="26" t="s">
        <v>1331</v>
      </c>
      <c r="K183" s="530">
        <v>12000000</v>
      </c>
    </row>
    <row r="184" spans="1:11">
      <c r="A184" s="1053" t="s">
        <v>189</v>
      </c>
      <c r="B184" s="1054"/>
      <c r="C184" s="1054"/>
      <c r="D184" s="1054"/>
      <c r="E184" s="1054"/>
      <c r="F184" s="521"/>
      <c r="G184" s="570"/>
      <c r="H184" s="521">
        <f>SUM(H178:H183)</f>
        <v>52000000</v>
      </c>
      <c r="I184" s="521"/>
      <c r="J184" s="523"/>
      <c r="K184" s="852">
        <f>SUM(K178:K183)</f>
        <v>94000000</v>
      </c>
    </row>
    <row r="185" spans="1:11">
      <c r="A185" s="1053" t="s">
        <v>1467</v>
      </c>
      <c r="B185" s="1054"/>
      <c r="C185" s="1054"/>
      <c r="D185" s="1054"/>
      <c r="E185" s="1054"/>
      <c r="F185" s="1054"/>
      <c r="G185" s="1054"/>
      <c r="H185" s="1054"/>
      <c r="I185" s="1054"/>
      <c r="J185" s="1054"/>
      <c r="K185" s="1055"/>
    </row>
    <row r="186" spans="1:11" ht="38.25">
      <c r="A186" s="51" t="s">
        <v>1417</v>
      </c>
      <c r="B186" s="324" t="s">
        <v>1473</v>
      </c>
      <c r="C186" s="52" t="s">
        <v>1468</v>
      </c>
      <c r="D186" s="52" t="s">
        <v>1474</v>
      </c>
      <c r="E186" s="52">
        <v>1</v>
      </c>
      <c r="F186" s="52" t="s">
        <v>1475</v>
      </c>
      <c r="G186" s="52" t="s">
        <v>1476</v>
      </c>
      <c r="H186" s="381">
        <v>6000000</v>
      </c>
      <c r="I186" s="52"/>
      <c r="J186" s="52" t="s">
        <v>1477</v>
      </c>
      <c r="K186" s="530">
        <v>12000000</v>
      </c>
    </row>
    <row r="187" spans="1:11" ht="51">
      <c r="A187" s="51" t="s">
        <v>1417</v>
      </c>
      <c r="B187" s="324" t="s">
        <v>1478</v>
      </c>
      <c r="C187" s="52"/>
      <c r="D187" s="52" t="s">
        <v>1479</v>
      </c>
      <c r="E187" s="52"/>
      <c r="F187" s="52" t="s">
        <v>1480</v>
      </c>
      <c r="G187" s="52" t="s">
        <v>1481</v>
      </c>
      <c r="H187" s="381">
        <v>20000000</v>
      </c>
      <c r="I187" s="52"/>
      <c r="J187" s="52" t="s">
        <v>1477</v>
      </c>
      <c r="K187" s="530">
        <v>35000000</v>
      </c>
    </row>
    <row r="188" spans="1:11">
      <c r="A188" s="1053" t="s">
        <v>189</v>
      </c>
      <c r="B188" s="1054"/>
      <c r="C188" s="1054"/>
      <c r="D188" s="1054"/>
      <c r="E188" s="1054"/>
      <c r="F188" s="521"/>
      <c r="G188" s="570"/>
      <c r="H188" s="521">
        <f>SUM(H186:H187)</f>
        <v>26000000</v>
      </c>
      <c r="I188" s="521"/>
      <c r="J188" s="523"/>
      <c r="K188" s="852">
        <f>SUM(K186:K187)</f>
        <v>47000000</v>
      </c>
    </row>
    <row r="189" spans="1:11">
      <c r="A189" s="1053" t="s">
        <v>1482</v>
      </c>
      <c r="B189" s="1054"/>
      <c r="C189" s="1054"/>
      <c r="D189" s="1054"/>
      <c r="E189" s="1054"/>
      <c r="F189" s="1054"/>
      <c r="G189" s="1054"/>
      <c r="H189" s="1054"/>
      <c r="I189" s="1054"/>
      <c r="J189" s="1054"/>
      <c r="K189" s="1055"/>
    </row>
    <row r="190" spans="1:11" ht="22.5">
      <c r="A190" s="51" t="s">
        <v>1601</v>
      </c>
      <c r="B190" s="25" t="s">
        <v>1556</v>
      </c>
      <c r="C190" s="941" t="s">
        <v>24898</v>
      </c>
      <c r="D190" s="367"/>
      <c r="E190" s="25"/>
      <c r="F190" s="25" t="s">
        <v>2491</v>
      </c>
      <c r="G190" s="367" t="s">
        <v>24899</v>
      </c>
      <c r="H190" s="73"/>
      <c r="I190" s="367">
        <v>1</v>
      </c>
      <c r="J190" s="367" t="s">
        <v>24900</v>
      </c>
      <c r="K190" s="951">
        <v>150000000</v>
      </c>
    </row>
    <row r="191" spans="1:11">
      <c r="A191" s="1053" t="s">
        <v>189</v>
      </c>
      <c r="B191" s="1054"/>
      <c r="C191" s="1054"/>
      <c r="D191" s="1054"/>
      <c r="E191" s="1054"/>
      <c r="F191" s="521"/>
      <c r="G191" s="570"/>
      <c r="H191" s="521">
        <f>SUM(H190)</f>
        <v>0</v>
      </c>
      <c r="I191" s="521"/>
      <c r="J191" s="523"/>
      <c r="K191" s="852">
        <f>SUM(K190)</f>
        <v>150000000</v>
      </c>
    </row>
    <row r="192" spans="1:11">
      <c r="A192" s="1053" t="s">
        <v>118</v>
      </c>
      <c r="B192" s="1054"/>
      <c r="C192" s="1054"/>
      <c r="D192" s="1054"/>
      <c r="E192" s="1054"/>
      <c r="F192" s="1054"/>
      <c r="G192" s="1054"/>
      <c r="H192" s="1054"/>
      <c r="I192" s="1054"/>
      <c r="J192" s="1054"/>
      <c r="K192" s="1055"/>
    </row>
    <row r="193" spans="1:11" ht="51">
      <c r="A193" s="20" t="s">
        <v>119</v>
      </c>
      <c r="B193" s="21" t="s">
        <v>222</v>
      </c>
      <c r="C193" s="21" t="s">
        <v>223</v>
      </c>
      <c r="D193" s="21" t="s">
        <v>201</v>
      </c>
      <c r="E193" s="21">
        <v>3</v>
      </c>
      <c r="F193" s="21" t="s">
        <v>224</v>
      </c>
      <c r="G193" s="21" t="s">
        <v>225</v>
      </c>
      <c r="H193" s="495">
        <v>3300000</v>
      </c>
      <c r="I193" s="21" t="s">
        <v>226</v>
      </c>
      <c r="J193" s="21" t="s">
        <v>227</v>
      </c>
      <c r="K193" s="509">
        <v>67490000</v>
      </c>
    </row>
    <row r="194" spans="1:11" ht="51">
      <c r="A194" s="20" t="s">
        <v>119</v>
      </c>
      <c r="B194" s="21" t="s">
        <v>123</v>
      </c>
      <c r="C194" s="21" t="s">
        <v>228</v>
      </c>
      <c r="D194" s="21" t="s">
        <v>201</v>
      </c>
      <c r="E194" s="21">
        <v>1</v>
      </c>
      <c r="F194" s="21" t="s">
        <v>229</v>
      </c>
      <c r="G194" s="21" t="s">
        <v>230</v>
      </c>
      <c r="H194" s="495">
        <v>1100000</v>
      </c>
      <c r="I194" s="21" t="s">
        <v>226</v>
      </c>
      <c r="J194" s="21" t="s">
        <v>231</v>
      </c>
      <c r="K194" s="509">
        <v>22500000</v>
      </c>
    </row>
    <row r="195" spans="1:11" ht="51">
      <c r="A195" s="15" t="s">
        <v>176</v>
      </c>
      <c r="B195" s="21" t="s">
        <v>180</v>
      </c>
      <c r="C195" s="21" t="s">
        <v>232</v>
      </c>
      <c r="D195" s="21" t="s">
        <v>233</v>
      </c>
      <c r="E195" s="21">
        <v>1</v>
      </c>
      <c r="F195" s="21" t="s">
        <v>229</v>
      </c>
      <c r="G195" s="21" t="s">
        <v>230</v>
      </c>
      <c r="H195" s="495">
        <v>1100000</v>
      </c>
      <c r="I195" s="21" t="s">
        <v>226</v>
      </c>
      <c r="J195" s="21" t="s">
        <v>231</v>
      </c>
      <c r="K195" s="509">
        <v>22500000</v>
      </c>
    </row>
    <row r="196" spans="1:11" ht="51">
      <c r="A196" s="15" t="s">
        <v>176</v>
      </c>
      <c r="B196" s="21" t="s">
        <v>177</v>
      </c>
      <c r="C196" s="21" t="s">
        <v>234</v>
      </c>
      <c r="D196" s="21" t="s">
        <v>201</v>
      </c>
      <c r="E196" s="21">
        <v>1</v>
      </c>
      <c r="F196" s="21" t="s">
        <v>229</v>
      </c>
      <c r="G196" s="21" t="s">
        <v>230</v>
      </c>
      <c r="H196" s="495">
        <v>1100000</v>
      </c>
      <c r="I196" s="21" t="s">
        <v>226</v>
      </c>
      <c r="J196" s="21" t="s">
        <v>231</v>
      </c>
      <c r="K196" s="509">
        <v>22500000</v>
      </c>
    </row>
    <row r="197" spans="1:11" ht="51">
      <c r="A197" s="15" t="s">
        <v>176</v>
      </c>
      <c r="B197" s="21" t="s">
        <v>235</v>
      </c>
      <c r="C197" s="21" t="s">
        <v>236</v>
      </c>
      <c r="D197" s="21" t="s">
        <v>201</v>
      </c>
      <c r="E197" s="21">
        <v>2</v>
      </c>
      <c r="F197" s="21" t="s">
        <v>237</v>
      </c>
      <c r="G197" s="21" t="s">
        <v>225</v>
      </c>
      <c r="H197" s="495">
        <v>1100000</v>
      </c>
      <c r="I197" s="21" t="s">
        <v>226</v>
      </c>
      <c r="J197" s="21" t="s">
        <v>238</v>
      </c>
      <c r="K197" s="509">
        <v>33740000</v>
      </c>
    </row>
    <row r="198" spans="1:11" ht="67.5">
      <c r="A198" s="51" t="s">
        <v>24876</v>
      </c>
      <c r="B198" s="25" t="s">
        <v>24877</v>
      </c>
      <c r="C198" s="941" t="s">
        <v>24878</v>
      </c>
      <c r="D198" s="367"/>
      <c r="E198" s="25"/>
      <c r="F198" s="25"/>
      <c r="G198" s="367" t="s">
        <v>24879</v>
      </c>
      <c r="H198" s="73"/>
      <c r="I198" s="367"/>
      <c r="J198" s="367" t="s">
        <v>24880</v>
      </c>
      <c r="K198" s="951">
        <v>280000</v>
      </c>
    </row>
    <row r="199" spans="1:11" ht="67.5">
      <c r="A199" s="51" t="s">
        <v>24876</v>
      </c>
      <c r="B199" s="25" t="s">
        <v>24877</v>
      </c>
      <c r="C199" s="941" t="s">
        <v>24881</v>
      </c>
      <c r="D199" s="367"/>
      <c r="E199" s="25"/>
      <c r="F199" s="25"/>
      <c r="G199" s="367" t="s">
        <v>24882</v>
      </c>
      <c r="H199" s="73"/>
      <c r="I199" s="367"/>
      <c r="J199" s="367" t="s">
        <v>24883</v>
      </c>
      <c r="K199" s="951">
        <v>300000</v>
      </c>
    </row>
    <row r="200" spans="1:11" ht="67.5">
      <c r="A200" s="51" t="s">
        <v>23713</v>
      </c>
      <c r="B200" s="25" t="s">
        <v>23713</v>
      </c>
      <c r="C200" s="941" t="s">
        <v>24884</v>
      </c>
      <c r="D200" s="367"/>
      <c r="E200" s="25"/>
      <c r="F200" s="25"/>
      <c r="G200" s="367" t="s">
        <v>24885</v>
      </c>
      <c r="H200" s="73"/>
      <c r="I200" s="367"/>
      <c r="J200" s="367" t="s">
        <v>24886</v>
      </c>
      <c r="K200" s="951">
        <v>900000</v>
      </c>
    </row>
    <row r="201" spans="1:11" ht="67.5">
      <c r="A201" s="51" t="s">
        <v>23693</v>
      </c>
      <c r="B201" s="25" t="s">
        <v>174</v>
      </c>
      <c r="C201" s="941" t="s">
        <v>24887</v>
      </c>
      <c r="D201" s="367"/>
      <c r="E201" s="25"/>
      <c r="F201" s="25"/>
      <c r="G201" s="367" t="s">
        <v>24888</v>
      </c>
      <c r="H201" s="73"/>
      <c r="I201" s="367"/>
      <c r="J201" s="367" t="s">
        <v>24889</v>
      </c>
      <c r="K201" s="951">
        <v>180000</v>
      </c>
    </row>
    <row r="202" spans="1:11" ht="67.5">
      <c r="A202" s="51" t="s">
        <v>23693</v>
      </c>
      <c r="B202" s="25" t="s">
        <v>174</v>
      </c>
      <c r="C202" s="941" t="s">
        <v>24890</v>
      </c>
      <c r="D202" s="367"/>
      <c r="E202" s="25"/>
      <c r="F202" s="25"/>
      <c r="G202" s="367" t="s">
        <v>23974</v>
      </c>
      <c r="H202" s="73"/>
      <c r="I202" s="367"/>
      <c r="J202" s="367" t="s">
        <v>24891</v>
      </c>
      <c r="K202" s="951">
        <v>1260000</v>
      </c>
    </row>
    <row r="203" spans="1:11" ht="67.5">
      <c r="A203" s="51" t="s">
        <v>23693</v>
      </c>
      <c r="B203" s="25" t="s">
        <v>174</v>
      </c>
      <c r="C203" s="941" t="s">
        <v>24892</v>
      </c>
      <c r="D203" s="367"/>
      <c r="E203" s="25"/>
      <c r="F203" s="25"/>
      <c r="G203" s="367" t="s">
        <v>24893</v>
      </c>
      <c r="H203" s="73"/>
      <c r="I203" s="367"/>
      <c r="J203" s="367" t="s">
        <v>24894</v>
      </c>
      <c r="K203" s="951">
        <v>300000</v>
      </c>
    </row>
    <row r="204" spans="1:11" ht="67.5">
      <c r="A204" s="51" t="s">
        <v>23693</v>
      </c>
      <c r="B204" s="25" t="s">
        <v>174</v>
      </c>
      <c r="C204" s="941" t="s">
        <v>24895</v>
      </c>
      <c r="D204" s="367"/>
      <c r="E204" s="25"/>
      <c r="F204" s="25"/>
      <c r="G204" s="367" t="s">
        <v>24896</v>
      </c>
      <c r="H204" s="73"/>
      <c r="I204" s="367"/>
      <c r="J204" s="367" t="s">
        <v>24897</v>
      </c>
      <c r="K204" s="951">
        <v>300000</v>
      </c>
    </row>
    <row r="205" spans="1:11">
      <c r="A205" s="1053" t="s">
        <v>189</v>
      </c>
      <c r="B205" s="1054"/>
      <c r="C205" s="1054"/>
      <c r="D205" s="1054"/>
      <c r="E205" s="1054"/>
      <c r="F205" s="521"/>
      <c r="G205" s="570"/>
      <c r="H205" s="521">
        <f>SUM(H193:H204)</f>
        <v>7700000</v>
      </c>
      <c r="I205" s="521"/>
      <c r="J205" s="523"/>
      <c r="K205" s="852">
        <f>SUM(K193:K204)</f>
        <v>172250000</v>
      </c>
    </row>
    <row r="206" spans="1:11">
      <c r="A206" s="1053" t="s">
        <v>1786</v>
      </c>
      <c r="B206" s="1054"/>
      <c r="C206" s="1054"/>
      <c r="D206" s="1054"/>
      <c r="E206" s="1054"/>
      <c r="F206" s="1054"/>
      <c r="G206" s="1054"/>
      <c r="H206" s="1054"/>
      <c r="I206" s="1054"/>
      <c r="J206" s="1054"/>
      <c r="K206" s="1055"/>
    </row>
    <row r="207" spans="1:11" ht="67.5">
      <c r="A207" s="51" t="s">
        <v>23556</v>
      </c>
      <c r="B207" s="25" t="s">
        <v>10109</v>
      </c>
      <c r="C207" s="941" t="s">
        <v>24869</v>
      </c>
      <c r="D207" s="367"/>
      <c r="E207" s="25"/>
      <c r="F207" s="25"/>
      <c r="G207" s="367" t="s">
        <v>24870</v>
      </c>
      <c r="H207" s="73"/>
      <c r="I207" s="367"/>
      <c r="J207" s="367" t="s">
        <v>24871</v>
      </c>
      <c r="K207" s="951">
        <v>400000</v>
      </c>
    </row>
    <row r="208" spans="1:11">
      <c r="A208" s="1053" t="s">
        <v>189</v>
      </c>
      <c r="B208" s="1054"/>
      <c r="C208" s="1054"/>
      <c r="D208" s="1054"/>
      <c r="E208" s="1054"/>
      <c r="F208" s="521"/>
      <c r="G208" s="570"/>
      <c r="H208" s="521">
        <f>SUM(H207)</f>
        <v>0</v>
      </c>
      <c r="I208" s="521"/>
      <c r="J208" s="523"/>
      <c r="K208" s="852">
        <f>SUM(K207)</f>
        <v>400000</v>
      </c>
    </row>
    <row r="209" spans="1:11">
      <c r="A209" s="1053" t="s">
        <v>610</v>
      </c>
      <c r="B209" s="1054"/>
      <c r="C209" s="1054"/>
      <c r="D209" s="1054"/>
      <c r="E209" s="1054"/>
      <c r="F209" s="1054"/>
      <c r="G209" s="1054"/>
      <c r="H209" s="1054"/>
      <c r="I209" s="1054"/>
      <c r="J209" s="1054"/>
      <c r="K209" s="1055"/>
    </row>
    <row r="210" spans="1:11" ht="191.25">
      <c r="A210" s="27" t="s">
        <v>621</v>
      </c>
      <c r="B210" s="300" t="s">
        <v>622</v>
      </c>
      <c r="C210" s="569" t="s">
        <v>623</v>
      </c>
      <c r="D210" s="569" t="s">
        <v>624</v>
      </c>
      <c r="E210" s="569">
        <v>30</v>
      </c>
      <c r="F210" s="569" t="s">
        <v>625</v>
      </c>
      <c r="G210" s="569" t="s">
        <v>626</v>
      </c>
      <c r="H210" s="73">
        <v>15000000</v>
      </c>
      <c r="I210" s="569">
        <v>1</v>
      </c>
      <c r="J210" s="569" t="s">
        <v>627</v>
      </c>
      <c r="K210" s="531">
        <v>31596642</v>
      </c>
    </row>
    <row r="211" spans="1:11" ht="191.25">
      <c r="A211" s="27" t="s">
        <v>594</v>
      </c>
      <c r="B211" s="300" t="s">
        <v>628</v>
      </c>
      <c r="C211" s="569" t="s">
        <v>629</v>
      </c>
      <c r="D211" s="569" t="s">
        <v>624</v>
      </c>
      <c r="E211" s="569">
        <v>10</v>
      </c>
      <c r="F211" s="569" t="s">
        <v>630</v>
      </c>
      <c r="G211" s="569" t="s">
        <v>626</v>
      </c>
      <c r="H211" s="73">
        <v>7000000</v>
      </c>
      <c r="I211" s="569">
        <v>2</v>
      </c>
      <c r="J211" s="569" t="s">
        <v>631</v>
      </c>
      <c r="K211" s="531">
        <v>24024550</v>
      </c>
    </row>
    <row r="212" spans="1:11" ht="191.25">
      <c r="A212" s="27" t="s">
        <v>594</v>
      </c>
      <c r="B212" s="300" t="s">
        <v>606</v>
      </c>
      <c r="C212" s="569" t="s">
        <v>632</v>
      </c>
      <c r="D212" s="569" t="s">
        <v>624</v>
      </c>
      <c r="E212" s="569">
        <v>12</v>
      </c>
      <c r="F212" s="569" t="s">
        <v>630</v>
      </c>
      <c r="G212" s="569" t="s">
        <v>626</v>
      </c>
      <c r="H212" s="73">
        <v>10000000</v>
      </c>
      <c r="I212" s="569">
        <v>3</v>
      </c>
      <c r="J212" s="569" t="s">
        <v>631</v>
      </c>
      <c r="K212" s="531">
        <v>24024550</v>
      </c>
    </row>
    <row r="213" spans="1:11" ht="191.25">
      <c r="A213" s="27" t="s">
        <v>594</v>
      </c>
      <c r="B213" s="300" t="s">
        <v>606</v>
      </c>
      <c r="C213" s="569" t="s">
        <v>632</v>
      </c>
      <c r="D213" s="569" t="s">
        <v>633</v>
      </c>
      <c r="E213" s="569">
        <v>12</v>
      </c>
      <c r="F213" s="569" t="s">
        <v>634</v>
      </c>
      <c r="G213" s="569" t="s">
        <v>626</v>
      </c>
      <c r="H213" s="73">
        <v>14000000</v>
      </c>
      <c r="I213" s="569">
        <v>4</v>
      </c>
      <c r="J213" s="569" t="s">
        <v>635</v>
      </c>
      <c r="K213" s="531">
        <v>29040550</v>
      </c>
    </row>
    <row r="214" spans="1:11" ht="202.5">
      <c r="A214" s="27" t="s">
        <v>594</v>
      </c>
      <c r="B214" s="300" t="s">
        <v>606</v>
      </c>
      <c r="C214" s="569" t="s">
        <v>632</v>
      </c>
      <c r="D214" s="569" t="s">
        <v>636</v>
      </c>
      <c r="E214" s="569">
        <v>24</v>
      </c>
      <c r="F214" s="569" t="s">
        <v>637</v>
      </c>
      <c r="G214" s="569" t="s">
        <v>626</v>
      </c>
      <c r="H214" s="73">
        <v>20000000</v>
      </c>
      <c r="I214" s="569">
        <v>5</v>
      </c>
      <c r="J214" s="569" t="s">
        <v>638</v>
      </c>
      <c r="K214" s="531">
        <v>50689100</v>
      </c>
    </row>
    <row r="215" spans="1:11" ht="225">
      <c r="A215" s="27" t="s">
        <v>602</v>
      </c>
      <c r="B215" s="300" t="s">
        <v>595</v>
      </c>
      <c r="C215" s="569" t="s">
        <v>596</v>
      </c>
      <c r="D215" s="569" t="s">
        <v>595</v>
      </c>
      <c r="E215" s="569">
        <v>1</v>
      </c>
      <c r="F215" s="569" t="s">
        <v>639</v>
      </c>
      <c r="G215" s="569" t="s">
        <v>640</v>
      </c>
      <c r="H215" s="73">
        <v>5000000</v>
      </c>
      <c r="I215" s="569">
        <v>6</v>
      </c>
      <c r="J215" s="569" t="s">
        <v>641</v>
      </c>
      <c r="K215" s="531">
        <v>16509350</v>
      </c>
    </row>
    <row r="216" spans="1:11" ht="191.25">
      <c r="A216" s="27" t="s">
        <v>594</v>
      </c>
      <c r="B216" s="300" t="s">
        <v>642</v>
      </c>
      <c r="C216" s="569" t="s">
        <v>643</v>
      </c>
      <c r="D216" s="569" t="s">
        <v>624</v>
      </c>
      <c r="E216" s="569">
        <v>12</v>
      </c>
      <c r="F216" s="569" t="s">
        <v>630</v>
      </c>
      <c r="G216" s="569" t="s">
        <v>626</v>
      </c>
      <c r="H216" s="73">
        <v>9000000</v>
      </c>
      <c r="I216" s="569">
        <v>7</v>
      </c>
      <c r="J216" s="569" t="s">
        <v>631</v>
      </c>
      <c r="K216" s="531">
        <v>24585000</v>
      </c>
    </row>
    <row r="217" spans="1:11" ht="33.75">
      <c r="A217" s="51" t="s">
        <v>24960</v>
      </c>
      <c r="B217" s="25" t="s">
        <v>24961</v>
      </c>
      <c r="C217" s="941" t="s">
        <v>24962</v>
      </c>
      <c r="D217" s="367" t="s">
        <v>3307</v>
      </c>
      <c r="E217" s="25"/>
      <c r="F217" s="25" t="s">
        <v>3307</v>
      </c>
      <c r="G217" s="367" t="s">
        <v>24963</v>
      </c>
      <c r="H217" s="73" t="s">
        <v>3307</v>
      </c>
      <c r="I217" s="367">
        <v>1</v>
      </c>
      <c r="J217" s="367" t="s">
        <v>24964</v>
      </c>
      <c r="K217" s="951">
        <v>328000</v>
      </c>
    </row>
    <row r="218" spans="1:11" ht="56.25">
      <c r="A218" s="51"/>
      <c r="B218" s="25"/>
      <c r="C218" s="941" t="s">
        <v>24965</v>
      </c>
      <c r="D218" s="367"/>
      <c r="E218" s="25"/>
      <c r="F218" s="25"/>
      <c r="G218" s="367" t="s">
        <v>24966</v>
      </c>
      <c r="H218" s="73" t="s">
        <v>3307</v>
      </c>
      <c r="I218" s="367">
        <v>1</v>
      </c>
      <c r="J218" s="367" t="s">
        <v>24967</v>
      </c>
      <c r="K218" s="951">
        <v>260000</v>
      </c>
    </row>
    <row r="219" spans="1:11" ht="56.25">
      <c r="A219" s="51" t="s">
        <v>24601</v>
      </c>
      <c r="B219" s="25" t="s">
        <v>24642</v>
      </c>
      <c r="C219" s="941" t="s">
        <v>24968</v>
      </c>
      <c r="D219" s="367"/>
      <c r="E219" s="25"/>
      <c r="F219" s="25"/>
      <c r="G219" s="367" t="s">
        <v>24885</v>
      </c>
      <c r="H219" s="73"/>
      <c r="I219" s="367"/>
      <c r="J219" s="367" t="s">
        <v>24969</v>
      </c>
      <c r="K219" s="951">
        <v>250000</v>
      </c>
    </row>
    <row r="220" spans="1:11" ht="67.5">
      <c r="A220" s="51" t="s">
        <v>24546</v>
      </c>
      <c r="B220" s="25" t="s">
        <v>24970</v>
      </c>
      <c r="C220" s="941" t="s">
        <v>24971</v>
      </c>
      <c r="D220" s="367"/>
      <c r="E220" s="25"/>
      <c r="F220" s="25"/>
      <c r="G220" s="367" t="s">
        <v>24972</v>
      </c>
      <c r="H220" s="73"/>
      <c r="I220" s="367"/>
      <c r="J220" s="367" t="s">
        <v>23716</v>
      </c>
      <c r="K220" s="951">
        <v>300000</v>
      </c>
    </row>
    <row r="221" spans="1:11" ht="67.5">
      <c r="A221" s="51" t="s">
        <v>24617</v>
      </c>
      <c r="B221" s="25" t="s">
        <v>1462</v>
      </c>
      <c r="C221" s="941" t="s">
        <v>24973</v>
      </c>
      <c r="D221" s="367"/>
      <c r="E221" s="25"/>
      <c r="F221" s="25"/>
      <c r="G221" s="367" t="s">
        <v>24974</v>
      </c>
      <c r="H221" s="73"/>
      <c r="I221" s="367"/>
      <c r="J221" s="367" t="s">
        <v>24580</v>
      </c>
      <c r="K221" s="951">
        <v>450000</v>
      </c>
    </row>
    <row r="222" spans="1:11">
      <c r="A222" s="1053" t="s">
        <v>189</v>
      </c>
      <c r="B222" s="1054"/>
      <c r="C222" s="1054"/>
      <c r="D222" s="1054"/>
      <c r="E222" s="1054"/>
      <c r="F222" s="521"/>
      <c r="G222" s="570"/>
      <c r="H222" s="521">
        <f>SUM(H210:H221)</f>
        <v>80000000</v>
      </c>
      <c r="I222" s="521"/>
      <c r="J222" s="523"/>
      <c r="K222" s="852">
        <f>SUM(K210:K221)</f>
        <v>202057742</v>
      </c>
    </row>
    <row r="223" spans="1:11">
      <c r="A223" s="1053" t="s">
        <v>561</v>
      </c>
      <c r="B223" s="1054"/>
      <c r="C223" s="1054"/>
      <c r="D223" s="1054"/>
      <c r="E223" s="1054"/>
      <c r="F223" s="1054"/>
      <c r="G223" s="1054"/>
      <c r="H223" s="1054"/>
      <c r="I223" s="1054"/>
      <c r="J223" s="1054"/>
      <c r="K223" s="1055"/>
    </row>
    <row r="224" spans="1:11" ht="63.75">
      <c r="A224" s="22" t="s">
        <v>568</v>
      </c>
      <c r="B224" s="26" t="s">
        <v>372</v>
      </c>
      <c r="C224" s="26" t="s">
        <v>569</v>
      </c>
      <c r="D224" s="26" t="s">
        <v>560</v>
      </c>
      <c r="E224" s="26" t="s">
        <v>570</v>
      </c>
      <c r="F224" s="26" t="s">
        <v>571</v>
      </c>
      <c r="G224" s="26" t="s">
        <v>572</v>
      </c>
      <c r="H224" s="381">
        <v>15000000</v>
      </c>
      <c r="I224" s="26">
        <v>1</v>
      </c>
      <c r="J224" s="26" t="s">
        <v>399</v>
      </c>
      <c r="K224" s="530">
        <v>30000000</v>
      </c>
    </row>
    <row r="225" spans="1:11" ht="63.75">
      <c r="A225" s="22" t="s">
        <v>568</v>
      </c>
      <c r="B225" s="26" t="s">
        <v>372</v>
      </c>
      <c r="C225" s="26" t="s">
        <v>569</v>
      </c>
      <c r="D225" s="26" t="s">
        <v>560</v>
      </c>
      <c r="E225" s="26" t="s">
        <v>570</v>
      </c>
      <c r="F225" s="26" t="s">
        <v>573</v>
      </c>
      <c r="G225" s="26" t="s">
        <v>572</v>
      </c>
      <c r="H225" s="381">
        <v>5000000</v>
      </c>
      <c r="I225" s="26">
        <v>1</v>
      </c>
      <c r="J225" s="26" t="s">
        <v>399</v>
      </c>
      <c r="K225" s="530">
        <v>15000000</v>
      </c>
    </row>
    <row r="226" spans="1:11" ht="63.75">
      <c r="A226" s="22" t="s">
        <v>568</v>
      </c>
      <c r="B226" s="26" t="s">
        <v>372</v>
      </c>
      <c r="C226" s="26" t="s">
        <v>569</v>
      </c>
      <c r="D226" s="26" t="s">
        <v>560</v>
      </c>
      <c r="E226" s="26" t="s">
        <v>574</v>
      </c>
      <c r="F226" s="26" t="s">
        <v>575</v>
      </c>
      <c r="G226" s="26" t="s">
        <v>572</v>
      </c>
      <c r="H226" s="381">
        <v>10000000</v>
      </c>
      <c r="I226" s="26">
        <v>1</v>
      </c>
      <c r="J226" s="26" t="s">
        <v>399</v>
      </c>
      <c r="K226" s="530">
        <v>25000000</v>
      </c>
    </row>
    <row r="227" spans="1:11" ht="89.25">
      <c r="A227" s="27" t="s">
        <v>376</v>
      </c>
      <c r="B227" s="300" t="s">
        <v>372</v>
      </c>
      <c r="C227" s="28" t="s">
        <v>383</v>
      </c>
      <c r="D227" s="26"/>
      <c r="E227" s="26" t="s">
        <v>576</v>
      </c>
      <c r="F227" s="26" t="s">
        <v>577</v>
      </c>
      <c r="G227" s="26" t="s">
        <v>578</v>
      </c>
      <c r="H227" s="381">
        <v>5000000</v>
      </c>
      <c r="I227" s="26">
        <v>1</v>
      </c>
      <c r="J227" s="26" t="s">
        <v>579</v>
      </c>
      <c r="K227" s="530">
        <v>15000000</v>
      </c>
    </row>
    <row r="228" spans="1:11" ht="38.25">
      <c r="A228" s="27" t="s">
        <v>388</v>
      </c>
      <c r="B228" s="300" t="s">
        <v>372</v>
      </c>
      <c r="C228" s="26" t="s">
        <v>392</v>
      </c>
      <c r="D228" s="26"/>
      <c r="E228" s="26" t="s">
        <v>576</v>
      </c>
      <c r="F228" s="26" t="s">
        <v>577</v>
      </c>
      <c r="G228" s="26" t="s">
        <v>580</v>
      </c>
      <c r="H228" s="381">
        <v>200000</v>
      </c>
      <c r="I228" s="26">
        <v>2</v>
      </c>
      <c r="J228" s="26" t="s">
        <v>581</v>
      </c>
      <c r="K228" s="530">
        <v>50000</v>
      </c>
    </row>
    <row r="229" spans="1:11" ht="51">
      <c r="A229" s="27" t="s">
        <v>380</v>
      </c>
      <c r="B229" s="300" t="s">
        <v>372</v>
      </c>
      <c r="C229" s="26" t="s">
        <v>397</v>
      </c>
      <c r="D229" s="26"/>
      <c r="E229" s="26" t="s">
        <v>576</v>
      </c>
      <c r="F229" s="26" t="s">
        <v>577</v>
      </c>
      <c r="G229" s="26" t="s">
        <v>582</v>
      </c>
      <c r="H229" s="381">
        <v>200000</v>
      </c>
      <c r="I229" s="26">
        <v>2</v>
      </c>
      <c r="J229" s="26" t="s">
        <v>581</v>
      </c>
      <c r="K229" s="530">
        <v>50000</v>
      </c>
    </row>
    <row r="230" spans="1:11" ht="38.25">
      <c r="A230" s="27" t="s">
        <v>380</v>
      </c>
      <c r="B230" s="300" t="s">
        <v>372</v>
      </c>
      <c r="C230" s="26" t="s">
        <v>400</v>
      </c>
      <c r="D230" s="26"/>
      <c r="E230" s="26" t="s">
        <v>576</v>
      </c>
      <c r="F230" s="26" t="s">
        <v>577</v>
      </c>
      <c r="G230" s="26" t="s">
        <v>583</v>
      </c>
      <c r="H230" s="381">
        <v>450000</v>
      </c>
      <c r="I230" s="26">
        <v>1</v>
      </c>
      <c r="J230" s="26" t="s">
        <v>584</v>
      </c>
      <c r="K230" s="530">
        <v>50000</v>
      </c>
    </row>
    <row r="231" spans="1:11" ht="63.75">
      <c r="A231" s="27" t="s">
        <v>401</v>
      </c>
      <c r="B231" s="300" t="s">
        <v>372</v>
      </c>
      <c r="C231" s="26" t="s">
        <v>402</v>
      </c>
      <c r="D231" s="26"/>
      <c r="E231" s="26" t="s">
        <v>576</v>
      </c>
      <c r="F231" s="26" t="s">
        <v>577</v>
      </c>
      <c r="G231" s="26" t="s">
        <v>585</v>
      </c>
      <c r="H231" s="381">
        <v>1000000</v>
      </c>
      <c r="I231" s="26">
        <v>1</v>
      </c>
      <c r="J231" s="26" t="s">
        <v>586</v>
      </c>
      <c r="K231" s="530">
        <v>5000000</v>
      </c>
    </row>
    <row r="232" spans="1:11" ht="38.25">
      <c r="A232" s="27" t="s">
        <v>371</v>
      </c>
      <c r="B232" s="300" t="s">
        <v>372</v>
      </c>
      <c r="C232" s="26" t="s">
        <v>404</v>
      </c>
      <c r="D232" s="26"/>
      <c r="E232" s="26" t="s">
        <v>576</v>
      </c>
      <c r="F232" s="26" t="s">
        <v>577</v>
      </c>
      <c r="G232" s="26" t="s">
        <v>587</v>
      </c>
      <c r="H232" s="381">
        <v>250000</v>
      </c>
      <c r="I232" s="26">
        <v>1</v>
      </c>
      <c r="J232" s="26" t="s">
        <v>588</v>
      </c>
      <c r="K232" s="530">
        <v>2000000</v>
      </c>
    </row>
    <row r="233" spans="1:11" ht="33.75">
      <c r="A233" s="51"/>
      <c r="B233" s="25"/>
      <c r="C233" s="941" t="s">
        <v>24921</v>
      </c>
      <c r="D233" s="367"/>
      <c r="E233" s="25"/>
      <c r="F233" s="25"/>
      <c r="G233" s="367" t="s">
        <v>24922</v>
      </c>
      <c r="H233" s="73"/>
      <c r="I233" s="367"/>
      <c r="J233" s="367" t="s">
        <v>24923</v>
      </c>
      <c r="K233" s="951"/>
    </row>
    <row r="234" spans="1:11">
      <c r="A234" s="1053" t="s">
        <v>189</v>
      </c>
      <c r="B234" s="1054"/>
      <c r="C234" s="1054"/>
      <c r="D234" s="1054"/>
      <c r="E234" s="1054"/>
      <c r="F234" s="521"/>
      <c r="G234" s="570"/>
      <c r="H234" s="521">
        <f>SUM(H224:H233)</f>
        <v>37100000</v>
      </c>
      <c r="I234" s="521"/>
      <c r="J234" s="523"/>
      <c r="K234" s="852">
        <f>SUM(K224:K233)</f>
        <v>92150000</v>
      </c>
    </row>
    <row r="235" spans="1:11">
      <c r="A235" s="1053" t="s">
        <v>1706</v>
      </c>
      <c r="B235" s="1054"/>
      <c r="C235" s="1054"/>
      <c r="D235" s="1054"/>
      <c r="E235" s="1054"/>
      <c r="F235" s="1054"/>
      <c r="G235" s="1054"/>
      <c r="H235" s="1054"/>
      <c r="I235" s="1054"/>
      <c r="J235" s="1054"/>
      <c r="K235" s="1055"/>
    </row>
    <row r="236" spans="1:11" ht="33.75">
      <c r="A236" s="51">
        <v>10</v>
      </c>
      <c r="B236" s="25" t="s">
        <v>323</v>
      </c>
      <c r="C236" s="941" t="s">
        <v>24912</v>
      </c>
      <c r="D236" s="367"/>
      <c r="E236" s="25"/>
      <c r="F236" s="25"/>
      <c r="G236" s="367" t="s">
        <v>24913</v>
      </c>
      <c r="H236" s="73"/>
      <c r="I236" s="367">
        <v>1</v>
      </c>
      <c r="J236" s="367" t="s">
        <v>24914</v>
      </c>
      <c r="K236" s="951">
        <v>37500000</v>
      </c>
    </row>
    <row r="237" spans="1:11" ht="33.75">
      <c r="A237" s="51">
        <v>10</v>
      </c>
      <c r="B237" s="25" t="s">
        <v>24915</v>
      </c>
      <c r="C237" s="941" t="s">
        <v>24916</v>
      </c>
      <c r="D237" s="367" t="s">
        <v>855</v>
      </c>
      <c r="E237" s="25"/>
      <c r="F237" s="25" t="s">
        <v>24917</v>
      </c>
      <c r="G237" s="367" t="s">
        <v>24918</v>
      </c>
      <c r="H237" s="73"/>
      <c r="I237" s="367">
        <v>1</v>
      </c>
      <c r="J237" s="367"/>
      <c r="K237" s="951">
        <v>153358810</v>
      </c>
    </row>
    <row r="238" spans="1:11">
      <c r="A238" s="1053" t="s">
        <v>189</v>
      </c>
      <c r="B238" s="1054"/>
      <c r="C238" s="1054"/>
      <c r="D238" s="1054"/>
      <c r="E238" s="1054"/>
      <c r="F238" s="521"/>
      <c r="G238" s="570"/>
      <c r="H238" s="521">
        <f>SUM(H236:H237)</f>
        <v>0</v>
      </c>
      <c r="I238" s="521"/>
      <c r="J238" s="523"/>
      <c r="K238" s="852">
        <f>SUM(K236:K237)</f>
        <v>190858810</v>
      </c>
    </row>
    <row r="239" spans="1:11" ht="15" customHeight="1">
      <c r="A239" s="1053" t="s">
        <v>7270</v>
      </c>
      <c r="B239" s="1054"/>
      <c r="C239" s="1054"/>
      <c r="D239" s="1054"/>
      <c r="E239" s="1054"/>
      <c r="F239" s="1054"/>
      <c r="G239" s="1054"/>
      <c r="H239" s="1054"/>
      <c r="I239" s="1054"/>
      <c r="J239" s="1054"/>
      <c r="K239" s="1055"/>
    </row>
    <row r="240" spans="1:11" ht="78.75">
      <c r="A240" s="27" t="s">
        <v>7271</v>
      </c>
      <c r="B240" s="300" t="s">
        <v>1864</v>
      </c>
      <c r="C240" s="569" t="s">
        <v>7279</v>
      </c>
      <c r="D240" s="35" t="s">
        <v>8319</v>
      </c>
      <c r="E240" s="569">
        <v>3</v>
      </c>
      <c r="F240" s="35" t="s">
        <v>8804</v>
      </c>
      <c r="G240" s="35" t="s">
        <v>8805</v>
      </c>
      <c r="H240" s="73">
        <f>(100*5*3*3000)+20000000</f>
        <v>24500000</v>
      </c>
      <c r="I240" s="569" t="s">
        <v>30</v>
      </c>
      <c r="J240" s="35" t="s">
        <v>8806</v>
      </c>
      <c r="K240" s="531">
        <f>55000000+65000000+70000000</f>
        <v>190000000</v>
      </c>
    </row>
    <row r="241" spans="1:11" ht="78.75">
      <c r="A241" s="27" t="s">
        <v>7286</v>
      </c>
      <c r="B241" s="300" t="s">
        <v>7287</v>
      </c>
      <c r="C241" s="569" t="s">
        <v>7288</v>
      </c>
      <c r="D241" s="35" t="s">
        <v>8807</v>
      </c>
      <c r="E241" s="569">
        <v>1</v>
      </c>
      <c r="F241" s="35" t="s">
        <v>8808</v>
      </c>
      <c r="G241" s="35" t="s">
        <v>8809</v>
      </c>
      <c r="H241" s="73">
        <v>12000000</v>
      </c>
      <c r="I241" s="569" t="s">
        <v>30</v>
      </c>
      <c r="J241" s="35" t="s">
        <v>8810</v>
      </c>
      <c r="K241" s="531">
        <v>55000000</v>
      </c>
    </row>
    <row r="242" spans="1:11" ht="78.75">
      <c r="A242" s="27" t="s">
        <v>7271</v>
      </c>
      <c r="B242" s="300" t="s">
        <v>8307</v>
      </c>
      <c r="C242" s="569" t="s">
        <v>7341</v>
      </c>
      <c r="D242" s="35" t="s">
        <v>8811</v>
      </c>
      <c r="E242" s="569">
        <v>4</v>
      </c>
      <c r="F242" s="35" t="s">
        <v>8812</v>
      </c>
      <c r="G242" s="35" t="s">
        <v>8809</v>
      </c>
      <c r="H242" s="73">
        <v>7000000</v>
      </c>
      <c r="I242" s="569" t="s">
        <v>30</v>
      </c>
      <c r="J242" s="35" t="s">
        <v>8813</v>
      </c>
      <c r="K242" s="531">
        <f>((8*930630.13)+(48*435250)+(112*6219.2))*1.05</f>
        <v>30485271.011999998</v>
      </c>
    </row>
    <row r="243" spans="1:11" ht="78.75">
      <c r="A243" s="51" t="s">
        <v>8272</v>
      </c>
      <c r="B243" s="25"/>
      <c r="C243" s="941" t="s">
        <v>24936</v>
      </c>
      <c r="D243" s="367"/>
      <c r="E243" s="25"/>
      <c r="F243" s="25" t="s">
        <v>24937</v>
      </c>
      <c r="G243" s="367" t="s">
        <v>24938</v>
      </c>
      <c r="H243" s="73"/>
      <c r="I243" s="367">
        <v>1</v>
      </c>
      <c r="J243" s="367" t="s">
        <v>24939</v>
      </c>
      <c r="K243" s="951">
        <v>120000000</v>
      </c>
    </row>
    <row r="244" spans="1:11" ht="15.75">
      <c r="A244" s="956"/>
      <c r="B244" s="301"/>
      <c r="C244" s="301"/>
      <c r="D244" s="301"/>
      <c r="E244" s="301"/>
      <c r="F244" s="302"/>
      <c r="G244" s="303"/>
      <c r="H244" s="489"/>
      <c r="I244" s="301"/>
      <c r="J244" s="303"/>
      <c r="K244" s="659"/>
    </row>
    <row r="245" spans="1:11">
      <c r="A245" s="1053" t="s">
        <v>6444</v>
      </c>
      <c r="B245" s="1054"/>
      <c r="C245" s="1054"/>
      <c r="D245" s="1054"/>
      <c r="E245" s="1054"/>
      <c r="F245" s="521"/>
      <c r="G245" s="570"/>
      <c r="H245" s="521">
        <f>SUM(H240:H244)</f>
        <v>43500000</v>
      </c>
      <c r="I245" s="521"/>
      <c r="J245" s="523"/>
      <c r="K245" s="852">
        <f>SUM(K240:K244)</f>
        <v>395485271.01200002</v>
      </c>
    </row>
    <row r="246" spans="1:11" ht="15.75" customHeight="1">
      <c r="A246" s="1053" t="s">
        <v>7469</v>
      </c>
      <c r="B246" s="1054"/>
      <c r="C246" s="1054"/>
      <c r="D246" s="1054"/>
      <c r="E246" s="1054"/>
      <c r="F246" s="1054"/>
      <c r="G246" s="1054"/>
      <c r="H246" s="1054"/>
      <c r="I246" s="1054"/>
      <c r="J246" s="1054"/>
      <c r="K246" s="1055"/>
    </row>
    <row r="247" spans="1:11" ht="33.75">
      <c r="A247" s="51" t="s">
        <v>7489</v>
      </c>
      <c r="B247" s="324" t="s">
        <v>3199</v>
      </c>
      <c r="C247" s="25" t="s">
        <v>7500</v>
      </c>
      <c r="D247" s="25" t="s">
        <v>8814</v>
      </c>
      <c r="E247" s="25">
        <v>2</v>
      </c>
      <c r="F247" s="25" t="s">
        <v>8815</v>
      </c>
      <c r="G247" s="25" t="s">
        <v>8816</v>
      </c>
      <c r="H247" s="73"/>
      <c r="I247" s="25">
        <v>1</v>
      </c>
      <c r="J247" s="25" t="s">
        <v>8817</v>
      </c>
      <c r="K247" s="531">
        <v>50000000</v>
      </c>
    </row>
    <row r="248" spans="1:11" ht="33.75">
      <c r="A248" s="51" t="s">
        <v>7489</v>
      </c>
      <c r="B248" s="324" t="s">
        <v>4343</v>
      </c>
      <c r="C248" s="25" t="s">
        <v>7492</v>
      </c>
      <c r="D248" s="25" t="s">
        <v>8384</v>
      </c>
      <c r="E248" s="25">
        <v>2</v>
      </c>
      <c r="F248" s="25" t="s">
        <v>8815</v>
      </c>
      <c r="G248" s="25" t="s">
        <v>8816</v>
      </c>
      <c r="H248" s="73"/>
      <c r="I248" s="25">
        <v>2</v>
      </c>
      <c r="J248" s="25" t="s">
        <v>8817</v>
      </c>
      <c r="K248" s="531">
        <v>50000000</v>
      </c>
    </row>
    <row r="249" spans="1:11" ht="33.75">
      <c r="A249" s="51" t="s">
        <v>7489</v>
      </c>
      <c r="B249" s="324" t="s">
        <v>1230</v>
      </c>
      <c r="C249" s="25" t="s">
        <v>7490</v>
      </c>
      <c r="D249" s="25" t="s">
        <v>8818</v>
      </c>
      <c r="E249" s="25">
        <v>1</v>
      </c>
      <c r="F249" s="25" t="s">
        <v>8815</v>
      </c>
      <c r="G249" s="25" t="s">
        <v>8816</v>
      </c>
      <c r="H249" s="73"/>
      <c r="I249" s="25">
        <v>1</v>
      </c>
      <c r="J249" s="25" t="s">
        <v>8817</v>
      </c>
      <c r="K249" s="531">
        <v>25000000</v>
      </c>
    </row>
    <row r="250" spans="1:11" ht="33.75">
      <c r="A250" s="51" t="s">
        <v>7489</v>
      </c>
      <c r="B250" s="324" t="s">
        <v>7498</v>
      </c>
      <c r="C250" s="25" t="s">
        <v>8819</v>
      </c>
      <c r="D250" s="25" t="s">
        <v>8820</v>
      </c>
      <c r="E250" s="25">
        <v>1</v>
      </c>
      <c r="F250" s="25" t="s">
        <v>8815</v>
      </c>
      <c r="G250" s="25" t="s">
        <v>8816</v>
      </c>
      <c r="H250" s="73"/>
      <c r="I250" s="25">
        <v>2</v>
      </c>
      <c r="J250" s="25" t="s">
        <v>8817</v>
      </c>
      <c r="K250" s="531">
        <v>25000000</v>
      </c>
    </row>
    <row r="251" spans="1:11" ht="33.75">
      <c r="A251" s="51" t="s">
        <v>3893</v>
      </c>
      <c r="B251" s="324" t="s">
        <v>7625</v>
      </c>
      <c r="C251" s="25" t="s">
        <v>7626</v>
      </c>
      <c r="D251" s="25" t="s">
        <v>8821</v>
      </c>
      <c r="E251" s="25">
        <v>1</v>
      </c>
      <c r="F251" s="25" t="s">
        <v>8815</v>
      </c>
      <c r="G251" s="25" t="s">
        <v>8816</v>
      </c>
      <c r="H251" s="73"/>
      <c r="I251" s="25">
        <v>1</v>
      </c>
      <c r="J251" s="25" t="s">
        <v>8817</v>
      </c>
      <c r="K251" s="531">
        <v>30000000</v>
      </c>
    </row>
    <row r="252" spans="1:11" ht="33.75">
      <c r="A252" s="51" t="s">
        <v>3893</v>
      </c>
      <c r="B252" s="324" t="s">
        <v>8822</v>
      </c>
      <c r="C252" s="25" t="s">
        <v>8823</v>
      </c>
      <c r="D252" s="25" t="s">
        <v>8824</v>
      </c>
      <c r="E252" s="25">
        <v>1</v>
      </c>
      <c r="F252" s="25" t="s">
        <v>8815</v>
      </c>
      <c r="G252" s="25" t="s">
        <v>8816</v>
      </c>
      <c r="H252" s="73"/>
      <c r="I252" s="25">
        <v>1</v>
      </c>
      <c r="J252" s="25" t="s">
        <v>8817</v>
      </c>
      <c r="K252" s="531">
        <v>30000000</v>
      </c>
    </row>
    <row r="253" spans="1:11" ht="33.75">
      <c r="A253" s="51" t="s">
        <v>7489</v>
      </c>
      <c r="B253" s="324" t="s">
        <v>8825</v>
      </c>
      <c r="C253" s="25" t="s">
        <v>7504</v>
      </c>
      <c r="D253" s="25" t="s">
        <v>8826</v>
      </c>
      <c r="E253" s="25">
        <v>1</v>
      </c>
      <c r="F253" s="25" t="s">
        <v>8815</v>
      </c>
      <c r="G253" s="25" t="s">
        <v>8816</v>
      </c>
      <c r="H253" s="73"/>
      <c r="I253" s="25">
        <v>2</v>
      </c>
      <c r="J253" s="25" t="s">
        <v>8817</v>
      </c>
      <c r="K253" s="531">
        <v>25000000</v>
      </c>
    </row>
    <row r="254" spans="1:11" ht="33.75">
      <c r="A254" s="51" t="s">
        <v>7470</v>
      </c>
      <c r="B254" s="324" t="s">
        <v>1697</v>
      </c>
      <c r="C254" s="25" t="s">
        <v>7483</v>
      </c>
      <c r="D254" s="25" t="s">
        <v>8827</v>
      </c>
      <c r="E254" s="25">
        <v>1</v>
      </c>
      <c r="F254" s="25" t="s">
        <v>8815</v>
      </c>
      <c r="G254" s="25" t="s">
        <v>8816</v>
      </c>
      <c r="H254" s="73"/>
      <c r="I254" s="25">
        <v>2</v>
      </c>
      <c r="J254" s="25" t="s">
        <v>8817</v>
      </c>
      <c r="K254" s="531">
        <v>25000000</v>
      </c>
    </row>
    <row r="255" spans="1:11" ht="33.75">
      <c r="A255" s="51" t="s">
        <v>7599</v>
      </c>
      <c r="B255" s="324" t="s">
        <v>7599</v>
      </c>
      <c r="C255" s="25" t="s">
        <v>7600</v>
      </c>
      <c r="D255" s="25" t="s">
        <v>8828</v>
      </c>
      <c r="E255" s="25">
        <v>4</v>
      </c>
      <c r="F255" s="25" t="s">
        <v>8815</v>
      </c>
      <c r="G255" s="25" t="s">
        <v>8816</v>
      </c>
      <c r="H255" s="73"/>
      <c r="I255" s="25">
        <v>1</v>
      </c>
      <c r="J255" s="25" t="s">
        <v>8817</v>
      </c>
      <c r="K255" s="531">
        <v>100000000</v>
      </c>
    </row>
    <row r="256" spans="1:11" ht="33.75">
      <c r="A256" s="51" t="s">
        <v>8829</v>
      </c>
      <c r="B256" s="324" t="s">
        <v>1658</v>
      </c>
      <c r="C256" s="309" t="s">
        <v>7573</v>
      </c>
      <c r="D256" s="25" t="s">
        <v>8830</v>
      </c>
      <c r="E256" s="25">
        <v>1</v>
      </c>
      <c r="F256" s="25" t="s">
        <v>8815</v>
      </c>
      <c r="G256" s="25" t="s">
        <v>8816</v>
      </c>
      <c r="H256" s="73"/>
      <c r="I256" s="25">
        <v>2</v>
      </c>
      <c r="J256" s="25" t="s">
        <v>8817</v>
      </c>
      <c r="K256" s="531">
        <v>25000000</v>
      </c>
    </row>
    <row r="257" spans="1:11" ht="33.75">
      <c r="A257" s="51" t="s">
        <v>8829</v>
      </c>
      <c r="B257" s="324" t="s">
        <v>8831</v>
      </c>
      <c r="C257" s="25" t="s">
        <v>7572</v>
      </c>
      <c r="D257" s="25" t="s">
        <v>8832</v>
      </c>
      <c r="E257" s="25">
        <v>1</v>
      </c>
      <c r="F257" s="25" t="s">
        <v>8815</v>
      </c>
      <c r="G257" s="25" t="s">
        <v>8816</v>
      </c>
      <c r="H257" s="73"/>
      <c r="I257" s="25">
        <v>1</v>
      </c>
      <c r="J257" s="25" t="s">
        <v>8817</v>
      </c>
      <c r="K257" s="531">
        <v>20000000</v>
      </c>
    </row>
    <row r="258" spans="1:11" ht="33.75">
      <c r="A258" s="51" t="s">
        <v>3751</v>
      </c>
      <c r="B258" s="324" t="s">
        <v>7547</v>
      </c>
      <c r="C258" s="25" t="s">
        <v>7548</v>
      </c>
      <c r="D258" s="25" t="s">
        <v>8833</v>
      </c>
      <c r="E258" s="25">
        <v>1</v>
      </c>
      <c r="F258" s="25" t="s">
        <v>8815</v>
      </c>
      <c r="G258" s="25" t="s">
        <v>8816</v>
      </c>
      <c r="H258" s="73"/>
      <c r="I258" s="25">
        <v>1</v>
      </c>
      <c r="J258" s="25" t="s">
        <v>8817</v>
      </c>
      <c r="K258" s="531">
        <v>50000000</v>
      </c>
    </row>
    <row r="259" spans="1:11" ht="33.75">
      <c r="A259" s="51" t="s">
        <v>3918</v>
      </c>
      <c r="B259" s="324" t="s">
        <v>1658</v>
      </c>
      <c r="C259" s="25" t="s">
        <v>7514</v>
      </c>
      <c r="D259" s="25" t="s">
        <v>8834</v>
      </c>
      <c r="E259" s="25">
        <v>4</v>
      </c>
      <c r="F259" s="25" t="s">
        <v>8815</v>
      </c>
      <c r="G259" s="25" t="s">
        <v>8816</v>
      </c>
      <c r="H259" s="73"/>
      <c r="I259" s="25">
        <v>1</v>
      </c>
      <c r="J259" s="25" t="s">
        <v>8817</v>
      </c>
      <c r="K259" s="531">
        <v>125000000</v>
      </c>
    </row>
    <row r="260" spans="1:11" ht="33.75">
      <c r="A260" s="51" t="s">
        <v>7576</v>
      </c>
      <c r="B260" s="324" t="s">
        <v>7578</v>
      </c>
      <c r="C260" s="25" t="s">
        <v>7581</v>
      </c>
      <c r="D260" s="25" t="s">
        <v>8835</v>
      </c>
      <c r="E260" s="25">
        <v>1</v>
      </c>
      <c r="F260" s="25" t="s">
        <v>8815</v>
      </c>
      <c r="G260" s="25" t="s">
        <v>8816</v>
      </c>
      <c r="H260" s="73"/>
      <c r="I260" s="25">
        <v>3</v>
      </c>
      <c r="J260" s="25" t="s">
        <v>8817</v>
      </c>
      <c r="K260" s="531">
        <v>20000000</v>
      </c>
    </row>
    <row r="261" spans="1:11" ht="33.75">
      <c r="A261" s="51" t="s">
        <v>1147</v>
      </c>
      <c r="B261" s="324" t="s">
        <v>1147</v>
      </c>
      <c r="C261" s="25" t="s">
        <v>7610</v>
      </c>
      <c r="D261" s="25" t="s">
        <v>8836</v>
      </c>
      <c r="E261" s="25">
        <v>1</v>
      </c>
      <c r="F261" s="25" t="s">
        <v>8815</v>
      </c>
      <c r="G261" s="25" t="s">
        <v>8816</v>
      </c>
      <c r="H261" s="73"/>
      <c r="I261" s="25">
        <v>1</v>
      </c>
      <c r="J261" s="25" t="s">
        <v>8817</v>
      </c>
      <c r="K261" s="531">
        <v>30000000</v>
      </c>
    </row>
    <row r="262" spans="1:11" ht="33.75">
      <c r="A262" s="51" t="s">
        <v>7489</v>
      </c>
      <c r="B262" s="324" t="s">
        <v>8837</v>
      </c>
      <c r="C262" s="25" t="s">
        <v>7496</v>
      </c>
      <c r="D262" s="25" t="s">
        <v>8838</v>
      </c>
      <c r="E262" s="25">
        <v>1</v>
      </c>
      <c r="F262" s="25" t="s">
        <v>8815</v>
      </c>
      <c r="G262" s="25" t="s">
        <v>8816</v>
      </c>
      <c r="H262" s="73"/>
      <c r="I262" s="25">
        <v>2</v>
      </c>
      <c r="J262" s="25" t="s">
        <v>8817</v>
      </c>
      <c r="K262" s="531">
        <v>25000000</v>
      </c>
    </row>
    <row r="263" spans="1:11" ht="33.75">
      <c r="A263" s="51" t="s">
        <v>3751</v>
      </c>
      <c r="B263" s="324" t="s">
        <v>953</v>
      </c>
      <c r="C263" s="25" t="s">
        <v>7551</v>
      </c>
      <c r="D263" s="25" t="s">
        <v>8839</v>
      </c>
      <c r="E263" s="25">
        <v>1</v>
      </c>
      <c r="F263" s="25" t="s">
        <v>8815</v>
      </c>
      <c r="G263" s="25" t="s">
        <v>8816</v>
      </c>
      <c r="H263" s="73"/>
      <c r="I263" s="25">
        <v>2</v>
      </c>
      <c r="J263" s="25" t="s">
        <v>8817</v>
      </c>
      <c r="K263" s="531">
        <v>30000000</v>
      </c>
    </row>
    <row r="264" spans="1:11" ht="33.75">
      <c r="A264" s="51" t="s">
        <v>7599</v>
      </c>
      <c r="B264" s="25" t="s">
        <v>1147</v>
      </c>
      <c r="C264" s="941" t="s">
        <v>24872</v>
      </c>
      <c r="D264" s="367" t="s">
        <v>2179</v>
      </c>
      <c r="E264" s="25"/>
      <c r="F264" s="25" t="s">
        <v>24873</v>
      </c>
      <c r="G264" s="367" t="s">
        <v>24874</v>
      </c>
      <c r="H264" s="73">
        <v>8000000</v>
      </c>
      <c r="I264" s="367">
        <v>1</v>
      </c>
      <c r="J264" s="367" t="s">
        <v>24875</v>
      </c>
      <c r="K264" s="951">
        <v>5000000</v>
      </c>
    </row>
    <row r="265" spans="1:11" ht="15.75">
      <c r="A265" s="956"/>
      <c r="B265" s="301"/>
      <c r="C265" s="301"/>
      <c r="D265" s="301"/>
      <c r="E265" s="301"/>
      <c r="F265" s="302"/>
      <c r="G265" s="303"/>
      <c r="H265" s="489"/>
      <c r="I265" s="301"/>
      <c r="J265" s="303"/>
      <c r="K265" s="659"/>
    </row>
    <row r="266" spans="1:11">
      <c r="A266" s="1053" t="s">
        <v>6444</v>
      </c>
      <c r="B266" s="1054"/>
      <c r="C266" s="1054"/>
      <c r="D266" s="1054"/>
      <c r="E266" s="1054"/>
      <c r="F266" s="521"/>
      <c r="G266" s="570"/>
      <c r="H266" s="521">
        <f>SUM(H247:H265)</f>
        <v>8000000</v>
      </c>
      <c r="I266" s="521"/>
      <c r="J266" s="523"/>
      <c r="K266" s="852">
        <f>SUM(K247:K265)</f>
        <v>690000000</v>
      </c>
    </row>
    <row r="267" spans="1:11" ht="15" customHeight="1">
      <c r="A267" s="1053" t="s">
        <v>7631</v>
      </c>
      <c r="B267" s="1054"/>
      <c r="C267" s="1054"/>
      <c r="D267" s="1054"/>
      <c r="E267" s="1054"/>
      <c r="F267" s="1054"/>
      <c r="G267" s="1054"/>
      <c r="H267" s="1054"/>
      <c r="I267" s="1054"/>
      <c r="J267" s="1054"/>
      <c r="K267" s="1055"/>
    </row>
    <row r="268" spans="1:11" ht="90">
      <c r="A268" s="657"/>
      <c r="B268" s="1017" t="s">
        <v>7632</v>
      </c>
      <c r="C268" s="1018" t="s">
        <v>7633</v>
      </c>
      <c r="D268" s="325" t="s">
        <v>8840</v>
      </c>
      <c r="E268" s="569">
        <v>3</v>
      </c>
      <c r="F268" s="569" t="s">
        <v>8841</v>
      </c>
      <c r="G268" s="35" t="s">
        <v>8842</v>
      </c>
      <c r="H268" s="73">
        <f>3*125000</f>
        <v>375000</v>
      </c>
      <c r="I268" s="569">
        <v>1</v>
      </c>
      <c r="J268" s="569" t="s">
        <v>8843</v>
      </c>
      <c r="K268" s="531">
        <f>H268</f>
        <v>375000</v>
      </c>
    </row>
    <row r="269" spans="1:11" ht="67.5">
      <c r="A269" s="27" t="s">
        <v>3848</v>
      </c>
      <c r="B269" s="1017"/>
      <c r="C269" s="1018"/>
      <c r="D269" s="325" t="s">
        <v>8840</v>
      </c>
      <c r="E269" s="569">
        <v>8</v>
      </c>
      <c r="F269" s="569" t="s">
        <v>8844</v>
      </c>
      <c r="G269" s="35" t="s">
        <v>8845</v>
      </c>
      <c r="H269" s="73">
        <f>8*125000</f>
        <v>1000000</v>
      </c>
      <c r="I269" s="569">
        <v>1</v>
      </c>
      <c r="J269" s="35" t="s">
        <v>8846</v>
      </c>
      <c r="K269" s="531">
        <f>8*385000</f>
        <v>3080000</v>
      </c>
    </row>
    <row r="270" spans="1:11" ht="101.25">
      <c r="A270" s="657"/>
      <c r="B270" s="1017"/>
      <c r="C270" s="1018"/>
      <c r="D270" s="325" t="s">
        <v>8840</v>
      </c>
      <c r="E270" s="569">
        <v>7</v>
      </c>
      <c r="F270" s="569" t="s">
        <v>8847</v>
      </c>
      <c r="G270" s="35" t="s">
        <v>7648</v>
      </c>
      <c r="H270" s="73">
        <f>(7*90000)</f>
        <v>630000</v>
      </c>
      <c r="I270" s="569">
        <v>1</v>
      </c>
      <c r="J270" s="35" t="s">
        <v>8848</v>
      </c>
      <c r="K270" s="531">
        <f>7*90000</f>
        <v>630000</v>
      </c>
    </row>
    <row r="271" spans="1:11" ht="78.75">
      <c r="A271" s="657"/>
      <c r="B271" s="589" t="s">
        <v>7660</v>
      </c>
      <c r="C271" s="24" t="s">
        <v>7661</v>
      </c>
      <c r="D271" s="325" t="s">
        <v>8840</v>
      </c>
      <c r="E271" s="569">
        <v>18</v>
      </c>
      <c r="F271" s="569" t="s">
        <v>8844</v>
      </c>
      <c r="G271" s="35" t="s">
        <v>8849</v>
      </c>
      <c r="H271" s="73">
        <f>9*100000</f>
        <v>900000</v>
      </c>
      <c r="I271" s="569">
        <v>1</v>
      </c>
      <c r="J271" s="35" t="s">
        <v>8850</v>
      </c>
      <c r="K271" s="531">
        <f>18*385000</f>
        <v>6930000</v>
      </c>
    </row>
    <row r="272" spans="1:11" ht="67.5">
      <c r="A272" s="657"/>
      <c r="B272" s="589"/>
      <c r="C272" s="24"/>
      <c r="D272" s="325" t="s">
        <v>8840</v>
      </c>
      <c r="E272" s="569">
        <v>3</v>
      </c>
      <c r="F272" s="569" t="s">
        <v>8851</v>
      </c>
      <c r="G272" s="35" t="s">
        <v>8852</v>
      </c>
      <c r="H272" s="73">
        <f>3*201000</f>
        <v>603000</v>
      </c>
      <c r="I272" s="569">
        <v>1</v>
      </c>
      <c r="J272" s="35" t="s">
        <v>8853</v>
      </c>
      <c r="K272" s="531">
        <f>3*201000</f>
        <v>603000</v>
      </c>
    </row>
    <row r="273" spans="1:11" ht="78.75">
      <c r="A273" s="1016" t="s">
        <v>3848</v>
      </c>
      <c r="B273" s="1062" t="s">
        <v>7660</v>
      </c>
      <c r="C273" s="1018" t="s">
        <v>7661</v>
      </c>
      <c r="D273" s="325" t="s">
        <v>8840</v>
      </c>
      <c r="E273" s="569">
        <v>9</v>
      </c>
      <c r="F273" s="569" t="s">
        <v>8844</v>
      </c>
      <c r="G273" s="35" t="s">
        <v>8854</v>
      </c>
      <c r="H273" s="73">
        <f>7*100000</f>
        <v>700000</v>
      </c>
      <c r="I273" s="569">
        <v>1</v>
      </c>
      <c r="J273" s="35" t="s">
        <v>8855</v>
      </c>
      <c r="K273" s="531">
        <f>9*385000</f>
        <v>3465000</v>
      </c>
    </row>
    <row r="274" spans="1:11" ht="78.75">
      <c r="A274" s="1016"/>
      <c r="B274" s="1062"/>
      <c r="C274" s="1018"/>
      <c r="D274" s="325" t="s">
        <v>8840</v>
      </c>
      <c r="E274" s="569">
        <v>7</v>
      </c>
      <c r="F274" s="569" t="s">
        <v>8841</v>
      </c>
      <c r="G274" s="35" t="s">
        <v>7671</v>
      </c>
      <c r="H274" s="73">
        <f>7*90000</f>
        <v>630000</v>
      </c>
      <c r="I274" s="569">
        <v>1</v>
      </c>
      <c r="J274" s="35" t="s">
        <v>8856</v>
      </c>
      <c r="K274" s="531">
        <f>H274</f>
        <v>630000</v>
      </c>
    </row>
    <row r="275" spans="1:11" ht="15.75">
      <c r="A275" s="956"/>
      <c r="B275" s="301"/>
      <c r="C275" s="301"/>
      <c r="D275" s="301"/>
      <c r="E275" s="301"/>
      <c r="F275" s="302"/>
      <c r="G275" s="303"/>
      <c r="H275" s="489"/>
      <c r="I275" s="301"/>
      <c r="J275" s="303"/>
      <c r="K275" s="659"/>
    </row>
    <row r="276" spans="1:11">
      <c r="A276" s="1053" t="s">
        <v>6444</v>
      </c>
      <c r="B276" s="1054"/>
      <c r="C276" s="1054"/>
      <c r="D276" s="1054"/>
      <c r="E276" s="1054"/>
      <c r="F276" s="521"/>
      <c r="G276" s="570"/>
      <c r="H276" s="521">
        <f>SUM(H268:H275)</f>
        <v>4838000</v>
      </c>
      <c r="I276" s="521"/>
      <c r="J276" s="523"/>
      <c r="K276" s="852">
        <f>SUM(K268:K275)</f>
        <v>15713000</v>
      </c>
    </row>
    <row r="277" spans="1:11">
      <c r="A277" s="1053" t="s">
        <v>7682</v>
      </c>
      <c r="B277" s="1054"/>
      <c r="C277" s="1054"/>
      <c r="D277" s="1054"/>
      <c r="E277" s="1054"/>
      <c r="F277" s="1054"/>
      <c r="G277" s="1054"/>
      <c r="H277" s="1054"/>
      <c r="I277" s="1054"/>
      <c r="J277" s="1054"/>
      <c r="K277" s="1055"/>
    </row>
    <row r="278" spans="1:11" ht="90">
      <c r="A278" s="23" t="s">
        <v>7683</v>
      </c>
      <c r="B278" s="569" t="s">
        <v>7684</v>
      </c>
      <c r="C278" s="569" t="s">
        <v>7685</v>
      </c>
      <c r="D278" s="943" t="s">
        <v>8539</v>
      </c>
      <c r="E278" s="569">
        <v>1</v>
      </c>
      <c r="F278" s="569" t="s">
        <v>8857</v>
      </c>
      <c r="G278" s="569" t="s">
        <v>8858</v>
      </c>
      <c r="H278" s="73">
        <v>0</v>
      </c>
      <c r="I278" s="944">
        <v>31</v>
      </c>
      <c r="J278" s="569" t="s">
        <v>8859</v>
      </c>
      <c r="K278" s="531">
        <v>83780000</v>
      </c>
    </row>
    <row r="279" spans="1:11" ht="173.25">
      <c r="A279" s="956" t="s">
        <v>7683</v>
      </c>
      <c r="B279" s="301" t="s">
        <v>7684</v>
      </c>
      <c r="C279" s="301" t="s">
        <v>7685</v>
      </c>
      <c r="D279" s="301" t="s">
        <v>8860</v>
      </c>
      <c r="E279" s="301">
        <v>1</v>
      </c>
      <c r="F279" s="302" t="s">
        <v>8861</v>
      </c>
      <c r="G279" s="303" t="s">
        <v>8862</v>
      </c>
      <c r="H279" s="489">
        <v>0</v>
      </c>
      <c r="I279" s="301">
        <v>35</v>
      </c>
      <c r="J279" s="303" t="s">
        <v>8863</v>
      </c>
      <c r="K279" s="659">
        <v>41180000</v>
      </c>
    </row>
    <row r="280" spans="1:11" ht="173.25">
      <c r="A280" s="956" t="s">
        <v>7683</v>
      </c>
      <c r="B280" s="301" t="s">
        <v>7684</v>
      </c>
      <c r="C280" s="301" t="s">
        <v>7685</v>
      </c>
      <c r="D280" s="301" t="s">
        <v>8864</v>
      </c>
      <c r="E280" s="301">
        <v>1</v>
      </c>
      <c r="F280" s="302" t="s">
        <v>8865</v>
      </c>
      <c r="G280" s="303" t="s">
        <v>8862</v>
      </c>
      <c r="H280" s="489">
        <v>0</v>
      </c>
      <c r="I280" s="301">
        <v>34</v>
      </c>
      <c r="J280" s="303" t="s">
        <v>8866</v>
      </c>
      <c r="K280" s="659">
        <v>43310000</v>
      </c>
    </row>
    <row r="281" spans="1:11" ht="173.25">
      <c r="A281" s="956" t="s">
        <v>7683</v>
      </c>
      <c r="B281" s="301" t="s">
        <v>8867</v>
      </c>
      <c r="C281" s="301" t="s">
        <v>7695</v>
      </c>
      <c r="D281" s="301" t="s">
        <v>8868</v>
      </c>
      <c r="E281" s="301">
        <v>1</v>
      </c>
      <c r="F281" s="302" t="s">
        <v>8869</v>
      </c>
      <c r="G281" s="303" t="s">
        <v>8870</v>
      </c>
      <c r="H281" s="489">
        <v>0</v>
      </c>
      <c r="I281" s="301">
        <v>36</v>
      </c>
      <c r="J281" s="303" t="s">
        <v>8863</v>
      </c>
      <c r="K281" s="659">
        <v>41180000</v>
      </c>
    </row>
    <row r="282" spans="1:11" ht="173.25">
      <c r="A282" s="956" t="s">
        <v>7683</v>
      </c>
      <c r="B282" s="301" t="s">
        <v>7684</v>
      </c>
      <c r="C282" s="301" t="s">
        <v>7685</v>
      </c>
      <c r="D282" s="301" t="s">
        <v>8871</v>
      </c>
      <c r="E282" s="301">
        <v>1</v>
      </c>
      <c r="F282" s="302" t="s">
        <v>8872</v>
      </c>
      <c r="G282" s="303" t="s">
        <v>8870</v>
      </c>
      <c r="H282" s="489">
        <v>0</v>
      </c>
      <c r="I282" s="301">
        <v>37</v>
      </c>
      <c r="J282" s="303" t="s">
        <v>8873</v>
      </c>
      <c r="K282" s="659">
        <v>36920000</v>
      </c>
    </row>
    <row r="283" spans="1:11" ht="252">
      <c r="A283" s="956" t="s">
        <v>7683</v>
      </c>
      <c r="B283" s="301" t="s">
        <v>7684</v>
      </c>
      <c r="C283" s="301" t="s">
        <v>7685</v>
      </c>
      <c r="D283" s="301" t="s">
        <v>8874</v>
      </c>
      <c r="E283" s="301">
        <v>71</v>
      </c>
      <c r="F283" s="302" t="s">
        <v>8875</v>
      </c>
      <c r="G283" s="303" t="s">
        <v>8876</v>
      </c>
      <c r="H283" s="489">
        <v>0</v>
      </c>
      <c r="I283" s="301">
        <v>30</v>
      </c>
      <c r="J283" s="303" t="s">
        <v>8877</v>
      </c>
      <c r="K283" s="659">
        <v>86822500</v>
      </c>
    </row>
    <row r="284" spans="1:11" ht="252">
      <c r="A284" s="956" t="s">
        <v>7683</v>
      </c>
      <c r="B284" s="301" t="s">
        <v>8878</v>
      </c>
      <c r="C284" s="301" t="s">
        <v>7707</v>
      </c>
      <c r="D284" s="301" t="s">
        <v>8874</v>
      </c>
      <c r="E284" s="301">
        <v>15</v>
      </c>
      <c r="F284" s="302" t="s">
        <v>8875</v>
      </c>
      <c r="G284" s="303" t="s">
        <v>8876</v>
      </c>
      <c r="H284" s="489">
        <v>0</v>
      </c>
      <c r="I284" s="301">
        <v>41</v>
      </c>
      <c r="J284" s="303" t="s">
        <v>8877</v>
      </c>
      <c r="K284" s="659">
        <v>5472222000.000001</v>
      </c>
    </row>
    <row r="285" spans="1:11" ht="252">
      <c r="A285" s="956" t="s">
        <v>7683</v>
      </c>
      <c r="B285" s="301" t="s">
        <v>8879</v>
      </c>
      <c r="C285" s="301" t="s">
        <v>8880</v>
      </c>
      <c r="D285" s="301" t="s">
        <v>8874</v>
      </c>
      <c r="E285" s="301">
        <v>27</v>
      </c>
      <c r="F285" s="302" t="s">
        <v>8875</v>
      </c>
      <c r="G285" s="303" t="s">
        <v>8876</v>
      </c>
      <c r="H285" s="489">
        <v>0</v>
      </c>
      <c r="I285" s="301">
        <v>33</v>
      </c>
      <c r="J285" s="303" t="s">
        <v>8877</v>
      </c>
      <c r="K285" s="659">
        <v>58252500</v>
      </c>
    </row>
    <row r="286" spans="1:11" ht="252">
      <c r="A286" s="956" t="s">
        <v>7683</v>
      </c>
      <c r="B286" s="301" t="s">
        <v>7688</v>
      </c>
      <c r="C286" s="301" t="s">
        <v>7689</v>
      </c>
      <c r="D286" s="301" t="s">
        <v>8874</v>
      </c>
      <c r="E286" s="301">
        <v>16</v>
      </c>
      <c r="F286" s="302" t="s">
        <v>8875</v>
      </c>
      <c r="G286" s="303" t="s">
        <v>8876</v>
      </c>
      <c r="H286" s="489">
        <v>0</v>
      </c>
      <c r="I286" s="301">
        <v>38</v>
      </c>
      <c r="J286" s="303" t="s">
        <v>8877</v>
      </c>
      <c r="K286" s="659">
        <v>20160000</v>
      </c>
    </row>
    <row r="287" spans="1:11" ht="252">
      <c r="A287" s="956" t="s">
        <v>7683</v>
      </c>
      <c r="B287" s="301" t="s">
        <v>8881</v>
      </c>
      <c r="C287" s="301" t="s">
        <v>7705</v>
      </c>
      <c r="D287" s="301" t="s">
        <v>8874</v>
      </c>
      <c r="E287" s="301">
        <v>67</v>
      </c>
      <c r="F287" s="302" t="s">
        <v>8875</v>
      </c>
      <c r="G287" s="303" t="s">
        <v>8876</v>
      </c>
      <c r="H287" s="489">
        <v>0</v>
      </c>
      <c r="I287" s="301">
        <v>27</v>
      </c>
      <c r="J287" s="303" t="s">
        <v>8877</v>
      </c>
      <c r="K287" s="659">
        <v>147262500</v>
      </c>
    </row>
    <row r="288" spans="1:11" ht="252">
      <c r="A288" s="956" t="s">
        <v>7683</v>
      </c>
      <c r="B288" s="301" t="s">
        <v>8882</v>
      </c>
      <c r="C288" s="301" t="s">
        <v>7701</v>
      </c>
      <c r="D288" s="301" t="s">
        <v>8874</v>
      </c>
      <c r="E288" s="301">
        <v>63</v>
      </c>
      <c r="F288" s="302" t="s">
        <v>8875</v>
      </c>
      <c r="G288" s="303" t="s">
        <v>8876</v>
      </c>
      <c r="H288" s="489">
        <v>0</v>
      </c>
      <c r="I288" s="301">
        <v>29</v>
      </c>
      <c r="J288" s="303" t="s">
        <v>8877</v>
      </c>
      <c r="K288" s="659">
        <v>138792500</v>
      </c>
    </row>
    <row r="289" spans="1:11" ht="252">
      <c r="A289" s="956" t="s">
        <v>7683</v>
      </c>
      <c r="B289" s="301" t="s">
        <v>8883</v>
      </c>
      <c r="C289" s="301" t="s">
        <v>7693</v>
      </c>
      <c r="D289" s="301" t="s">
        <v>8874</v>
      </c>
      <c r="E289" s="301">
        <v>35</v>
      </c>
      <c r="F289" s="302" t="s">
        <v>8875</v>
      </c>
      <c r="G289" s="303" t="s">
        <v>8876</v>
      </c>
      <c r="H289" s="489">
        <v>0</v>
      </c>
      <c r="I289" s="301">
        <v>32</v>
      </c>
      <c r="J289" s="303" t="s">
        <v>8877</v>
      </c>
      <c r="K289" s="659">
        <v>76947500</v>
      </c>
    </row>
    <row r="290" spans="1:11" ht="252">
      <c r="A290" s="956" t="s">
        <v>7683</v>
      </c>
      <c r="B290" s="301" t="s">
        <v>8884</v>
      </c>
      <c r="C290" s="301" t="s">
        <v>7703</v>
      </c>
      <c r="D290" s="301" t="s">
        <v>8874</v>
      </c>
      <c r="E290" s="301">
        <v>4</v>
      </c>
      <c r="F290" s="302" t="s">
        <v>8875</v>
      </c>
      <c r="G290" s="303" t="s">
        <v>8876</v>
      </c>
      <c r="H290" s="489">
        <v>0</v>
      </c>
      <c r="I290" s="301">
        <v>42</v>
      </c>
      <c r="J290" s="303" t="s">
        <v>8877</v>
      </c>
      <c r="K290" s="659">
        <v>4380000</v>
      </c>
    </row>
    <row r="291" spans="1:11" ht="252">
      <c r="A291" s="956" t="s">
        <v>7683</v>
      </c>
      <c r="B291" s="301" t="s">
        <v>8885</v>
      </c>
      <c r="C291" s="301" t="s">
        <v>7695</v>
      </c>
      <c r="D291" s="301" t="s">
        <v>8874</v>
      </c>
      <c r="E291" s="301">
        <v>10</v>
      </c>
      <c r="F291" s="302" t="s">
        <v>8875</v>
      </c>
      <c r="G291" s="303" t="s">
        <v>8876</v>
      </c>
      <c r="H291" s="489">
        <v>0</v>
      </c>
      <c r="I291" s="301">
        <v>40</v>
      </c>
      <c r="J291" s="303" t="s">
        <v>8877</v>
      </c>
      <c r="K291" s="659">
        <v>7222500</v>
      </c>
    </row>
    <row r="292" spans="1:11" ht="252">
      <c r="A292" s="956" t="s">
        <v>7683</v>
      </c>
      <c r="B292" s="301" t="s">
        <v>8886</v>
      </c>
      <c r="C292" s="301" t="s">
        <v>8887</v>
      </c>
      <c r="D292" s="301" t="s">
        <v>8874</v>
      </c>
      <c r="E292" s="301">
        <v>63</v>
      </c>
      <c r="F292" s="302" t="s">
        <v>8875</v>
      </c>
      <c r="G292" s="303" t="s">
        <v>8876</v>
      </c>
      <c r="H292" s="489">
        <v>0</v>
      </c>
      <c r="I292" s="301">
        <v>28</v>
      </c>
      <c r="J292" s="303" t="s">
        <v>8877</v>
      </c>
      <c r="K292" s="659">
        <v>138807500</v>
      </c>
    </row>
    <row r="293" spans="1:11" ht="252">
      <c r="A293" s="956" t="s">
        <v>7683</v>
      </c>
      <c r="B293" s="301" t="s">
        <v>8888</v>
      </c>
      <c r="C293" s="301" t="s">
        <v>8889</v>
      </c>
      <c r="D293" s="301" t="s">
        <v>8874</v>
      </c>
      <c r="E293" s="301">
        <v>15</v>
      </c>
      <c r="F293" s="302" t="s">
        <v>8875</v>
      </c>
      <c r="G293" s="303" t="s">
        <v>8876</v>
      </c>
      <c r="H293" s="489">
        <v>0</v>
      </c>
      <c r="I293" s="301">
        <v>39</v>
      </c>
      <c r="J293" s="303" t="s">
        <v>8877</v>
      </c>
      <c r="K293" s="659">
        <v>14870000</v>
      </c>
    </row>
    <row r="294" spans="1:11" ht="173.25">
      <c r="A294" s="956" t="s">
        <v>4950</v>
      </c>
      <c r="B294" s="301" t="s">
        <v>8890</v>
      </c>
      <c r="C294" s="301" t="s">
        <v>7689</v>
      </c>
      <c r="D294" s="301" t="s">
        <v>8539</v>
      </c>
      <c r="E294" s="301">
        <v>1</v>
      </c>
      <c r="F294" s="302" t="s">
        <v>8857</v>
      </c>
      <c r="G294" s="303" t="s">
        <v>8858</v>
      </c>
      <c r="H294" s="489">
        <v>0</v>
      </c>
      <c r="I294" s="301"/>
      <c r="J294" s="303" t="s">
        <v>8891</v>
      </c>
      <c r="K294" s="659">
        <v>0</v>
      </c>
    </row>
    <row r="295" spans="1:11" ht="141.75">
      <c r="A295" s="956" t="s">
        <v>4950</v>
      </c>
      <c r="B295" s="301" t="s">
        <v>8878</v>
      </c>
      <c r="C295" s="301" t="s">
        <v>7707</v>
      </c>
      <c r="D295" s="301" t="s">
        <v>8892</v>
      </c>
      <c r="E295" s="301">
        <v>1</v>
      </c>
      <c r="F295" s="302" t="s">
        <v>8893</v>
      </c>
      <c r="G295" s="303" t="s">
        <v>8894</v>
      </c>
      <c r="H295" s="489">
        <v>0</v>
      </c>
      <c r="I295" s="301"/>
      <c r="J295" s="303" t="s">
        <v>8895</v>
      </c>
      <c r="K295" s="659">
        <v>0</v>
      </c>
    </row>
    <row r="296" spans="1:11" ht="252">
      <c r="A296" s="956" t="s">
        <v>4950</v>
      </c>
      <c r="B296" s="301" t="s">
        <v>8896</v>
      </c>
      <c r="C296" s="301" t="s">
        <v>7725</v>
      </c>
      <c r="D296" s="301" t="s">
        <v>8874</v>
      </c>
      <c r="E296" s="301">
        <v>35</v>
      </c>
      <c r="F296" s="302" t="s">
        <v>8875</v>
      </c>
      <c r="G296" s="303" t="s">
        <v>8876</v>
      </c>
      <c r="H296" s="489">
        <v>0</v>
      </c>
      <c r="I296" s="301">
        <v>15</v>
      </c>
      <c r="J296" s="303" t="s">
        <v>8877</v>
      </c>
      <c r="K296" s="659">
        <v>75182500</v>
      </c>
    </row>
    <row r="297" spans="1:11" ht="252">
      <c r="A297" s="956" t="s">
        <v>4950</v>
      </c>
      <c r="B297" s="301" t="s">
        <v>8897</v>
      </c>
      <c r="C297" s="301" t="s">
        <v>7727</v>
      </c>
      <c r="D297" s="301" t="s">
        <v>8874</v>
      </c>
      <c r="E297" s="301">
        <v>30</v>
      </c>
      <c r="F297" s="302" t="s">
        <v>8875</v>
      </c>
      <c r="G297" s="303" t="s">
        <v>8876</v>
      </c>
      <c r="H297" s="489">
        <v>0</v>
      </c>
      <c r="I297" s="301">
        <v>18</v>
      </c>
      <c r="J297" s="303" t="s">
        <v>8877</v>
      </c>
      <c r="K297" s="659">
        <v>66100000</v>
      </c>
    </row>
    <row r="298" spans="1:11" ht="252">
      <c r="A298" s="956" t="s">
        <v>4950</v>
      </c>
      <c r="B298" s="301" t="s">
        <v>8898</v>
      </c>
      <c r="C298" s="301" t="s">
        <v>7712</v>
      </c>
      <c r="D298" s="301" t="s">
        <v>8874</v>
      </c>
      <c r="E298" s="301">
        <v>67</v>
      </c>
      <c r="F298" s="302" t="s">
        <v>8875</v>
      </c>
      <c r="G298" s="303" t="s">
        <v>8876</v>
      </c>
      <c r="H298" s="489">
        <v>0</v>
      </c>
      <c r="I298" s="301">
        <v>13</v>
      </c>
      <c r="J298" s="303" t="s">
        <v>8877</v>
      </c>
      <c r="K298" s="659">
        <v>147400000</v>
      </c>
    </row>
    <row r="299" spans="1:11" ht="252">
      <c r="A299" s="956" t="s">
        <v>4950</v>
      </c>
      <c r="B299" s="301" t="s">
        <v>8898</v>
      </c>
      <c r="C299" s="301" t="s">
        <v>7723</v>
      </c>
      <c r="D299" s="301" t="s">
        <v>8874</v>
      </c>
      <c r="E299" s="301">
        <v>32</v>
      </c>
      <c r="F299" s="302" t="s">
        <v>8875</v>
      </c>
      <c r="G299" s="303" t="s">
        <v>8876</v>
      </c>
      <c r="H299" s="489">
        <v>0</v>
      </c>
      <c r="I299" s="301">
        <v>17</v>
      </c>
      <c r="J299" s="303" t="s">
        <v>8877</v>
      </c>
      <c r="K299" s="659">
        <v>70467500</v>
      </c>
    </row>
    <row r="300" spans="1:11" ht="252">
      <c r="A300" s="956" t="s">
        <v>4950</v>
      </c>
      <c r="B300" s="301" t="s">
        <v>8899</v>
      </c>
      <c r="C300" s="301" t="s">
        <v>7731</v>
      </c>
      <c r="D300" s="301" t="s">
        <v>8874</v>
      </c>
      <c r="E300" s="301">
        <v>21</v>
      </c>
      <c r="F300" s="302" t="s">
        <v>8875</v>
      </c>
      <c r="G300" s="303" t="s">
        <v>8876</v>
      </c>
      <c r="H300" s="489">
        <v>0</v>
      </c>
      <c r="I300" s="301">
        <v>20</v>
      </c>
      <c r="J300" s="303" t="s">
        <v>8877</v>
      </c>
      <c r="K300" s="659">
        <v>45292500</v>
      </c>
    </row>
    <row r="301" spans="1:11" ht="252">
      <c r="A301" s="956" t="s">
        <v>4950</v>
      </c>
      <c r="B301" s="301" t="s">
        <v>8900</v>
      </c>
      <c r="C301" s="301" t="s">
        <v>7729</v>
      </c>
      <c r="D301" s="301" t="s">
        <v>8874</v>
      </c>
      <c r="E301" s="301">
        <v>25</v>
      </c>
      <c r="F301" s="302" t="s">
        <v>8875</v>
      </c>
      <c r="G301" s="303" t="s">
        <v>8876</v>
      </c>
      <c r="H301" s="489">
        <v>0</v>
      </c>
      <c r="I301" s="301">
        <v>19</v>
      </c>
      <c r="J301" s="303" t="s">
        <v>8877</v>
      </c>
      <c r="K301" s="659">
        <v>52965000</v>
      </c>
    </row>
    <row r="302" spans="1:11" ht="252">
      <c r="A302" s="956" t="s">
        <v>4950</v>
      </c>
      <c r="B302" s="301" t="s">
        <v>8901</v>
      </c>
      <c r="C302" s="301" t="s">
        <v>7737</v>
      </c>
      <c r="D302" s="301" t="s">
        <v>8874</v>
      </c>
      <c r="E302" s="301">
        <v>34</v>
      </c>
      <c r="F302" s="302" t="s">
        <v>8875</v>
      </c>
      <c r="G302" s="303" t="s">
        <v>8876</v>
      </c>
      <c r="H302" s="489">
        <v>0</v>
      </c>
      <c r="I302" s="301">
        <v>16</v>
      </c>
      <c r="J302" s="303" t="s">
        <v>8877</v>
      </c>
      <c r="K302" s="659">
        <v>74722500</v>
      </c>
    </row>
    <row r="303" spans="1:11" ht="252">
      <c r="A303" s="956" t="s">
        <v>4950</v>
      </c>
      <c r="B303" s="301" t="s">
        <v>8902</v>
      </c>
      <c r="C303" s="301" t="s">
        <v>7735</v>
      </c>
      <c r="D303" s="301" t="s">
        <v>8874</v>
      </c>
      <c r="E303" s="301">
        <v>10</v>
      </c>
      <c r="F303" s="302" t="s">
        <v>8875</v>
      </c>
      <c r="G303" s="303" t="s">
        <v>8876</v>
      </c>
      <c r="H303" s="489">
        <v>0</v>
      </c>
      <c r="I303" s="301">
        <v>22</v>
      </c>
      <c r="J303" s="303" t="s">
        <v>8877</v>
      </c>
      <c r="K303" s="659">
        <v>21425000</v>
      </c>
    </row>
    <row r="304" spans="1:11" ht="252">
      <c r="A304" s="956" t="s">
        <v>4950</v>
      </c>
      <c r="B304" s="301" t="s">
        <v>8903</v>
      </c>
      <c r="C304" s="301" t="s">
        <v>7709</v>
      </c>
      <c r="D304" s="301" t="s">
        <v>8874</v>
      </c>
      <c r="E304" s="301">
        <v>150</v>
      </c>
      <c r="F304" s="302" t="s">
        <v>8875</v>
      </c>
      <c r="G304" s="303" t="s">
        <v>8876</v>
      </c>
      <c r="H304" s="489">
        <v>0</v>
      </c>
      <c r="I304" s="301">
        <v>12</v>
      </c>
      <c r="J304" s="303" t="s">
        <v>8877</v>
      </c>
      <c r="K304" s="659">
        <v>330500000</v>
      </c>
    </row>
    <row r="305" spans="1:11" ht="252">
      <c r="A305" s="956" t="s">
        <v>4950</v>
      </c>
      <c r="B305" s="301" t="s">
        <v>8904</v>
      </c>
      <c r="C305" s="301" t="s">
        <v>7733</v>
      </c>
      <c r="D305" s="301" t="s">
        <v>8874</v>
      </c>
      <c r="E305" s="301">
        <v>11</v>
      </c>
      <c r="F305" s="302" t="s">
        <v>8875</v>
      </c>
      <c r="G305" s="303" t="s">
        <v>8876</v>
      </c>
      <c r="H305" s="489">
        <v>0</v>
      </c>
      <c r="I305" s="301">
        <v>21</v>
      </c>
      <c r="J305" s="303" t="s">
        <v>8877</v>
      </c>
      <c r="K305" s="659">
        <v>23552500</v>
      </c>
    </row>
    <row r="306" spans="1:11" ht="252">
      <c r="A306" s="956" t="s">
        <v>4950</v>
      </c>
      <c r="B306" s="301" t="s">
        <v>8905</v>
      </c>
      <c r="C306" s="301" t="s">
        <v>7721</v>
      </c>
      <c r="D306" s="301" t="s">
        <v>8874</v>
      </c>
      <c r="E306" s="301">
        <v>12</v>
      </c>
      <c r="F306" s="302" t="s">
        <v>8875</v>
      </c>
      <c r="G306" s="303" t="s">
        <v>8876</v>
      </c>
      <c r="H306" s="489">
        <v>0</v>
      </c>
      <c r="I306" s="301">
        <v>23</v>
      </c>
      <c r="J306" s="303" t="s">
        <v>8877</v>
      </c>
      <c r="K306" s="659">
        <v>15760000</v>
      </c>
    </row>
    <row r="307" spans="1:11" ht="252">
      <c r="A307" s="956" t="s">
        <v>4950</v>
      </c>
      <c r="B307" s="301" t="s">
        <v>8906</v>
      </c>
      <c r="C307" s="301" t="s">
        <v>7717</v>
      </c>
      <c r="D307" s="301" t="s">
        <v>8874</v>
      </c>
      <c r="E307" s="301">
        <v>66</v>
      </c>
      <c r="F307" s="302" t="s">
        <v>8875</v>
      </c>
      <c r="G307" s="303" t="s">
        <v>8876</v>
      </c>
      <c r="H307" s="489">
        <v>0</v>
      </c>
      <c r="I307" s="301">
        <v>14</v>
      </c>
      <c r="J307" s="303" t="s">
        <v>8877</v>
      </c>
      <c r="K307" s="659">
        <v>145287500</v>
      </c>
    </row>
    <row r="308" spans="1:11" ht="173.25">
      <c r="A308" s="956" t="s">
        <v>3773</v>
      </c>
      <c r="B308" s="301" t="s">
        <v>8907</v>
      </c>
      <c r="C308" s="301" t="s">
        <v>8908</v>
      </c>
      <c r="D308" s="301" t="s">
        <v>8909</v>
      </c>
      <c r="E308" s="301">
        <v>1</v>
      </c>
      <c r="F308" s="302" t="s">
        <v>8910</v>
      </c>
      <c r="G308" s="303" t="s">
        <v>8858</v>
      </c>
      <c r="H308" s="489">
        <v>0</v>
      </c>
      <c r="I308" s="301">
        <v>9</v>
      </c>
      <c r="J308" s="303" t="s">
        <v>8911</v>
      </c>
      <c r="K308" s="659">
        <v>60350000</v>
      </c>
    </row>
    <row r="309" spans="1:11" ht="252">
      <c r="A309" s="956" t="s">
        <v>3773</v>
      </c>
      <c r="B309" s="301" t="s">
        <v>8912</v>
      </c>
      <c r="C309" s="301" t="s">
        <v>7768</v>
      </c>
      <c r="D309" s="301" t="s">
        <v>8874</v>
      </c>
      <c r="E309" s="301">
        <v>29</v>
      </c>
      <c r="F309" s="302" t="s">
        <v>8875</v>
      </c>
      <c r="G309" s="303" t="s">
        <v>8876</v>
      </c>
      <c r="H309" s="489">
        <v>0</v>
      </c>
      <c r="I309" s="301">
        <v>8</v>
      </c>
      <c r="J309" s="303" t="s">
        <v>8877</v>
      </c>
      <c r="K309" s="659">
        <v>62620000</v>
      </c>
    </row>
    <row r="310" spans="1:11" ht="252">
      <c r="A310" s="956" t="s">
        <v>3773</v>
      </c>
      <c r="B310" s="301" t="s">
        <v>8913</v>
      </c>
      <c r="C310" s="301" t="s">
        <v>7777</v>
      </c>
      <c r="D310" s="301" t="s">
        <v>8874</v>
      </c>
      <c r="E310" s="301">
        <v>66</v>
      </c>
      <c r="F310" s="302" t="s">
        <v>8875</v>
      </c>
      <c r="G310" s="303" t="s">
        <v>8876</v>
      </c>
      <c r="H310" s="489">
        <v>0</v>
      </c>
      <c r="I310" s="301">
        <v>11</v>
      </c>
      <c r="J310" s="303" t="s">
        <v>8877</v>
      </c>
      <c r="K310" s="659">
        <v>8805000</v>
      </c>
    </row>
    <row r="311" spans="1:11" ht="252">
      <c r="A311" s="956" t="s">
        <v>3773</v>
      </c>
      <c r="B311" s="301" t="s">
        <v>8914</v>
      </c>
      <c r="C311" s="301" t="s">
        <v>7773</v>
      </c>
      <c r="D311" s="301" t="s">
        <v>8874</v>
      </c>
      <c r="E311" s="301">
        <v>17</v>
      </c>
      <c r="F311" s="302" t="s">
        <v>8875</v>
      </c>
      <c r="G311" s="303" t="s">
        <v>8876</v>
      </c>
      <c r="H311" s="489">
        <v>0</v>
      </c>
      <c r="I311" s="301">
        <v>10</v>
      </c>
      <c r="J311" s="303" t="s">
        <v>8877</v>
      </c>
      <c r="K311" s="659">
        <v>35530000</v>
      </c>
    </row>
    <row r="312" spans="1:11" ht="252">
      <c r="A312" s="956" t="s">
        <v>3773</v>
      </c>
      <c r="B312" s="301" t="s">
        <v>8915</v>
      </c>
      <c r="C312" s="301" t="s">
        <v>7775</v>
      </c>
      <c r="D312" s="301" t="s">
        <v>8874</v>
      </c>
      <c r="E312" s="301">
        <v>69</v>
      </c>
      <c r="F312" s="302" t="s">
        <v>8875</v>
      </c>
      <c r="G312" s="303" t="s">
        <v>8876</v>
      </c>
      <c r="H312" s="489">
        <v>0</v>
      </c>
      <c r="I312" s="301">
        <v>6</v>
      </c>
      <c r="J312" s="303" t="s">
        <v>8877</v>
      </c>
      <c r="K312" s="659">
        <v>151767500</v>
      </c>
    </row>
    <row r="313" spans="1:11" ht="252">
      <c r="A313" s="956" t="s">
        <v>3773</v>
      </c>
      <c r="B313" s="301" t="s">
        <v>8916</v>
      </c>
      <c r="C313" s="301" t="s">
        <v>7771</v>
      </c>
      <c r="D313" s="301" t="s">
        <v>8874</v>
      </c>
      <c r="E313" s="301">
        <v>69</v>
      </c>
      <c r="F313" s="302" t="s">
        <v>8875</v>
      </c>
      <c r="G313" s="303" t="s">
        <v>8876</v>
      </c>
      <c r="H313" s="489">
        <v>0</v>
      </c>
      <c r="I313" s="301">
        <v>7</v>
      </c>
      <c r="J313" s="303" t="s">
        <v>8877</v>
      </c>
      <c r="K313" s="659">
        <v>151767500</v>
      </c>
    </row>
    <row r="314" spans="1:11" ht="126">
      <c r="A314" s="956" t="s">
        <v>8917</v>
      </c>
      <c r="B314" s="301" t="s">
        <v>7745</v>
      </c>
      <c r="C314" s="301" t="s">
        <v>7746</v>
      </c>
      <c r="D314" s="301" t="s">
        <v>8918</v>
      </c>
      <c r="E314" s="301">
        <v>1</v>
      </c>
      <c r="F314" s="302" t="s">
        <v>8919</v>
      </c>
      <c r="G314" s="303" t="s">
        <v>8920</v>
      </c>
      <c r="H314" s="489">
        <v>0</v>
      </c>
      <c r="I314" s="301">
        <v>3</v>
      </c>
      <c r="J314" s="303" t="s">
        <v>8921</v>
      </c>
      <c r="K314" s="659">
        <v>90880000</v>
      </c>
    </row>
    <row r="315" spans="1:11" ht="252">
      <c r="A315" s="956" t="s">
        <v>8917</v>
      </c>
      <c r="B315" s="301" t="s">
        <v>8922</v>
      </c>
      <c r="C315" s="301" t="s">
        <v>7746</v>
      </c>
      <c r="D315" s="301" t="s">
        <v>8874</v>
      </c>
      <c r="E315" s="301">
        <v>41</v>
      </c>
      <c r="F315" s="302" t="s">
        <v>8875</v>
      </c>
      <c r="G315" s="303" t="s">
        <v>8876</v>
      </c>
      <c r="H315" s="489">
        <v>0</v>
      </c>
      <c r="I315" s="301">
        <v>4</v>
      </c>
      <c r="J315" s="303" t="s">
        <v>8877</v>
      </c>
      <c r="K315" s="659">
        <v>89922500</v>
      </c>
    </row>
    <row r="316" spans="1:11" ht="252">
      <c r="A316" s="956" t="s">
        <v>8917</v>
      </c>
      <c r="B316" s="301" t="s">
        <v>8923</v>
      </c>
      <c r="C316" s="301" t="s">
        <v>7744</v>
      </c>
      <c r="D316" s="301" t="s">
        <v>8874</v>
      </c>
      <c r="E316" s="301">
        <v>143</v>
      </c>
      <c r="F316" s="302" t="s">
        <v>8875</v>
      </c>
      <c r="G316" s="303" t="s">
        <v>8876</v>
      </c>
      <c r="H316" s="489">
        <v>0</v>
      </c>
      <c r="I316" s="301">
        <v>1</v>
      </c>
      <c r="J316" s="303" t="s">
        <v>8877</v>
      </c>
      <c r="K316" s="659">
        <v>311452500</v>
      </c>
    </row>
    <row r="317" spans="1:11" ht="252">
      <c r="A317" s="956" t="s">
        <v>8917</v>
      </c>
      <c r="B317" s="301" t="s">
        <v>8924</v>
      </c>
      <c r="C317" s="301" t="s">
        <v>7740</v>
      </c>
      <c r="D317" s="301" t="s">
        <v>8874</v>
      </c>
      <c r="E317" s="301">
        <v>81</v>
      </c>
      <c r="F317" s="302" t="s">
        <v>8875</v>
      </c>
      <c r="G317" s="303" t="s">
        <v>8876</v>
      </c>
      <c r="H317" s="489">
        <v>0</v>
      </c>
      <c r="I317" s="301">
        <v>2</v>
      </c>
      <c r="J317" s="303" t="s">
        <v>8877</v>
      </c>
      <c r="K317" s="659">
        <v>177845000</v>
      </c>
    </row>
    <row r="318" spans="1:11" ht="252">
      <c r="A318" s="956" t="s">
        <v>8917</v>
      </c>
      <c r="B318" s="301" t="s">
        <v>8925</v>
      </c>
      <c r="C318" s="301" t="s">
        <v>7742</v>
      </c>
      <c r="D318" s="301" t="s">
        <v>8874</v>
      </c>
      <c r="E318" s="301">
        <v>30</v>
      </c>
      <c r="F318" s="302" t="s">
        <v>8875</v>
      </c>
      <c r="G318" s="303" t="s">
        <v>8876</v>
      </c>
      <c r="H318" s="489">
        <v>0</v>
      </c>
      <c r="I318" s="301">
        <v>5</v>
      </c>
      <c r="J318" s="303" t="s">
        <v>8877</v>
      </c>
      <c r="K318" s="659">
        <v>66227500</v>
      </c>
    </row>
    <row r="319" spans="1:11" ht="252">
      <c r="A319" s="956" t="s">
        <v>8926</v>
      </c>
      <c r="B319" s="301" t="s">
        <v>8927</v>
      </c>
      <c r="C319" s="301" t="s">
        <v>7760</v>
      </c>
      <c r="D319" s="301" t="s">
        <v>8874</v>
      </c>
      <c r="E319" s="301">
        <v>86</v>
      </c>
      <c r="F319" s="302" t="s">
        <v>8875</v>
      </c>
      <c r="G319" s="303" t="s">
        <v>8876</v>
      </c>
      <c r="H319" s="489">
        <v>0</v>
      </c>
      <c r="I319" s="301">
        <v>44</v>
      </c>
      <c r="J319" s="303" t="s">
        <v>8877</v>
      </c>
      <c r="K319" s="659">
        <v>191175000</v>
      </c>
    </row>
    <row r="320" spans="1:11" ht="252">
      <c r="A320" s="956" t="s">
        <v>8926</v>
      </c>
      <c r="B320" s="301" t="s">
        <v>8928</v>
      </c>
      <c r="C320" s="301" t="s">
        <v>7758</v>
      </c>
      <c r="D320" s="301" t="s">
        <v>8874</v>
      </c>
      <c r="E320" s="301">
        <v>21</v>
      </c>
      <c r="F320" s="302" t="s">
        <v>8875</v>
      </c>
      <c r="G320" s="303" t="s">
        <v>8876</v>
      </c>
      <c r="H320" s="489">
        <v>0</v>
      </c>
      <c r="I320" s="301">
        <v>48</v>
      </c>
      <c r="J320" s="303" t="s">
        <v>8877</v>
      </c>
      <c r="K320" s="659">
        <v>45420000</v>
      </c>
    </row>
    <row r="321" spans="1:11" ht="252">
      <c r="A321" s="956" t="s">
        <v>8926</v>
      </c>
      <c r="B321" s="301" t="s">
        <v>8929</v>
      </c>
      <c r="C321" s="301" t="s">
        <v>7756</v>
      </c>
      <c r="D321" s="301" t="s">
        <v>8874</v>
      </c>
      <c r="E321" s="301">
        <v>35</v>
      </c>
      <c r="F321" s="302" t="s">
        <v>8875</v>
      </c>
      <c r="G321" s="303" t="s">
        <v>8876</v>
      </c>
      <c r="H321" s="489">
        <v>0</v>
      </c>
      <c r="I321" s="301">
        <v>45</v>
      </c>
      <c r="J321" s="303" t="s">
        <v>8877</v>
      </c>
      <c r="K321" s="659">
        <v>74267500</v>
      </c>
    </row>
    <row r="322" spans="1:11" ht="252">
      <c r="A322" s="956" t="s">
        <v>8926</v>
      </c>
      <c r="B322" s="301" t="s">
        <v>8930</v>
      </c>
      <c r="C322" s="301" t="s">
        <v>7752</v>
      </c>
      <c r="D322" s="301" t="s">
        <v>8874</v>
      </c>
      <c r="E322" s="301">
        <v>31</v>
      </c>
      <c r="F322" s="302" t="s">
        <v>8875</v>
      </c>
      <c r="G322" s="303" t="s">
        <v>8876</v>
      </c>
      <c r="H322" s="489">
        <v>0</v>
      </c>
      <c r="I322" s="301">
        <v>46</v>
      </c>
      <c r="J322" s="303" t="s">
        <v>8877</v>
      </c>
      <c r="K322" s="659">
        <v>68340000</v>
      </c>
    </row>
    <row r="323" spans="1:11" ht="252">
      <c r="A323" s="956" t="s">
        <v>8926</v>
      </c>
      <c r="B323" s="301" t="s">
        <v>8931</v>
      </c>
      <c r="C323" s="301" t="s">
        <v>7749</v>
      </c>
      <c r="D323" s="301" t="s">
        <v>8874</v>
      </c>
      <c r="E323" s="301">
        <v>28</v>
      </c>
      <c r="F323" s="302" t="s">
        <v>8875</v>
      </c>
      <c r="G323" s="303" t="s">
        <v>8876</v>
      </c>
      <c r="H323" s="489">
        <v>0</v>
      </c>
      <c r="I323" s="301">
        <v>47</v>
      </c>
      <c r="J323" s="303" t="s">
        <v>8877</v>
      </c>
      <c r="K323" s="659">
        <v>61860000</v>
      </c>
    </row>
    <row r="324" spans="1:11" ht="252">
      <c r="A324" s="956" t="s">
        <v>8926</v>
      </c>
      <c r="B324" s="301" t="s">
        <v>8932</v>
      </c>
      <c r="C324" s="301" t="s">
        <v>7754</v>
      </c>
      <c r="D324" s="301" t="s">
        <v>8874</v>
      </c>
      <c r="E324" s="301">
        <v>126</v>
      </c>
      <c r="F324" s="302" t="s">
        <v>8875</v>
      </c>
      <c r="G324" s="303" t="s">
        <v>8876</v>
      </c>
      <c r="H324" s="489">
        <v>0</v>
      </c>
      <c r="I324" s="301">
        <v>43</v>
      </c>
      <c r="J324" s="303" t="s">
        <v>8877</v>
      </c>
      <c r="K324" s="659">
        <v>277375000</v>
      </c>
    </row>
    <row r="325" spans="1:11" ht="252">
      <c r="A325" s="956" t="s">
        <v>8933</v>
      </c>
      <c r="B325" s="301" t="s">
        <v>8934</v>
      </c>
      <c r="C325" s="301" t="s">
        <v>7762</v>
      </c>
      <c r="D325" s="301" t="s">
        <v>8874</v>
      </c>
      <c r="E325" s="301">
        <v>41</v>
      </c>
      <c r="F325" s="302" t="s">
        <v>8875</v>
      </c>
      <c r="G325" s="303" t="s">
        <v>8876</v>
      </c>
      <c r="H325" s="489">
        <v>0</v>
      </c>
      <c r="I325" s="301">
        <v>26</v>
      </c>
      <c r="J325" s="303" t="s">
        <v>8877</v>
      </c>
      <c r="K325" s="659">
        <v>89922500</v>
      </c>
    </row>
    <row r="326" spans="1:11" ht="252">
      <c r="A326" s="956" t="s">
        <v>8933</v>
      </c>
      <c r="B326" s="301" t="s">
        <v>8935</v>
      </c>
      <c r="C326" s="301" t="s">
        <v>7764</v>
      </c>
      <c r="D326" s="301" t="s">
        <v>8874</v>
      </c>
      <c r="E326" s="301">
        <v>46</v>
      </c>
      <c r="F326" s="302" t="s">
        <v>8875</v>
      </c>
      <c r="G326" s="303" t="s">
        <v>8876</v>
      </c>
      <c r="H326" s="489">
        <v>0</v>
      </c>
      <c r="I326" s="301">
        <v>25</v>
      </c>
      <c r="J326" s="303" t="s">
        <v>8877</v>
      </c>
      <c r="K326" s="659">
        <v>100770000</v>
      </c>
    </row>
    <row r="327" spans="1:11" ht="252">
      <c r="A327" s="956" t="s">
        <v>8933</v>
      </c>
      <c r="B327" s="301" t="s">
        <v>8936</v>
      </c>
      <c r="C327" s="301" t="s">
        <v>7766</v>
      </c>
      <c r="D327" s="301" t="s">
        <v>8874</v>
      </c>
      <c r="E327" s="301">
        <v>126</v>
      </c>
      <c r="F327" s="302" t="s">
        <v>8875</v>
      </c>
      <c r="G327" s="303" t="s">
        <v>8876</v>
      </c>
      <c r="H327" s="489">
        <v>0</v>
      </c>
      <c r="I327" s="301">
        <v>24</v>
      </c>
      <c r="J327" s="303" t="s">
        <v>8877</v>
      </c>
      <c r="K327" s="659">
        <v>274437500</v>
      </c>
    </row>
    <row r="328" spans="1:11" ht="90">
      <c r="A328" s="51" t="s">
        <v>24924</v>
      </c>
      <c r="B328" s="25" t="s">
        <v>24924</v>
      </c>
      <c r="C328" s="941" t="s">
        <v>24925</v>
      </c>
      <c r="D328" s="367" t="s">
        <v>24926</v>
      </c>
      <c r="E328" s="25"/>
      <c r="F328" s="25" t="s">
        <v>577</v>
      </c>
      <c r="G328" s="367" t="s">
        <v>24927</v>
      </c>
      <c r="H328" s="73"/>
      <c r="I328" s="367" t="s">
        <v>3620</v>
      </c>
      <c r="J328" s="367" t="s">
        <v>24928</v>
      </c>
      <c r="K328" s="951">
        <v>33236894</v>
      </c>
    </row>
    <row r="329" spans="1:11" ht="33.75">
      <c r="A329" s="51" t="s">
        <v>24060</v>
      </c>
      <c r="B329" s="25" t="s">
        <v>24065</v>
      </c>
      <c r="C329" s="941" t="s">
        <v>24929</v>
      </c>
      <c r="D329" s="367" t="s">
        <v>2179</v>
      </c>
      <c r="E329" s="25"/>
      <c r="F329" s="25" t="s">
        <v>24930</v>
      </c>
      <c r="G329" s="367" t="s">
        <v>24920</v>
      </c>
      <c r="H329" s="73">
        <v>250000000</v>
      </c>
      <c r="I329" s="367">
        <v>1</v>
      </c>
      <c r="J329" s="367" t="s">
        <v>24931</v>
      </c>
      <c r="K329" s="951">
        <v>350000000</v>
      </c>
    </row>
    <row r="330" spans="1:11" ht="15.75">
      <c r="A330" s="956"/>
      <c r="B330" s="301"/>
      <c r="C330" s="301"/>
      <c r="D330" s="301"/>
      <c r="E330" s="301"/>
      <c r="F330" s="302"/>
      <c r="G330" s="303"/>
      <c r="H330" s="489"/>
      <c r="I330" s="301"/>
      <c r="J330" s="303"/>
      <c r="K330" s="659"/>
    </row>
    <row r="331" spans="1:11">
      <c r="A331" s="1053" t="s">
        <v>6444</v>
      </c>
      <c r="B331" s="1054"/>
      <c r="C331" s="1054"/>
      <c r="D331" s="1054"/>
      <c r="E331" s="1054"/>
      <c r="F331" s="521"/>
      <c r="G331" s="570"/>
      <c r="H331" s="521">
        <f>SUM(H278:H330)</f>
        <v>250000000</v>
      </c>
      <c r="I331" s="521"/>
      <c r="J331" s="523"/>
      <c r="K331" s="852">
        <f>SUM(K278:K330)</f>
        <v>10254736394</v>
      </c>
    </row>
    <row r="332" spans="1:11">
      <c r="A332" s="1053" t="s">
        <v>7778</v>
      </c>
      <c r="B332" s="1054"/>
      <c r="C332" s="1054"/>
      <c r="D332" s="1054"/>
      <c r="E332" s="1054"/>
      <c r="F332" s="1054"/>
      <c r="G332" s="1054"/>
      <c r="H332" s="1054"/>
      <c r="I332" s="1054"/>
      <c r="J332" s="1054"/>
      <c r="K332" s="1055"/>
    </row>
    <row r="333" spans="1:11" ht="94.5">
      <c r="A333" s="956" t="s">
        <v>5326</v>
      </c>
      <c r="B333" s="301" t="s">
        <v>7779</v>
      </c>
      <c r="C333" s="301" t="s">
        <v>7780</v>
      </c>
      <c r="D333" s="301" t="s">
        <v>201</v>
      </c>
      <c r="E333" s="301">
        <v>1</v>
      </c>
      <c r="F333" s="302" t="s">
        <v>8937</v>
      </c>
      <c r="G333" s="303" t="s">
        <v>8938</v>
      </c>
      <c r="H333" s="489">
        <v>20000000</v>
      </c>
      <c r="I333" s="301">
        <v>1</v>
      </c>
      <c r="J333" s="303" t="s">
        <v>8770</v>
      </c>
      <c r="K333" s="659">
        <v>80000000</v>
      </c>
    </row>
    <row r="334" spans="1:11" ht="110.25">
      <c r="A334" s="956" t="s">
        <v>5326</v>
      </c>
      <c r="B334" s="301" t="s">
        <v>7779</v>
      </c>
      <c r="C334" s="301" t="s">
        <v>8939</v>
      </c>
      <c r="D334" s="301" t="s">
        <v>8940</v>
      </c>
      <c r="E334" s="301">
        <v>5</v>
      </c>
      <c r="F334" s="302" t="s">
        <v>8941</v>
      </c>
      <c r="G334" s="303" t="s">
        <v>8942</v>
      </c>
      <c r="H334" s="489">
        <v>10000000</v>
      </c>
      <c r="I334" s="301">
        <v>1</v>
      </c>
      <c r="J334" s="303" t="s">
        <v>8943</v>
      </c>
      <c r="K334" s="659">
        <v>25000000</v>
      </c>
    </row>
    <row r="335" spans="1:11" ht="126">
      <c r="A335" s="956" t="s">
        <v>5326</v>
      </c>
      <c r="B335" s="301" t="s">
        <v>912</v>
      </c>
      <c r="C335" s="301" t="s">
        <v>7784</v>
      </c>
      <c r="D335" s="301" t="s">
        <v>5944</v>
      </c>
      <c r="E335" s="301">
        <v>2</v>
      </c>
      <c r="F335" s="302" t="s">
        <v>8941</v>
      </c>
      <c r="G335" s="303" t="s">
        <v>8942</v>
      </c>
      <c r="H335" s="489">
        <v>4000000</v>
      </c>
      <c r="I335" s="301">
        <v>1</v>
      </c>
      <c r="J335" s="303" t="s">
        <v>8943</v>
      </c>
      <c r="K335" s="659">
        <v>10000000</v>
      </c>
    </row>
    <row r="336" spans="1:11" ht="110.25">
      <c r="A336" s="956" t="s">
        <v>5326</v>
      </c>
      <c r="B336" s="301" t="s">
        <v>7790</v>
      </c>
      <c r="C336" s="301" t="s">
        <v>7791</v>
      </c>
      <c r="D336" s="301" t="s">
        <v>5944</v>
      </c>
      <c r="E336" s="301">
        <v>4</v>
      </c>
      <c r="F336" s="302" t="s">
        <v>8941</v>
      </c>
      <c r="G336" s="303" t="s">
        <v>8942</v>
      </c>
      <c r="H336" s="489">
        <v>8000000</v>
      </c>
      <c r="I336" s="301">
        <v>1</v>
      </c>
      <c r="J336" s="303" t="s">
        <v>8943</v>
      </c>
      <c r="K336" s="659">
        <v>20000000</v>
      </c>
    </row>
    <row r="337" spans="1:11" ht="173.25">
      <c r="A337" s="956" t="s">
        <v>5326</v>
      </c>
      <c r="B337" s="301" t="s">
        <v>5247</v>
      </c>
      <c r="C337" s="301" t="s">
        <v>8944</v>
      </c>
      <c r="D337" s="301" t="s">
        <v>5944</v>
      </c>
      <c r="E337" s="301">
        <v>4</v>
      </c>
      <c r="F337" s="302" t="s">
        <v>8941</v>
      </c>
      <c r="G337" s="303" t="s">
        <v>8942</v>
      </c>
      <c r="H337" s="489">
        <v>8000000</v>
      </c>
      <c r="I337" s="301">
        <v>1</v>
      </c>
      <c r="J337" s="303" t="s">
        <v>8943</v>
      </c>
      <c r="K337" s="659">
        <v>20000000</v>
      </c>
    </row>
    <row r="338" spans="1:11" ht="110.25">
      <c r="A338" s="956" t="s">
        <v>4849</v>
      </c>
      <c r="B338" s="301" t="s">
        <v>19</v>
      </c>
      <c r="C338" s="301" t="s">
        <v>8945</v>
      </c>
      <c r="D338" s="301" t="s">
        <v>5944</v>
      </c>
      <c r="E338" s="301">
        <v>4</v>
      </c>
      <c r="F338" s="302" t="s">
        <v>8941</v>
      </c>
      <c r="G338" s="303" t="s">
        <v>8942</v>
      </c>
      <c r="H338" s="489">
        <v>8000000</v>
      </c>
      <c r="I338" s="301">
        <v>1</v>
      </c>
      <c r="J338" s="303" t="s">
        <v>8943</v>
      </c>
      <c r="K338" s="659">
        <v>20000000</v>
      </c>
    </row>
    <row r="339" spans="1:11" ht="110.25">
      <c r="A339" s="956" t="s">
        <v>4848</v>
      </c>
      <c r="B339" s="301" t="s">
        <v>7849</v>
      </c>
      <c r="C339" s="301" t="s">
        <v>7850</v>
      </c>
      <c r="D339" s="301" t="s">
        <v>5944</v>
      </c>
      <c r="E339" s="301">
        <v>3</v>
      </c>
      <c r="F339" s="302" t="s">
        <v>8941</v>
      </c>
      <c r="G339" s="303" t="s">
        <v>8942</v>
      </c>
      <c r="H339" s="489">
        <v>6000000</v>
      </c>
      <c r="I339" s="301">
        <v>1</v>
      </c>
      <c r="J339" s="303" t="s">
        <v>8943</v>
      </c>
      <c r="K339" s="659">
        <v>15000000</v>
      </c>
    </row>
    <row r="340" spans="1:11" ht="15.75">
      <c r="A340" s="956"/>
      <c r="B340" s="301"/>
      <c r="C340" s="301"/>
      <c r="D340" s="301"/>
      <c r="E340" s="301"/>
      <c r="F340" s="302"/>
      <c r="G340" s="303"/>
      <c r="H340" s="489"/>
      <c r="I340" s="301"/>
      <c r="J340" s="303"/>
      <c r="K340" s="659"/>
    </row>
    <row r="341" spans="1:11">
      <c r="A341" s="1053" t="s">
        <v>6444</v>
      </c>
      <c r="B341" s="1054"/>
      <c r="C341" s="1054"/>
      <c r="D341" s="1054"/>
      <c r="E341" s="1054"/>
      <c r="F341" s="521"/>
      <c r="G341" s="570"/>
      <c r="H341" s="521">
        <f>SUM(H333:H340)</f>
        <v>64000000</v>
      </c>
      <c r="I341" s="521"/>
      <c r="J341" s="523"/>
      <c r="K341" s="852">
        <f>SUM(K333:K340)</f>
        <v>190000000</v>
      </c>
    </row>
    <row r="342" spans="1:11">
      <c r="A342" s="1053" t="s">
        <v>7856</v>
      </c>
      <c r="B342" s="1054"/>
      <c r="C342" s="1054"/>
      <c r="D342" s="1054"/>
      <c r="E342" s="1054"/>
      <c r="F342" s="1054"/>
      <c r="G342" s="1054"/>
      <c r="H342" s="1054"/>
      <c r="I342" s="1054"/>
      <c r="J342" s="1054"/>
      <c r="K342" s="1055"/>
    </row>
    <row r="343" spans="1:11" ht="76.5">
      <c r="A343" s="326" t="s">
        <v>7857</v>
      </c>
      <c r="B343" s="49" t="s">
        <v>8946</v>
      </c>
      <c r="C343" s="26" t="s">
        <v>8947</v>
      </c>
      <c r="D343" s="49" t="s">
        <v>8948</v>
      </c>
      <c r="E343" s="26" t="s">
        <v>8949</v>
      </c>
      <c r="F343" s="49" t="s">
        <v>8950</v>
      </c>
      <c r="G343" s="49" t="s">
        <v>8951</v>
      </c>
      <c r="H343" s="73">
        <v>9000000</v>
      </c>
      <c r="I343" s="569">
        <v>1</v>
      </c>
      <c r="J343" s="49" t="s">
        <v>8952</v>
      </c>
      <c r="K343" s="531">
        <v>32000000</v>
      </c>
    </row>
    <row r="344" spans="1:11" ht="89.25">
      <c r="A344" s="326" t="s">
        <v>7857</v>
      </c>
      <c r="B344" s="26" t="s">
        <v>1879</v>
      </c>
      <c r="C344" s="26" t="s">
        <v>8953</v>
      </c>
      <c r="D344" s="49" t="s">
        <v>8948</v>
      </c>
      <c r="E344" s="26" t="s">
        <v>8954</v>
      </c>
      <c r="F344" s="49" t="s">
        <v>8955</v>
      </c>
      <c r="G344" s="49" t="s">
        <v>8951</v>
      </c>
      <c r="H344" s="73">
        <v>12000000</v>
      </c>
      <c r="I344" s="569">
        <v>1</v>
      </c>
      <c r="J344" s="49" t="s">
        <v>8956</v>
      </c>
      <c r="K344" s="531">
        <v>26000000</v>
      </c>
    </row>
    <row r="345" spans="1:11" ht="67.5">
      <c r="A345" s="51" t="s">
        <v>9991</v>
      </c>
      <c r="B345" s="25" t="s">
        <v>24903</v>
      </c>
      <c r="C345" s="941" t="s">
        <v>24904</v>
      </c>
      <c r="D345" s="367" t="s">
        <v>3775</v>
      </c>
      <c r="E345" s="25"/>
      <c r="F345" s="25" t="s">
        <v>3143</v>
      </c>
      <c r="G345" s="367" t="s">
        <v>24905</v>
      </c>
      <c r="H345" s="73"/>
      <c r="I345" s="367" t="s">
        <v>31</v>
      </c>
      <c r="J345" s="367" t="s">
        <v>24906</v>
      </c>
      <c r="K345" s="951">
        <v>51124330</v>
      </c>
    </row>
    <row r="346" spans="1:11" ht="78.75">
      <c r="A346" s="51" t="s">
        <v>9991</v>
      </c>
      <c r="B346" s="25" t="s">
        <v>24907</v>
      </c>
      <c r="C346" s="941" t="s">
        <v>24908</v>
      </c>
      <c r="D346" s="367" t="s">
        <v>24909</v>
      </c>
      <c r="E346" s="25"/>
      <c r="F346" s="25" t="s">
        <v>577</v>
      </c>
      <c r="G346" s="367" t="s">
        <v>24910</v>
      </c>
      <c r="H346" s="73"/>
      <c r="I346" s="367" t="s">
        <v>31</v>
      </c>
      <c r="J346" s="367" t="s">
        <v>24911</v>
      </c>
      <c r="K346" s="951">
        <v>11013401</v>
      </c>
    </row>
    <row r="347" spans="1:11" ht="15.75">
      <c r="A347" s="956"/>
      <c r="B347" s="301"/>
      <c r="C347" s="301"/>
      <c r="D347" s="301"/>
      <c r="E347" s="301"/>
      <c r="F347" s="302"/>
      <c r="G347" s="303"/>
      <c r="H347" s="489"/>
      <c r="I347" s="301"/>
      <c r="J347" s="303"/>
      <c r="K347" s="659"/>
    </row>
    <row r="348" spans="1:11">
      <c r="A348" s="1053" t="s">
        <v>6444</v>
      </c>
      <c r="B348" s="1054"/>
      <c r="C348" s="1054"/>
      <c r="D348" s="1054"/>
      <c r="E348" s="1054"/>
      <c r="F348" s="521"/>
      <c r="G348" s="570"/>
      <c r="H348" s="521">
        <f>SUM(H343:H347)</f>
        <v>21000000</v>
      </c>
      <c r="I348" s="521"/>
      <c r="J348" s="523"/>
      <c r="K348" s="852">
        <f>SUM(K343:K347)</f>
        <v>120137731</v>
      </c>
    </row>
    <row r="349" spans="1:11" ht="15.75" customHeight="1">
      <c r="A349" s="1053" t="s">
        <v>7883</v>
      </c>
      <c r="B349" s="1054"/>
      <c r="C349" s="1054"/>
      <c r="D349" s="1054"/>
      <c r="E349" s="1054"/>
      <c r="F349" s="1054"/>
      <c r="G349" s="1054"/>
      <c r="H349" s="1054"/>
      <c r="I349" s="1054"/>
      <c r="J349" s="1054"/>
      <c r="K349" s="1055"/>
    </row>
    <row r="350" spans="1:11" ht="191.25">
      <c r="A350" s="27" t="s">
        <v>7888</v>
      </c>
      <c r="B350" s="26" t="s">
        <v>8957</v>
      </c>
      <c r="C350" s="569" t="s">
        <v>7890</v>
      </c>
      <c r="D350" s="569" t="s">
        <v>624</v>
      </c>
      <c r="E350" s="569">
        <v>16</v>
      </c>
      <c r="F350" s="569" t="s">
        <v>8958</v>
      </c>
      <c r="G350" s="569" t="s">
        <v>8959</v>
      </c>
      <c r="H350" s="945">
        <v>46750841.846153848</v>
      </c>
      <c r="I350" s="569">
        <v>2</v>
      </c>
      <c r="J350" s="69" t="s">
        <v>8960</v>
      </c>
      <c r="K350" s="957">
        <f t="shared" ref="K350:K354" si="0">+H350</f>
        <v>46750841.846153848</v>
      </c>
    </row>
    <row r="351" spans="1:11" ht="191.25">
      <c r="A351" s="27" t="s">
        <v>7888</v>
      </c>
      <c r="B351" s="26" t="s">
        <v>7892</v>
      </c>
      <c r="C351" s="569" t="s">
        <v>8961</v>
      </c>
      <c r="D351" s="569" t="s">
        <v>624</v>
      </c>
      <c r="E351" s="569">
        <v>11</v>
      </c>
      <c r="F351" s="569" t="s">
        <v>8962</v>
      </c>
      <c r="G351" s="569" t="s">
        <v>8959</v>
      </c>
      <c r="H351" s="945">
        <v>22799760</v>
      </c>
      <c r="I351" s="569">
        <v>1</v>
      </c>
      <c r="J351" s="69" t="s">
        <v>8960</v>
      </c>
      <c r="K351" s="957">
        <f t="shared" si="0"/>
        <v>22799760</v>
      </c>
    </row>
    <row r="352" spans="1:11" ht="191.25">
      <c r="A352" s="27" t="s">
        <v>3830</v>
      </c>
      <c r="B352" s="26" t="s">
        <v>157</v>
      </c>
      <c r="C352" s="569" t="s">
        <v>7895</v>
      </c>
      <c r="D352" s="569" t="s">
        <v>624</v>
      </c>
      <c r="E352" s="569">
        <v>4</v>
      </c>
      <c r="F352" s="569" t="s">
        <v>8962</v>
      </c>
      <c r="G352" s="569" t="s">
        <v>8959</v>
      </c>
      <c r="H352" s="945">
        <v>7196406</v>
      </c>
      <c r="I352" s="569">
        <v>1</v>
      </c>
      <c r="J352" s="69" t="s">
        <v>8960</v>
      </c>
      <c r="K352" s="957">
        <f t="shared" si="0"/>
        <v>7196406</v>
      </c>
    </row>
    <row r="353" spans="1:11" ht="191.25">
      <c r="A353" s="27" t="s">
        <v>3847</v>
      </c>
      <c r="B353" s="26" t="s">
        <v>621</v>
      </c>
      <c r="C353" s="569" t="s">
        <v>7897</v>
      </c>
      <c r="D353" s="569" t="s">
        <v>624</v>
      </c>
      <c r="E353" s="569">
        <v>9</v>
      </c>
      <c r="F353" s="569" t="s">
        <v>8962</v>
      </c>
      <c r="G353" s="569" t="s">
        <v>8959</v>
      </c>
      <c r="H353" s="945">
        <v>19158000</v>
      </c>
      <c r="I353" s="569">
        <v>3</v>
      </c>
      <c r="J353" s="69" t="s">
        <v>8960</v>
      </c>
      <c r="K353" s="957">
        <f t="shared" si="0"/>
        <v>19158000</v>
      </c>
    </row>
    <row r="354" spans="1:11" ht="191.25">
      <c r="A354" s="27" t="s">
        <v>7898</v>
      </c>
      <c r="B354" s="26" t="s">
        <v>7899</v>
      </c>
      <c r="C354" s="569" t="s">
        <v>7900</v>
      </c>
      <c r="D354" s="569" t="s">
        <v>624</v>
      </c>
      <c r="E354" s="569">
        <v>7</v>
      </c>
      <c r="F354" s="569" t="s">
        <v>8962</v>
      </c>
      <c r="G354" s="569" t="s">
        <v>8959</v>
      </c>
      <c r="H354" s="945">
        <v>31388400</v>
      </c>
      <c r="I354" s="569">
        <v>1</v>
      </c>
      <c r="J354" s="69" t="s">
        <v>8960</v>
      </c>
      <c r="K354" s="957">
        <f t="shared" si="0"/>
        <v>31388400</v>
      </c>
    </row>
    <row r="355" spans="1:11" ht="15.75">
      <c r="A355" s="956"/>
      <c r="B355" s="301"/>
      <c r="C355" s="301"/>
      <c r="D355" s="301"/>
      <c r="E355" s="301"/>
      <c r="F355" s="302"/>
      <c r="G355" s="303"/>
      <c r="H355" s="489"/>
      <c r="I355" s="301"/>
      <c r="J355" s="303"/>
      <c r="K355" s="659"/>
    </row>
    <row r="356" spans="1:11">
      <c r="A356" s="1053" t="s">
        <v>6444</v>
      </c>
      <c r="B356" s="1054"/>
      <c r="C356" s="1054"/>
      <c r="D356" s="1054"/>
      <c r="E356" s="1054"/>
      <c r="F356" s="521"/>
      <c r="G356" s="570"/>
      <c r="H356" s="521">
        <f>SUM(H350:H355)</f>
        <v>127293407.84615386</v>
      </c>
      <c r="I356" s="521"/>
      <c r="J356" s="523"/>
      <c r="K356" s="852">
        <f>SUM(K350:K355)</f>
        <v>127293407.84615386</v>
      </c>
    </row>
    <row r="357" spans="1:11">
      <c r="A357" s="1053" t="s">
        <v>7901</v>
      </c>
      <c r="B357" s="1054"/>
      <c r="C357" s="1054"/>
      <c r="D357" s="1054"/>
      <c r="E357" s="1054"/>
      <c r="F357" s="1054"/>
      <c r="G357" s="1054"/>
      <c r="H357" s="1054"/>
      <c r="I357" s="1054"/>
      <c r="J357" s="1054"/>
      <c r="K357" s="1055"/>
    </row>
    <row r="358" spans="1:11" ht="90">
      <c r="A358" s="51" t="s">
        <v>4738</v>
      </c>
      <c r="B358" s="25" t="s">
        <v>24932</v>
      </c>
      <c r="C358" s="941" t="s">
        <v>24933</v>
      </c>
      <c r="D358" s="367"/>
      <c r="E358" s="25"/>
      <c r="F358" s="25"/>
      <c r="G358" s="367" t="s">
        <v>24934</v>
      </c>
      <c r="H358" s="73"/>
      <c r="I358" s="367"/>
      <c r="J358" s="367" t="s">
        <v>24935</v>
      </c>
      <c r="K358" s="951">
        <v>18000000</v>
      </c>
    </row>
    <row r="359" spans="1:11" ht="15.75">
      <c r="A359" s="956"/>
      <c r="B359" s="301"/>
      <c r="C359" s="301"/>
      <c r="D359" s="301"/>
      <c r="E359" s="301"/>
      <c r="F359" s="302"/>
      <c r="G359" s="303"/>
      <c r="H359" s="489"/>
      <c r="I359" s="301"/>
      <c r="J359" s="303"/>
      <c r="K359" s="659"/>
    </row>
    <row r="360" spans="1:11">
      <c r="A360" s="1053" t="s">
        <v>6444</v>
      </c>
      <c r="B360" s="1054"/>
      <c r="C360" s="1054"/>
      <c r="D360" s="1054"/>
      <c r="E360" s="1054"/>
      <c r="F360" s="521"/>
      <c r="G360" s="570"/>
      <c r="H360" s="521">
        <f>SUM(H358:H359)</f>
        <v>0</v>
      </c>
      <c r="I360" s="521"/>
      <c r="J360" s="523"/>
      <c r="K360" s="852">
        <f>SUM(K358:K359)</f>
        <v>18000000</v>
      </c>
    </row>
    <row r="361" spans="1:11" ht="15" customHeight="1">
      <c r="A361" s="1053" t="s">
        <v>7902</v>
      </c>
      <c r="B361" s="1054"/>
      <c r="C361" s="1054"/>
      <c r="D361" s="1054"/>
      <c r="E361" s="1054"/>
      <c r="F361" s="1054"/>
      <c r="G361" s="1054"/>
      <c r="H361" s="1054"/>
      <c r="I361" s="1054"/>
      <c r="J361" s="1054"/>
      <c r="K361" s="1055"/>
    </row>
    <row r="362" spans="1:11" ht="94.5">
      <c r="A362" s="956" t="s">
        <v>7932</v>
      </c>
      <c r="B362" s="301" t="s">
        <v>7933</v>
      </c>
      <c r="C362" s="301" t="s">
        <v>7934</v>
      </c>
      <c r="D362" s="301" t="s">
        <v>624</v>
      </c>
      <c r="E362" s="301">
        <v>12</v>
      </c>
      <c r="F362" s="302" t="s">
        <v>8963</v>
      </c>
      <c r="G362" s="303" t="s">
        <v>8964</v>
      </c>
      <c r="H362" s="489">
        <v>3447201.4920000001</v>
      </c>
      <c r="I362" s="301">
        <v>1</v>
      </c>
      <c r="J362" s="303" t="s">
        <v>8965</v>
      </c>
      <c r="K362" s="659">
        <v>5745335.8200000003</v>
      </c>
    </row>
    <row r="363" spans="1:11" ht="78.75">
      <c r="A363" s="956" t="s">
        <v>7932</v>
      </c>
      <c r="B363" s="301" t="s">
        <v>7933</v>
      </c>
      <c r="C363" s="301" t="s">
        <v>7934</v>
      </c>
      <c r="D363" s="301" t="s">
        <v>624</v>
      </c>
      <c r="E363" s="301">
        <v>6</v>
      </c>
      <c r="F363" s="302" t="s">
        <v>8966</v>
      </c>
      <c r="G363" s="303" t="s">
        <v>8964</v>
      </c>
      <c r="H363" s="489">
        <v>2429409.318</v>
      </c>
      <c r="I363" s="301">
        <v>1</v>
      </c>
      <c r="J363" s="303" t="s">
        <v>8967</v>
      </c>
      <c r="K363" s="659">
        <v>4049015.5300000003</v>
      </c>
    </row>
    <row r="364" spans="1:11" ht="78.75">
      <c r="A364" s="956" t="s">
        <v>7932</v>
      </c>
      <c r="B364" s="301" t="s">
        <v>7933</v>
      </c>
      <c r="C364" s="301" t="s">
        <v>7934</v>
      </c>
      <c r="D364" s="301" t="s">
        <v>624</v>
      </c>
      <c r="E364" s="301">
        <v>6</v>
      </c>
      <c r="F364" s="302" t="s">
        <v>8963</v>
      </c>
      <c r="G364" s="303" t="s">
        <v>8964</v>
      </c>
      <c r="H364" s="489">
        <v>2201982.0660000001</v>
      </c>
      <c r="I364" s="301">
        <v>1</v>
      </c>
      <c r="J364" s="303" t="s">
        <v>8968</v>
      </c>
      <c r="K364" s="659">
        <v>3669970.1100000003</v>
      </c>
    </row>
    <row r="365" spans="1:11" ht="47.25">
      <c r="A365" s="956" t="s">
        <v>3882</v>
      </c>
      <c r="B365" s="301" t="s">
        <v>8969</v>
      </c>
      <c r="C365" s="301" t="s">
        <v>8173</v>
      </c>
      <c r="D365" s="301" t="s">
        <v>624</v>
      </c>
      <c r="E365" s="301">
        <v>6</v>
      </c>
      <c r="F365" s="302" t="s">
        <v>8963</v>
      </c>
      <c r="G365" s="303" t="s">
        <v>8970</v>
      </c>
      <c r="H365" s="489">
        <v>28113031.097999997</v>
      </c>
      <c r="I365" s="301">
        <v>1</v>
      </c>
      <c r="J365" s="303" t="s">
        <v>8971</v>
      </c>
      <c r="K365" s="659">
        <v>46855051.829999998</v>
      </c>
    </row>
    <row r="366" spans="1:11" ht="47.25">
      <c r="A366" s="956" t="s">
        <v>3882</v>
      </c>
      <c r="B366" s="301" t="s">
        <v>8969</v>
      </c>
      <c r="C366" s="301" t="s">
        <v>8173</v>
      </c>
      <c r="D366" s="301" t="s">
        <v>624</v>
      </c>
      <c r="E366" s="301">
        <v>6</v>
      </c>
      <c r="F366" s="302" t="s">
        <v>8972</v>
      </c>
      <c r="G366" s="303" t="s">
        <v>8970</v>
      </c>
      <c r="H366" s="489">
        <v>28113031.097999997</v>
      </c>
      <c r="I366" s="301">
        <v>1</v>
      </c>
      <c r="J366" s="303" t="s">
        <v>8971</v>
      </c>
      <c r="K366" s="659">
        <v>46855051.829999998</v>
      </c>
    </row>
    <row r="367" spans="1:11" ht="63">
      <c r="A367" s="956" t="s">
        <v>7916</v>
      </c>
      <c r="B367" s="301" t="s">
        <v>8119</v>
      </c>
      <c r="C367" s="301" t="s">
        <v>8120</v>
      </c>
      <c r="D367" s="301" t="s">
        <v>624</v>
      </c>
      <c r="E367" s="301">
        <v>6</v>
      </c>
      <c r="F367" s="302" t="s">
        <v>8966</v>
      </c>
      <c r="G367" s="303" t="s">
        <v>8973</v>
      </c>
      <c r="H367" s="489">
        <v>28113031.100000001</v>
      </c>
      <c r="I367" s="301">
        <v>2</v>
      </c>
      <c r="J367" s="303" t="s">
        <v>8974</v>
      </c>
      <c r="K367" s="659">
        <v>220769140</v>
      </c>
    </row>
    <row r="368" spans="1:11" ht="15.75">
      <c r="A368" s="956"/>
      <c r="B368" s="301"/>
      <c r="C368" s="301"/>
      <c r="D368" s="301"/>
      <c r="E368" s="301"/>
      <c r="F368" s="302"/>
      <c r="G368" s="303"/>
      <c r="H368" s="489"/>
      <c r="I368" s="301"/>
      <c r="J368" s="303"/>
      <c r="K368" s="659"/>
    </row>
    <row r="369" spans="1:11">
      <c r="A369" s="1053" t="s">
        <v>6444</v>
      </c>
      <c r="B369" s="1054"/>
      <c r="C369" s="1054"/>
      <c r="D369" s="1054"/>
      <c r="E369" s="1054"/>
      <c r="F369" s="521"/>
      <c r="G369" s="570"/>
      <c r="H369" s="521">
        <f>SUM(H362:H368)</f>
        <v>92417686.171999991</v>
      </c>
      <c r="I369" s="521"/>
      <c r="J369" s="523"/>
      <c r="K369" s="852">
        <f>SUM(K362:K368)</f>
        <v>327943565.12</v>
      </c>
    </row>
    <row r="370" spans="1:11" ht="15.75" customHeight="1">
      <c r="A370" s="1053" t="s">
        <v>8184</v>
      </c>
      <c r="B370" s="1054"/>
      <c r="C370" s="1054"/>
      <c r="D370" s="1054"/>
      <c r="E370" s="1054"/>
      <c r="F370" s="1054"/>
      <c r="G370" s="1054"/>
      <c r="H370" s="1054"/>
      <c r="I370" s="1054"/>
      <c r="J370" s="1054"/>
      <c r="K370" s="1055"/>
    </row>
    <row r="371" spans="1:11" ht="157.5">
      <c r="A371" s="51" t="s">
        <v>8185</v>
      </c>
      <c r="B371" s="324" t="s">
        <v>8975</v>
      </c>
      <c r="C371" s="25" t="s">
        <v>8976</v>
      </c>
      <c r="D371" s="25" t="s">
        <v>8977</v>
      </c>
      <c r="E371" s="25">
        <v>1</v>
      </c>
      <c r="F371" s="25" t="s">
        <v>8978</v>
      </c>
      <c r="G371" s="25" t="s">
        <v>8979</v>
      </c>
      <c r="H371" s="73">
        <v>45000000</v>
      </c>
      <c r="I371" s="25">
        <v>1</v>
      </c>
      <c r="J371" s="25" t="s">
        <v>8980</v>
      </c>
      <c r="K371" s="531">
        <f t="shared" ref="K371:K379" si="1">+H371</f>
        <v>45000000</v>
      </c>
    </row>
    <row r="372" spans="1:11" ht="146.25">
      <c r="A372" s="51" t="s">
        <v>8185</v>
      </c>
      <c r="B372" s="324" t="s">
        <v>8975</v>
      </c>
      <c r="C372" s="25" t="s">
        <v>8981</v>
      </c>
      <c r="D372" s="25" t="s">
        <v>8982</v>
      </c>
      <c r="E372" s="25">
        <v>2</v>
      </c>
      <c r="F372" s="25" t="s">
        <v>1274</v>
      </c>
      <c r="G372" s="25" t="s">
        <v>8983</v>
      </c>
      <c r="H372" s="73">
        <v>50000000</v>
      </c>
      <c r="I372" s="25">
        <v>1</v>
      </c>
      <c r="J372" s="25" t="s">
        <v>8984</v>
      </c>
      <c r="K372" s="531">
        <f t="shared" si="1"/>
        <v>50000000</v>
      </c>
    </row>
    <row r="373" spans="1:11" ht="146.25">
      <c r="A373" s="51" t="s">
        <v>8185</v>
      </c>
      <c r="B373" s="324" t="s">
        <v>8975</v>
      </c>
      <c r="C373" s="25" t="s">
        <v>8985</v>
      </c>
      <c r="D373" s="25" t="s">
        <v>8986</v>
      </c>
      <c r="E373" s="25">
        <v>3</v>
      </c>
      <c r="F373" s="25" t="s">
        <v>1274</v>
      </c>
      <c r="G373" s="25" t="s">
        <v>8983</v>
      </c>
      <c r="H373" s="73">
        <v>75000000</v>
      </c>
      <c r="I373" s="25">
        <v>1</v>
      </c>
      <c r="J373" s="25" t="s">
        <v>8987</v>
      </c>
      <c r="K373" s="531">
        <f t="shared" si="1"/>
        <v>75000000</v>
      </c>
    </row>
    <row r="374" spans="1:11" ht="146.25">
      <c r="A374" s="51" t="s">
        <v>8185</v>
      </c>
      <c r="B374" s="324" t="s">
        <v>1607</v>
      </c>
      <c r="C374" s="25" t="s">
        <v>8727</v>
      </c>
      <c r="D374" s="25" t="s">
        <v>8726</v>
      </c>
      <c r="E374" s="25">
        <v>3</v>
      </c>
      <c r="F374" s="25" t="s">
        <v>1274</v>
      </c>
      <c r="G374" s="25" t="s">
        <v>8983</v>
      </c>
      <c r="H374" s="73">
        <v>25000000</v>
      </c>
      <c r="I374" s="25">
        <v>1</v>
      </c>
      <c r="J374" s="25" t="s">
        <v>8987</v>
      </c>
      <c r="K374" s="531">
        <f t="shared" si="1"/>
        <v>25000000</v>
      </c>
    </row>
    <row r="375" spans="1:11" ht="146.25">
      <c r="A375" s="51" t="s">
        <v>8185</v>
      </c>
      <c r="B375" s="324" t="s">
        <v>6006</v>
      </c>
      <c r="C375" s="25" t="s">
        <v>8988</v>
      </c>
      <c r="D375" s="25" t="s">
        <v>8989</v>
      </c>
      <c r="E375" s="25">
        <v>2</v>
      </c>
      <c r="F375" s="25" t="s">
        <v>1274</v>
      </c>
      <c r="G375" s="25" t="s">
        <v>8983</v>
      </c>
      <c r="H375" s="73">
        <v>58000000</v>
      </c>
      <c r="I375" s="25">
        <v>1</v>
      </c>
      <c r="J375" s="25" t="s">
        <v>8990</v>
      </c>
      <c r="K375" s="531">
        <f t="shared" si="1"/>
        <v>58000000</v>
      </c>
    </row>
    <row r="376" spans="1:11" ht="168.75">
      <c r="A376" s="51" t="s">
        <v>8185</v>
      </c>
      <c r="B376" s="324" t="s">
        <v>6006</v>
      </c>
      <c r="C376" s="25" t="s">
        <v>8187</v>
      </c>
      <c r="D376" s="25" t="s">
        <v>8991</v>
      </c>
      <c r="E376" s="25">
        <v>1</v>
      </c>
      <c r="F376" s="25" t="s">
        <v>8992</v>
      </c>
      <c r="G376" s="25" t="s">
        <v>8993</v>
      </c>
      <c r="H376" s="73">
        <v>325000000</v>
      </c>
      <c r="I376" s="25">
        <v>1</v>
      </c>
      <c r="J376" s="25" t="s">
        <v>8994</v>
      </c>
      <c r="K376" s="531">
        <f t="shared" si="1"/>
        <v>325000000</v>
      </c>
    </row>
    <row r="377" spans="1:11" ht="101.25">
      <c r="A377" s="51" t="s">
        <v>4706</v>
      </c>
      <c r="B377" s="324" t="s">
        <v>8715</v>
      </c>
      <c r="C377" s="25" t="s">
        <v>8995</v>
      </c>
      <c r="D377" s="25" t="s">
        <v>8996</v>
      </c>
      <c r="E377" s="25">
        <v>1</v>
      </c>
      <c r="F377" s="25" t="s">
        <v>1274</v>
      </c>
      <c r="G377" s="25" t="s">
        <v>8997</v>
      </c>
      <c r="H377" s="73">
        <v>25000000</v>
      </c>
      <c r="I377" s="25">
        <v>1</v>
      </c>
      <c r="J377" s="25" t="s">
        <v>8998</v>
      </c>
      <c r="K377" s="531">
        <f t="shared" si="1"/>
        <v>25000000</v>
      </c>
    </row>
    <row r="378" spans="1:11" ht="146.25">
      <c r="A378" s="51" t="s">
        <v>8185</v>
      </c>
      <c r="B378" s="324" t="s">
        <v>8975</v>
      </c>
      <c r="C378" s="25" t="s">
        <v>8208</v>
      </c>
      <c r="D378" s="25" t="s">
        <v>8999</v>
      </c>
      <c r="E378" s="25">
        <v>4</v>
      </c>
      <c r="F378" s="25" t="s">
        <v>1274</v>
      </c>
      <c r="G378" s="25" t="s">
        <v>8983</v>
      </c>
      <c r="H378" s="73">
        <v>125000000</v>
      </c>
      <c r="I378" s="25">
        <v>1</v>
      </c>
      <c r="J378" s="25" t="s">
        <v>8987</v>
      </c>
      <c r="K378" s="531">
        <f t="shared" si="1"/>
        <v>125000000</v>
      </c>
    </row>
    <row r="379" spans="1:11" ht="157.5">
      <c r="A379" s="51" t="s">
        <v>8185</v>
      </c>
      <c r="B379" s="324" t="s">
        <v>8975</v>
      </c>
      <c r="C379" s="25" t="s">
        <v>8208</v>
      </c>
      <c r="D379" s="25" t="s">
        <v>8999</v>
      </c>
      <c r="E379" s="25">
        <v>3</v>
      </c>
      <c r="F379" s="25" t="s">
        <v>8978</v>
      </c>
      <c r="G379" s="25" t="s">
        <v>8979</v>
      </c>
      <c r="H379" s="73">
        <v>45000000</v>
      </c>
      <c r="I379" s="25">
        <v>1</v>
      </c>
      <c r="J379" s="25" t="s">
        <v>8980</v>
      </c>
      <c r="K379" s="531">
        <f t="shared" si="1"/>
        <v>45000000</v>
      </c>
    </row>
    <row r="380" spans="1:11" ht="15.75">
      <c r="A380" s="956"/>
      <c r="B380" s="301"/>
      <c r="C380" s="301"/>
      <c r="D380" s="301"/>
      <c r="E380" s="301"/>
      <c r="F380" s="302"/>
      <c r="G380" s="303"/>
      <c r="H380" s="489"/>
      <c r="I380" s="301"/>
      <c r="J380" s="303"/>
      <c r="K380" s="659"/>
    </row>
    <row r="381" spans="1:11">
      <c r="A381" s="1053" t="s">
        <v>6444</v>
      </c>
      <c r="B381" s="1054"/>
      <c r="C381" s="1054"/>
      <c r="D381" s="1054"/>
      <c r="E381" s="1054"/>
      <c r="F381" s="521"/>
      <c r="G381" s="570"/>
      <c r="H381" s="521">
        <f>SUM(H371:H380)</f>
        <v>773000000</v>
      </c>
      <c r="I381" s="521"/>
      <c r="J381" s="523"/>
      <c r="K381" s="852">
        <f>SUM(K371:K380)</f>
        <v>773000000</v>
      </c>
    </row>
    <row r="382" spans="1:11" ht="15" customHeight="1">
      <c r="A382" s="1053" t="s">
        <v>8258</v>
      </c>
      <c r="B382" s="1054"/>
      <c r="C382" s="1054"/>
      <c r="D382" s="1054"/>
      <c r="E382" s="1054"/>
      <c r="F382" s="1054"/>
      <c r="G382" s="1054"/>
      <c r="H382" s="1054"/>
      <c r="I382" s="1054"/>
      <c r="J382" s="1054"/>
      <c r="K382" s="1055"/>
    </row>
    <row r="383" spans="1:11" ht="33.75">
      <c r="A383" s="958" t="s">
        <v>701</v>
      </c>
      <c r="B383" s="24" t="s">
        <v>9000</v>
      </c>
      <c r="C383" s="24" t="s">
        <v>8763</v>
      </c>
      <c r="D383" s="24" t="s">
        <v>9001</v>
      </c>
      <c r="E383" s="569">
        <v>16</v>
      </c>
      <c r="F383" s="24" t="s">
        <v>9002</v>
      </c>
      <c r="G383" s="327" t="s">
        <v>9003</v>
      </c>
      <c r="H383" s="73">
        <v>8300000</v>
      </c>
      <c r="I383" s="249" t="s">
        <v>30</v>
      </c>
      <c r="J383" s="24" t="s">
        <v>9004</v>
      </c>
      <c r="K383" s="531">
        <f>H383</f>
        <v>8300000</v>
      </c>
    </row>
    <row r="384" spans="1:11" ht="33.75">
      <c r="A384" s="904" t="s">
        <v>701</v>
      </c>
      <c r="B384" s="310" t="s">
        <v>8289</v>
      </c>
      <c r="C384" s="24" t="s">
        <v>8763</v>
      </c>
      <c r="D384" s="24" t="s">
        <v>9001</v>
      </c>
      <c r="E384" s="569">
        <v>16</v>
      </c>
      <c r="F384" s="24" t="s">
        <v>9002</v>
      </c>
      <c r="G384" s="327" t="s">
        <v>9003</v>
      </c>
      <c r="H384" s="73">
        <v>8300000</v>
      </c>
      <c r="I384" s="24" t="s">
        <v>31</v>
      </c>
      <c r="J384" s="24" t="s">
        <v>9004</v>
      </c>
      <c r="K384" s="531">
        <f t="shared" ref="K384:K405" si="2">H384</f>
        <v>8300000</v>
      </c>
    </row>
    <row r="385" spans="1:11" ht="33.75">
      <c r="A385" s="958" t="s">
        <v>701</v>
      </c>
      <c r="B385" s="24" t="s">
        <v>4123</v>
      </c>
      <c r="C385" s="24" t="s">
        <v>8763</v>
      </c>
      <c r="D385" s="24" t="s">
        <v>9001</v>
      </c>
      <c r="E385" s="569">
        <v>16</v>
      </c>
      <c r="F385" s="24" t="s">
        <v>9002</v>
      </c>
      <c r="G385" s="327" t="s">
        <v>9003</v>
      </c>
      <c r="H385" s="73">
        <v>8300000</v>
      </c>
      <c r="I385" s="24" t="s">
        <v>31</v>
      </c>
      <c r="J385" s="24" t="s">
        <v>9004</v>
      </c>
      <c r="K385" s="531">
        <f t="shared" si="2"/>
        <v>8300000</v>
      </c>
    </row>
    <row r="386" spans="1:11" ht="33.75">
      <c r="A386" s="904" t="s">
        <v>701</v>
      </c>
      <c r="B386" s="310" t="s">
        <v>1658</v>
      </c>
      <c r="C386" s="24" t="s">
        <v>8763</v>
      </c>
      <c r="D386" s="24" t="s">
        <v>9001</v>
      </c>
      <c r="E386" s="569">
        <v>16</v>
      </c>
      <c r="F386" s="24" t="s">
        <v>9002</v>
      </c>
      <c r="G386" s="327" t="s">
        <v>9003</v>
      </c>
      <c r="H386" s="73">
        <v>8300000</v>
      </c>
      <c r="I386" s="24" t="s">
        <v>31</v>
      </c>
      <c r="J386" s="24" t="s">
        <v>9004</v>
      </c>
      <c r="K386" s="531">
        <f t="shared" si="2"/>
        <v>8300000</v>
      </c>
    </row>
    <row r="387" spans="1:11" ht="33.75">
      <c r="A387" s="904" t="s">
        <v>701</v>
      </c>
      <c r="B387" s="310" t="s">
        <v>8767</v>
      </c>
      <c r="C387" s="24" t="s">
        <v>8763</v>
      </c>
      <c r="D387" s="24" t="s">
        <v>9001</v>
      </c>
      <c r="E387" s="569">
        <v>16</v>
      </c>
      <c r="F387" s="24" t="s">
        <v>9002</v>
      </c>
      <c r="G387" s="327" t="s">
        <v>9003</v>
      </c>
      <c r="H387" s="73">
        <v>8300000</v>
      </c>
      <c r="I387" s="24" t="s">
        <v>31</v>
      </c>
      <c r="J387" s="24" t="s">
        <v>9004</v>
      </c>
      <c r="K387" s="531">
        <f t="shared" si="2"/>
        <v>8300000</v>
      </c>
    </row>
    <row r="388" spans="1:11" ht="22.5">
      <c r="A388" s="904" t="s">
        <v>701</v>
      </c>
      <c r="B388" s="310" t="s">
        <v>9005</v>
      </c>
      <c r="C388" s="24" t="s">
        <v>9006</v>
      </c>
      <c r="D388" s="24" t="s">
        <v>9001</v>
      </c>
      <c r="E388" s="569">
        <v>16</v>
      </c>
      <c r="F388" s="24" t="s">
        <v>9002</v>
      </c>
      <c r="G388" s="327" t="s">
        <v>9003</v>
      </c>
      <c r="H388" s="73">
        <v>8300000</v>
      </c>
      <c r="I388" s="24" t="s">
        <v>31</v>
      </c>
      <c r="J388" s="24" t="s">
        <v>9004</v>
      </c>
      <c r="K388" s="531">
        <f t="shared" si="2"/>
        <v>8300000</v>
      </c>
    </row>
    <row r="389" spans="1:11" ht="22.5">
      <c r="A389" s="904" t="s">
        <v>701</v>
      </c>
      <c r="B389" s="310" t="s">
        <v>9007</v>
      </c>
      <c r="C389" s="24" t="s">
        <v>9006</v>
      </c>
      <c r="D389" s="24" t="s">
        <v>9001</v>
      </c>
      <c r="E389" s="569">
        <v>16</v>
      </c>
      <c r="F389" s="24" t="s">
        <v>9002</v>
      </c>
      <c r="G389" s="327" t="s">
        <v>9003</v>
      </c>
      <c r="H389" s="73">
        <v>8300000</v>
      </c>
      <c r="I389" s="24" t="s">
        <v>31</v>
      </c>
      <c r="J389" s="24" t="s">
        <v>9004</v>
      </c>
      <c r="K389" s="531">
        <f t="shared" si="2"/>
        <v>8300000</v>
      </c>
    </row>
    <row r="390" spans="1:11" ht="22.5">
      <c r="A390" s="904" t="s">
        <v>701</v>
      </c>
      <c r="B390" s="310" t="s">
        <v>9008</v>
      </c>
      <c r="C390" s="24" t="s">
        <v>9006</v>
      </c>
      <c r="D390" s="24" t="s">
        <v>9001</v>
      </c>
      <c r="E390" s="569">
        <v>16</v>
      </c>
      <c r="F390" s="24" t="s">
        <v>9002</v>
      </c>
      <c r="G390" s="327" t="s">
        <v>9003</v>
      </c>
      <c r="H390" s="73">
        <v>8300000</v>
      </c>
      <c r="I390" s="24" t="s">
        <v>31</v>
      </c>
      <c r="J390" s="24" t="s">
        <v>9004</v>
      </c>
      <c r="K390" s="531">
        <f t="shared" si="2"/>
        <v>8300000</v>
      </c>
    </row>
    <row r="391" spans="1:11" ht="22.5">
      <c r="A391" s="958" t="s">
        <v>701</v>
      </c>
      <c r="B391" s="24" t="s">
        <v>9008</v>
      </c>
      <c r="C391" s="24" t="s">
        <v>9006</v>
      </c>
      <c r="D391" s="24" t="s">
        <v>9009</v>
      </c>
      <c r="E391" s="569" t="s">
        <v>9010</v>
      </c>
      <c r="F391" s="24" t="s">
        <v>9002</v>
      </c>
      <c r="G391" s="327" t="s">
        <v>9003</v>
      </c>
      <c r="H391" s="73">
        <v>7000000</v>
      </c>
      <c r="I391" s="24" t="s">
        <v>31</v>
      </c>
      <c r="J391" s="24" t="s">
        <v>9011</v>
      </c>
      <c r="K391" s="531">
        <f t="shared" si="2"/>
        <v>7000000</v>
      </c>
    </row>
    <row r="392" spans="1:11" ht="22.5">
      <c r="A392" s="904" t="s">
        <v>701</v>
      </c>
      <c r="B392" s="310" t="s">
        <v>9012</v>
      </c>
      <c r="C392" s="24" t="s">
        <v>9006</v>
      </c>
      <c r="D392" s="24" t="s">
        <v>9001</v>
      </c>
      <c r="E392" s="569">
        <v>16</v>
      </c>
      <c r="F392" s="24" t="s">
        <v>9002</v>
      </c>
      <c r="G392" s="327" t="s">
        <v>9003</v>
      </c>
      <c r="H392" s="73">
        <v>8300000</v>
      </c>
      <c r="I392" s="24" t="s">
        <v>31</v>
      </c>
      <c r="J392" s="24" t="s">
        <v>9004</v>
      </c>
      <c r="K392" s="531">
        <f t="shared" si="2"/>
        <v>8300000</v>
      </c>
    </row>
    <row r="393" spans="1:11" ht="22.5">
      <c r="A393" s="904" t="s">
        <v>701</v>
      </c>
      <c r="B393" s="310" t="s">
        <v>9013</v>
      </c>
      <c r="C393" s="24" t="s">
        <v>9006</v>
      </c>
      <c r="D393" s="24" t="s">
        <v>9001</v>
      </c>
      <c r="E393" s="569">
        <v>16</v>
      </c>
      <c r="F393" s="24" t="s">
        <v>9002</v>
      </c>
      <c r="G393" s="327" t="s">
        <v>9003</v>
      </c>
      <c r="H393" s="73">
        <v>8300000</v>
      </c>
      <c r="I393" s="24" t="s">
        <v>31</v>
      </c>
      <c r="J393" s="24" t="s">
        <v>9004</v>
      </c>
      <c r="K393" s="531">
        <f t="shared" si="2"/>
        <v>8300000</v>
      </c>
    </row>
    <row r="394" spans="1:11" ht="22.5">
      <c r="A394" s="904" t="s">
        <v>701</v>
      </c>
      <c r="B394" s="310" t="s">
        <v>9014</v>
      </c>
      <c r="C394" s="24" t="s">
        <v>9006</v>
      </c>
      <c r="D394" s="24" t="s">
        <v>9001</v>
      </c>
      <c r="E394" s="569">
        <v>16</v>
      </c>
      <c r="F394" s="24" t="s">
        <v>9002</v>
      </c>
      <c r="G394" s="327" t="s">
        <v>9003</v>
      </c>
      <c r="H394" s="73">
        <v>8300000</v>
      </c>
      <c r="I394" s="24" t="s">
        <v>31</v>
      </c>
      <c r="J394" s="24" t="s">
        <v>9004</v>
      </c>
      <c r="K394" s="531">
        <f t="shared" si="2"/>
        <v>8300000</v>
      </c>
    </row>
    <row r="395" spans="1:11" ht="22.5">
      <c r="A395" s="904" t="s">
        <v>701</v>
      </c>
      <c r="B395" s="310" t="s">
        <v>9015</v>
      </c>
      <c r="C395" s="24" t="s">
        <v>9006</v>
      </c>
      <c r="D395" s="24" t="s">
        <v>9001</v>
      </c>
      <c r="E395" s="569">
        <v>16</v>
      </c>
      <c r="F395" s="24" t="s">
        <v>9002</v>
      </c>
      <c r="G395" s="327" t="s">
        <v>9003</v>
      </c>
      <c r="H395" s="73">
        <v>8300000</v>
      </c>
      <c r="I395" s="24" t="s">
        <v>31</v>
      </c>
      <c r="J395" s="24" t="s">
        <v>9004</v>
      </c>
      <c r="K395" s="531">
        <f t="shared" si="2"/>
        <v>8300000</v>
      </c>
    </row>
    <row r="396" spans="1:11" ht="22.5">
      <c r="A396" s="904" t="s">
        <v>701</v>
      </c>
      <c r="B396" s="310" t="s">
        <v>2501</v>
      </c>
      <c r="C396" s="24" t="s">
        <v>9006</v>
      </c>
      <c r="D396" s="24" t="s">
        <v>9009</v>
      </c>
      <c r="E396" s="569" t="s">
        <v>9010</v>
      </c>
      <c r="F396" s="24" t="s">
        <v>9002</v>
      </c>
      <c r="G396" s="327" t="s">
        <v>9003</v>
      </c>
      <c r="H396" s="73">
        <v>7000000</v>
      </c>
      <c r="I396" s="24" t="s">
        <v>31</v>
      </c>
      <c r="J396" s="24" t="s">
        <v>9011</v>
      </c>
      <c r="K396" s="531">
        <f t="shared" si="2"/>
        <v>7000000</v>
      </c>
    </row>
    <row r="397" spans="1:11" ht="22.5">
      <c r="A397" s="958" t="s">
        <v>701</v>
      </c>
      <c r="B397" s="24" t="s">
        <v>2501</v>
      </c>
      <c r="C397" s="24" t="s">
        <v>9006</v>
      </c>
      <c r="D397" s="24" t="s">
        <v>9009</v>
      </c>
      <c r="E397" s="569" t="s">
        <v>9010</v>
      </c>
      <c r="F397" s="24" t="s">
        <v>9002</v>
      </c>
      <c r="G397" s="327" t="s">
        <v>9003</v>
      </c>
      <c r="H397" s="73">
        <v>7000000</v>
      </c>
      <c r="I397" s="24" t="s">
        <v>31</v>
      </c>
      <c r="J397" s="24" t="s">
        <v>9011</v>
      </c>
      <c r="K397" s="531">
        <f t="shared" si="2"/>
        <v>7000000</v>
      </c>
    </row>
    <row r="398" spans="1:11" ht="22.5">
      <c r="A398" s="904" t="s">
        <v>701</v>
      </c>
      <c r="B398" s="310" t="s">
        <v>9016</v>
      </c>
      <c r="C398" s="24" t="s">
        <v>9006</v>
      </c>
      <c r="D398" s="24" t="s">
        <v>9001</v>
      </c>
      <c r="E398" s="569">
        <v>16</v>
      </c>
      <c r="F398" s="24" t="s">
        <v>9002</v>
      </c>
      <c r="G398" s="327" t="s">
        <v>9003</v>
      </c>
      <c r="H398" s="73">
        <v>8300000</v>
      </c>
      <c r="I398" s="24" t="s">
        <v>31</v>
      </c>
      <c r="J398" s="24" t="s">
        <v>9004</v>
      </c>
      <c r="K398" s="531">
        <f t="shared" si="2"/>
        <v>8300000</v>
      </c>
    </row>
    <row r="399" spans="1:11" ht="22.5">
      <c r="A399" s="904" t="s">
        <v>701</v>
      </c>
      <c r="B399" s="310" t="s">
        <v>9017</v>
      </c>
      <c r="C399" s="24" t="s">
        <v>9018</v>
      </c>
      <c r="D399" s="24" t="s">
        <v>9001</v>
      </c>
      <c r="E399" s="569">
        <v>16</v>
      </c>
      <c r="F399" s="24" t="s">
        <v>9002</v>
      </c>
      <c r="G399" s="327" t="s">
        <v>9003</v>
      </c>
      <c r="H399" s="73">
        <v>8300000</v>
      </c>
      <c r="I399" s="24" t="s">
        <v>31</v>
      </c>
      <c r="J399" s="24" t="s">
        <v>9004</v>
      </c>
      <c r="K399" s="531">
        <f t="shared" si="2"/>
        <v>8300000</v>
      </c>
    </row>
    <row r="400" spans="1:11" ht="22.5">
      <c r="A400" s="958" t="s">
        <v>701</v>
      </c>
      <c r="B400" s="24" t="s">
        <v>9017</v>
      </c>
      <c r="C400" s="24" t="s">
        <v>9018</v>
      </c>
      <c r="D400" s="24" t="s">
        <v>9001</v>
      </c>
      <c r="E400" s="569">
        <v>16</v>
      </c>
      <c r="F400" s="24" t="s">
        <v>9002</v>
      </c>
      <c r="G400" s="327" t="s">
        <v>9003</v>
      </c>
      <c r="H400" s="73">
        <v>8300000</v>
      </c>
      <c r="I400" s="24" t="s">
        <v>31</v>
      </c>
      <c r="J400" s="24" t="s">
        <v>9004</v>
      </c>
      <c r="K400" s="531">
        <f t="shared" si="2"/>
        <v>8300000</v>
      </c>
    </row>
    <row r="401" spans="1:11" ht="22.5">
      <c r="A401" s="904" t="s">
        <v>701</v>
      </c>
      <c r="B401" s="310" t="s">
        <v>137</v>
      </c>
      <c r="C401" s="24" t="s">
        <v>9018</v>
      </c>
      <c r="D401" s="24" t="s">
        <v>9001</v>
      </c>
      <c r="E401" s="569">
        <v>16</v>
      </c>
      <c r="F401" s="24" t="s">
        <v>9002</v>
      </c>
      <c r="G401" s="327" t="s">
        <v>9003</v>
      </c>
      <c r="H401" s="73">
        <v>8300000</v>
      </c>
      <c r="I401" s="24" t="s">
        <v>31</v>
      </c>
      <c r="J401" s="24" t="s">
        <v>9004</v>
      </c>
      <c r="K401" s="531">
        <f t="shared" si="2"/>
        <v>8300000</v>
      </c>
    </row>
    <row r="402" spans="1:11" ht="22.5">
      <c r="A402" s="958" t="s">
        <v>701</v>
      </c>
      <c r="B402" s="24" t="s">
        <v>137</v>
      </c>
      <c r="C402" s="24" t="s">
        <v>9018</v>
      </c>
      <c r="D402" s="24" t="s">
        <v>9001</v>
      </c>
      <c r="E402" s="569">
        <v>16</v>
      </c>
      <c r="F402" s="24" t="s">
        <v>9002</v>
      </c>
      <c r="G402" s="327" t="s">
        <v>9003</v>
      </c>
      <c r="H402" s="73">
        <v>8300000</v>
      </c>
      <c r="I402" s="24" t="s">
        <v>31</v>
      </c>
      <c r="J402" s="24" t="s">
        <v>9004</v>
      </c>
      <c r="K402" s="531">
        <f t="shared" si="2"/>
        <v>8300000</v>
      </c>
    </row>
    <row r="403" spans="1:11" ht="22.5">
      <c r="A403" s="958" t="s">
        <v>701</v>
      </c>
      <c r="B403" s="24" t="s">
        <v>137</v>
      </c>
      <c r="C403" s="24" t="s">
        <v>9018</v>
      </c>
      <c r="D403" s="24" t="s">
        <v>9001</v>
      </c>
      <c r="E403" s="569">
        <v>16</v>
      </c>
      <c r="F403" s="24" t="s">
        <v>9002</v>
      </c>
      <c r="G403" s="327" t="s">
        <v>9003</v>
      </c>
      <c r="H403" s="73">
        <v>8300000</v>
      </c>
      <c r="I403" s="24" t="s">
        <v>31</v>
      </c>
      <c r="J403" s="24" t="s">
        <v>9004</v>
      </c>
      <c r="K403" s="531">
        <f t="shared" si="2"/>
        <v>8300000</v>
      </c>
    </row>
    <row r="404" spans="1:11" ht="22.5">
      <c r="A404" s="904" t="s">
        <v>701</v>
      </c>
      <c r="B404" s="310" t="s">
        <v>9019</v>
      </c>
      <c r="C404" s="24" t="s">
        <v>9018</v>
      </c>
      <c r="D404" s="24" t="s">
        <v>9001</v>
      </c>
      <c r="E404" s="569">
        <v>16</v>
      </c>
      <c r="F404" s="24" t="s">
        <v>9002</v>
      </c>
      <c r="G404" s="327" t="s">
        <v>9003</v>
      </c>
      <c r="H404" s="73">
        <v>8300000</v>
      </c>
      <c r="I404" s="24" t="s">
        <v>31</v>
      </c>
      <c r="J404" s="24" t="s">
        <v>9004</v>
      </c>
      <c r="K404" s="531">
        <f t="shared" si="2"/>
        <v>8300000</v>
      </c>
    </row>
    <row r="405" spans="1:11" ht="22.5">
      <c r="A405" s="958" t="s">
        <v>701</v>
      </c>
      <c r="B405" s="24" t="s">
        <v>9019</v>
      </c>
      <c r="C405" s="24" t="s">
        <v>9018</v>
      </c>
      <c r="D405" s="24" t="s">
        <v>9001</v>
      </c>
      <c r="E405" s="569">
        <v>16</v>
      </c>
      <c r="F405" s="24" t="s">
        <v>9002</v>
      </c>
      <c r="G405" s="327" t="s">
        <v>9003</v>
      </c>
      <c r="H405" s="73">
        <v>8300000</v>
      </c>
      <c r="I405" s="24" t="s">
        <v>31</v>
      </c>
      <c r="J405" s="24" t="s">
        <v>9004</v>
      </c>
      <c r="K405" s="531">
        <f t="shared" si="2"/>
        <v>8300000</v>
      </c>
    </row>
    <row r="406" spans="1:11" ht="15.75">
      <c r="A406" s="956"/>
      <c r="B406" s="301"/>
      <c r="C406" s="301"/>
      <c r="D406" s="301"/>
      <c r="E406" s="301"/>
      <c r="F406" s="302"/>
      <c r="G406" s="303"/>
      <c r="H406" s="489"/>
      <c r="I406" s="301"/>
      <c r="J406" s="303"/>
      <c r="K406" s="659"/>
    </row>
    <row r="407" spans="1:11">
      <c r="A407" s="1053" t="s">
        <v>6444</v>
      </c>
      <c r="B407" s="1054"/>
      <c r="C407" s="1054"/>
      <c r="D407" s="1054"/>
      <c r="E407" s="1054"/>
      <c r="F407" s="521"/>
      <c r="G407" s="570"/>
      <c r="H407" s="521">
        <f>SUM(H383:H406)</f>
        <v>187000000</v>
      </c>
      <c r="I407" s="521"/>
      <c r="J407" s="523"/>
      <c r="K407" s="852">
        <f>SUM(K383:K406)</f>
        <v>187000000</v>
      </c>
    </row>
    <row r="408" spans="1:11" ht="15.75" customHeight="1">
      <c r="A408" s="1053" t="s">
        <v>8259</v>
      </c>
      <c r="B408" s="1054"/>
      <c r="C408" s="1054"/>
      <c r="D408" s="1054"/>
      <c r="E408" s="1054"/>
      <c r="F408" s="1054"/>
      <c r="G408" s="1054"/>
      <c r="H408" s="1054"/>
      <c r="I408" s="1054"/>
      <c r="J408" s="1054"/>
      <c r="K408" s="1055"/>
    </row>
    <row r="409" spans="1:11" ht="180">
      <c r="A409" s="27" t="s">
        <v>702</v>
      </c>
      <c r="B409" s="300" t="s">
        <v>1707</v>
      </c>
      <c r="C409" s="63" t="s">
        <v>8267</v>
      </c>
      <c r="D409" s="63" t="s">
        <v>9020</v>
      </c>
      <c r="E409" s="63">
        <v>12</v>
      </c>
      <c r="F409" s="63" t="s">
        <v>9021</v>
      </c>
      <c r="G409" s="328" t="s">
        <v>9022</v>
      </c>
      <c r="H409" s="73">
        <v>2500000</v>
      </c>
      <c r="I409" s="569" t="s">
        <v>1635</v>
      </c>
      <c r="J409" s="50" t="s">
        <v>9023</v>
      </c>
      <c r="K409" s="531">
        <v>15000000</v>
      </c>
    </row>
    <row r="410" spans="1:11" ht="89.25">
      <c r="A410" s="959" t="s">
        <v>702</v>
      </c>
      <c r="B410" s="249" t="s">
        <v>1707</v>
      </c>
      <c r="C410" s="63" t="s">
        <v>8269</v>
      </c>
      <c r="D410" s="569" t="s">
        <v>9024</v>
      </c>
      <c r="E410" s="947">
        <v>2</v>
      </c>
      <c r="F410" s="948" t="s">
        <v>9025</v>
      </c>
      <c r="G410" s="24" t="s">
        <v>9026</v>
      </c>
      <c r="H410" s="73">
        <v>2500000</v>
      </c>
      <c r="I410" s="949" t="s">
        <v>1635</v>
      </c>
      <c r="J410" s="329" t="s">
        <v>9027</v>
      </c>
      <c r="K410" s="531">
        <v>10000000</v>
      </c>
    </row>
    <row r="411" spans="1:11" ht="89.25">
      <c r="A411" s="27" t="s">
        <v>702</v>
      </c>
      <c r="B411" s="300" t="s">
        <v>4431</v>
      </c>
      <c r="C411" s="63" t="s">
        <v>9028</v>
      </c>
      <c r="D411" s="63" t="s">
        <v>9029</v>
      </c>
      <c r="E411" s="569">
        <v>24</v>
      </c>
      <c r="F411" s="63" t="s">
        <v>9030</v>
      </c>
      <c r="G411" s="44" t="s">
        <v>9031</v>
      </c>
      <c r="H411" s="73">
        <v>5000000</v>
      </c>
      <c r="I411" s="569" t="s">
        <v>6350</v>
      </c>
      <c r="J411" s="50" t="s">
        <v>9023</v>
      </c>
      <c r="K411" s="531">
        <v>15000000</v>
      </c>
    </row>
    <row r="412" spans="1:11" ht="89.25">
      <c r="A412" s="27" t="s">
        <v>702</v>
      </c>
      <c r="B412" s="300" t="s">
        <v>9032</v>
      </c>
      <c r="C412" s="63" t="s">
        <v>8278</v>
      </c>
      <c r="D412" s="63" t="s">
        <v>9033</v>
      </c>
      <c r="E412" s="569">
        <v>8</v>
      </c>
      <c r="F412" s="63" t="s">
        <v>9034</v>
      </c>
      <c r="G412" s="44" t="s">
        <v>9031</v>
      </c>
      <c r="H412" s="73">
        <v>800000</v>
      </c>
      <c r="I412" s="569" t="s">
        <v>1635</v>
      </c>
      <c r="J412" s="63" t="s">
        <v>9035</v>
      </c>
      <c r="K412" s="531">
        <v>1600000</v>
      </c>
    </row>
    <row r="413" spans="1:11" ht="60">
      <c r="A413" s="27" t="s">
        <v>702</v>
      </c>
      <c r="B413" s="300" t="s">
        <v>9036</v>
      </c>
      <c r="C413" s="569" t="s">
        <v>9037</v>
      </c>
      <c r="D413" s="63" t="s">
        <v>9038</v>
      </c>
      <c r="E413" s="569">
        <v>10</v>
      </c>
      <c r="F413" s="63" t="s">
        <v>9039</v>
      </c>
      <c r="G413" s="50" t="s">
        <v>9040</v>
      </c>
      <c r="H413" s="73">
        <v>800000</v>
      </c>
      <c r="I413" s="569" t="s">
        <v>1628</v>
      </c>
      <c r="J413" s="50" t="s">
        <v>9041</v>
      </c>
      <c r="K413" s="531">
        <v>4500000</v>
      </c>
    </row>
    <row r="414" spans="1:11" ht="84">
      <c r="A414" s="27" t="s">
        <v>702</v>
      </c>
      <c r="B414" s="300" t="s">
        <v>9042</v>
      </c>
      <c r="C414" s="63" t="s">
        <v>8273</v>
      </c>
      <c r="D414" s="63" t="s">
        <v>9043</v>
      </c>
      <c r="E414" s="569">
        <v>2</v>
      </c>
      <c r="F414" s="63" t="s">
        <v>9044</v>
      </c>
      <c r="G414" s="50" t="s">
        <v>9045</v>
      </c>
      <c r="H414" s="73">
        <v>400000</v>
      </c>
      <c r="I414" s="569" t="s">
        <v>1628</v>
      </c>
      <c r="J414" s="50" t="s">
        <v>9046</v>
      </c>
      <c r="K414" s="531">
        <v>15000000</v>
      </c>
    </row>
    <row r="415" spans="1:11" ht="72">
      <c r="A415" s="27" t="s">
        <v>702</v>
      </c>
      <c r="B415" s="300" t="s">
        <v>4431</v>
      </c>
      <c r="C415" s="63" t="s">
        <v>9047</v>
      </c>
      <c r="D415" s="63" t="s">
        <v>3697</v>
      </c>
      <c r="E415" s="569">
        <v>8</v>
      </c>
      <c r="F415" s="63" t="s">
        <v>9048</v>
      </c>
      <c r="G415" s="50" t="s">
        <v>9049</v>
      </c>
      <c r="H415" s="73">
        <v>200000</v>
      </c>
      <c r="I415" s="569" t="s">
        <v>1628</v>
      </c>
      <c r="J415" s="50" t="s">
        <v>9050</v>
      </c>
      <c r="K415" s="531">
        <v>10000000</v>
      </c>
    </row>
    <row r="416" spans="1:11" ht="15.75">
      <c r="A416" s="956"/>
      <c r="B416" s="301"/>
      <c r="C416" s="301"/>
      <c r="D416" s="301"/>
      <c r="E416" s="301"/>
      <c r="F416" s="302"/>
      <c r="G416" s="303"/>
      <c r="H416" s="489"/>
      <c r="I416" s="301"/>
      <c r="J416" s="303"/>
      <c r="K416" s="659"/>
    </row>
    <row r="417" spans="1:11">
      <c r="A417" s="1053" t="s">
        <v>6444</v>
      </c>
      <c r="B417" s="1054"/>
      <c r="C417" s="1054"/>
      <c r="D417" s="1054"/>
      <c r="E417" s="1054"/>
      <c r="F417" s="521"/>
      <c r="G417" s="570"/>
      <c r="H417" s="521">
        <f>SUM(H409:H416)</f>
        <v>12200000</v>
      </c>
      <c r="I417" s="521"/>
      <c r="J417" s="523"/>
      <c r="K417" s="852">
        <f>SUM(K409:K416)</f>
        <v>71100000</v>
      </c>
    </row>
    <row r="418" spans="1:11">
      <c r="A418" s="1053"/>
      <c r="B418" s="1054"/>
      <c r="C418" s="1054"/>
      <c r="D418" s="1054"/>
      <c r="E418" s="1054"/>
      <c r="F418" s="1054"/>
      <c r="G418" s="1054"/>
      <c r="H418" s="1054"/>
      <c r="I418" s="1054"/>
      <c r="J418" s="1054"/>
      <c r="K418" s="1055"/>
    </row>
    <row r="419" spans="1:11" ht="15.75">
      <c r="A419" s="1056"/>
      <c r="B419" s="1057"/>
      <c r="C419" s="1057"/>
      <c r="D419" s="1057"/>
      <c r="E419" s="1057"/>
      <c r="F419" s="1057"/>
      <c r="G419" s="1057"/>
      <c r="H419" s="489"/>
      <c r="I419" s="301"/>
      <c r="J419" s="303"/>
      <c r="K419" s="659"/>
    </row>
    <row r="420" spans="1:11" ht="15.75">
      <c r="A420" s="956"/>
      <c r="B420" s="301"/>
      <c r="C420" s="301"/>
      <c r="D420" s="301"/>
      <c r="E420" s="301"/>
      <c r="F420" s="302"/>
      <c r="G420" s="303"/>
      <c r="H420" s="489"/>
      <c r="I420" s="301"/>
      <c r="J420" s="303"/>
      <c r="K420" s="659"/>
    </row>
    <row r="421" spans="1:11" ht="15.75" thickBot="1">
      <c r="A421" s="1063" t="s">
        <v>91</v>
      </c>
      <c r="B421" s="1064"/>
      <c r="C421" s="1064"/>
      <c r="D421" s="1064"/>
      <c r="E421" s="1064"/>
      <c r="F421" s="1064"/>
      <c r="G421" s="1064"/>
      <c r="H421" s="960">
        <f>+H417+H407+H381+H369+H360+H356+H348+H341+H331+H276+H266+H245+H238+H234+H222+H208+H205+H191+H188+H184+H176+H173+H158+H150+H146+H141+H134+H125+H122+H112+H89+H85+H66+H63+H56+H51+H25+H12</f>
        <v>3406354094.0181537</v>
      </c>
      <c r="I421" s="961"/>
      <c r="J421" s="961"/>
      <c r="K421" s="962">
        <f>+K12+K25+K51+K56+K63+K66+K85+K89+K112+K122+K125+K134+K141+K146+K150+K158+K166+K173+K176+K184+K188+K191+K205+K208+K222+K234+K238+K245+K266+K276+K331+K341+K348+K356+K360+K369+K381+K407+K417</f>
        <v>20388696178.583858</v>
      </c>
    </row>
  </sheetData>
  <mergeCells count="95">
    <mergeCell ref="A421:G421"/>
    <mergeCell ref="A192:K192"/>
    <mergeCell ref="A113:K113"/>
    <mergeCell ref="A239:K239"/>
    <mergeCell ref="A235:K235"/>
    <mergeCell ref="A223:K223"/>
    <mergeCell ref="A209:K209"/>
    <mergeCell ref="A206:K206"/>
    <mergeCell ref="A205:E205"/>
    <mergeCell ref="A208:E208"/>
    <mergeCell ref="A222:E222"/>
    <mergeCell ref="A234:E234"/>
    <mergeCell ref="A184:E184"/>
    <mergeCell ref="A188:E188"/>
    <mergeCell ref="A189:K189"/>
    <mergeCell ref="A191:E191"/>
    <mergeCell ref="A245:E245"/>
    <mergeCell ref="A266:E266"/>
    <mergeCell ref="A276:E276"/>
    <mergeCell ref="A331:E331"/>
    <mergeCell ref="A246:K246"/>
    <mergeCell ref="A267:K267"/>
    <mergeCell ref="B268:B270"/>
    <mergeCell ref="C268:C270"/>
    <mergeCell ref="A273:A274"/>
    <mergeCell ref="B273:B274"/>
    <mergeCell ref="C273:C274"/>
    <mergeCell ref="A277:K277"/>
    <mergeCell ref="A177:K177"/>
    <mergeCell ref="A185:K185"/>
    <mergeCell ref="A158:E158"/>
    <mergeCell ref="A173:E173"/>
    <mergeCell ref="A176:E176"/>
    <mergeCell ref="A166:E166"/>
    <mergeCell ref="A122:E122"/>
    <mergeCell ref="A123:K123"/>
    <mergeCell ref="A125:E125"/>
    <mergeCell ref="A134:E134"/>
    <mergeCell ref="A141:E141"/>
    <mergeCell ref="A67:K67"/>
    <mergeCell ref="A151:K151"/>
    <mergeCell ref="A167:K167"/>
    <mergeCell ref="A174:K174"/>
    <mergeCell ref="A85:E85"/>
    <mergeCell ref="A86:K86"/>
    <mergeCell ref="A89:E89"/>
    <mergeCell ref="A112:E112"/>
    <mergeCell ref="A147:K147"/>
    <mergeCell ref="A150:E150"/>
    <mergeCell ref="A146:E146"/>
    <mergeCell ref="A90:K90"/>
    <mergeCell ref="A126:K126"/>
    <mergeCell ref="A135:K135"/>
    <mergeCell ref="A142:K142"/>
    <mergeCell ref="A170:A172"/>
    <mergeCell ref="A56:E56"/>
    <mergeCell ref="A57:K57"/>
    <mergeCell ref="A63:E63"/>
    <mergeCell ref="A64:K64"/>
    <mergeCell ref="A66:E66"/>
    <mergeCell ref="A6:K6"/>
    <mergeCell ref="A1:K1"/>
    <mergeCell ref="A2:K2"/>
    <mergeCell ref="A3:K3"/>
    <mergeCell ref="A4:A5"/>
    <mergeCell ref="B4:D4"/>
    <mergeCell ref="E4:E5"/>
    <mergeCell ref="F4:F5"/>
    <mergeCell ref="G4:H4"/>
    <mergeCell ref="I4:K4"/>
    <mergeCell ref="A419:G419"/>
    <mergeCell ref="A382:K382"/>
    <mergeCell ref="A408:K408"/>
    <mergeCell ref="A361:K361"/>
    <mergeCell ref="A370:K370"/>
    <mergeCell ref="A369:E369"/>
    <mergeCell ref="A381:E381"/>
    <mergeCell ref="A407:E407"/>
    <mergeCell ref="A417:E417"/>
    <mergeCell ref="A238:E238"/>
    <mergeCell ref="A12:E12"/>
    <mergeCell ref="A13:K13"/>
    <mergeCell ref="A360:E360"/>
    <mergeCell ref="A418:K418"/>
    <mergeCell ref="A349:K349"/>
    <mergeCell ref="A357:K357"/>
    <mergeCell ref="A332:K332"/>
    <mergeCell ref="A342:K342"/>
    <mergeCell ref="A341:E341"/>
    <mergeCell ref="A348:E348"/>
    <mergeCell ref="A356:E356"/>
    <mergeCell ref="A25:E25"/>
    <mergeCell ref="A26:K26"/>
    <mergeCell ref="A51:E51"/>
    <mergeCell ref="A52:K52"/>
  </mergeCells>
  <printOptions horizontalCentered="1" verticalCentered="1"/>
  <pageMargins left="0.23622047244094491" right="0.23622047244094491" top="0.74803149606299213" bottom="0.74803149606299213" header="0.31496062992125984" footer="0.31496062992125984"/>
  <pageSetup scale="66" fitToHeight="0" orientation="landscape" r:id="rId1"/>
  <headerFooter>
    <oddFooter>&amp;C&amp;P de &amp;N</oddFooter>
  </headerFooter>
  <rowBreaks count="2" manualBreakCount="2">
    <brk id="223" max="10" man="1"/>
    <brk id="233" max="1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F0"/>
    <pageSetUpPr fitToPage="1"/>
  </sheetPr>
  <dimension ref="A1:P384"/>
  <sheetViews>
    <sheetView view="pageBreakPreview" topLeftCell="D379" zoomScale="69" zoomScaleNormal="75" zoomScaleSheetLayoutView="69" workbookViewId="0">
      <selection activeCell="J384" sqref="J384"/>
    </sheetView>
  </sheetViews>
  <sheetFormatPr baseColWidth="10" defaultColWidth="11.42578125" defaultRowHeight="15"/>
  <cols>
    <col min="1" max="1" width="22.140625" style="3" customWidth="1"/>
    <col min="2" max="2" width="20.42578125" style="3" customWidth="1"/>
    <col min="3" max="3" width="30.140625" style="3" bestFit="1" customWidth="1"/>
    <col min="4" max="4" width="39.42578125" style="430" customWidth="1"/>
    <col min="5" max="5" width="24.42578125" style="430" customWidth="1"/>
    <col min="6" max="6" width="42.140625" style="3" customWidth="1"/>
    <col min="7" max="7" width="34.42578125" style="431" customWidth="1"/>
    <col min="8" max="8" width="18.85546875" style="3" customWidth="1"/>
    <col min="9" max="9" width="44.85546875" style="3" customWidth="1"/>
    <col min="10" max="10" width="29.140625" style="431" customWidth="1"/>
    <col min="11" max="11" width="20.85546875" style="3" bestFit="1" customWidth="1"/>
    <col min="12" max="13" width="19.7109375" style="3" bestFit="1" customWidth="1"/>
    <col min="14" max="16384" width="11.42578125" style="3"/>
  </cols>
  <sheetData>
    <row r="1" spans="1:16" ht="15" customHeight="1">
      <c r="A1" s="1045" t="s">
        <v>0</v>
      </c>
      <c r="B1" s="1045"/>
      <c r="C1" s="1045"/>
      <c r="D1" s="1045"/>
      <c r="E1" s="1045"/>
      <c r="F1" s="1045"/>
      <c r="G1" s="1045"/>
      <c r="H1" s="1045"/>
      <c r="I1" s="1045"/>
      <c r="J1" s="1045"/>
    </row>
    <row r="2" spans="1:16" ht="15" customHeight="1">
      <c r="A2" s="1045" t="s">
        <v>116</v>
      </c>
      <c r="B2" s="1045"/>
      <c r="C2" s="1045"/>
      <c r="D2" s="1045"/>
      <c r="E2" s="1045"/>
      <c r="F2" s="1045"/>
      <c r="G2" s="1045"/>
      <c r="H2" s="1045"/>
      <c r="I2" s="1045"/>
      <c r="J2" s="1045"/>
    </row>
    <row r="3" spans="1:16" ht="15" customHeight="1" thickBot="1">
      <c r="A3" s="1045" t="s">
        <v>44</v>
      </c>
      <c r="B3" s="1045"/>
      <c r="C3" s="1045"/>
      <c r="D3" s="1045"/>
      <c r="E3" s="1045"/>
      <c r="F3" s="1045"/>
      <c r="G3" s="1045"/>
      <c r="H3" s="1045"/>
      <c r="I3" s="1045"/>
      <c r="J3" s="1045"/>
    </row>
    <row r="4" spans="1:16" ht="15.75" customHeight="1">
      <c r="A4" s="1067" t="s">
        <v>1</v>
      </c>
      <c r="B4" s="1069" t="s">
        <v>2</v>
      </c>
      <c r="C4" s="1069"/>
      <c r="D4" s="1069" t="s">
        <v>45</v>
      </c>
      <c r="E4" s="1069" t="s">
        <v>46</v>
      </c>
      <c r="F4" s="1069" t="s">
        <v>22</v>
      </c>
      <c r="G4" s="1069"/>
      <c r="H4" s="1069" t="s">
        <v>7</v>
      </c>
      <c r="I4" s="1069"/>
      <c r="J4" s="1071"/>
    </row>
    <row r="5" spans="1:16" s="4" customFormat="1" ht="26.25" thickBot="1">
      <c r="A5" s="1068"/>
      <c r="B5" s="937" t="s">
        <v>3</v>
      </c>
      <c r="C5" s="937" t="s">
        <v>24</v>
      </c>
      <c r="D5" s="1070"/>
      <c r="E5" s="1070"/>
      <c r="F5" s="937" t="s">
        <v>25</v>
      </c>
      <c r="G5" s="938" t="s">
        <v>26</v>
      </c>
      <c r="H5" s="939" t="s">
        <v>27</v>
      </c>
      <c r="I5" s="937" t="s">
        <v>28</v>
      </c>
      <c r="J5" s="940" t="s">
        <v>29</v>
      </c>
      <c r="L5" s="3"/>
      <c r="M5" s="3"/>
      <c r="N5" s="3"/>
      <c r="O5" s="3"/>
      <c r="P5" s="3"/>
    </row>
    <row r="6" spans="1:16" s="4" customFormat="1">
      <c r="A6" s="1074" t="s">
        <v>3133</v>
      </c>
      <c r="B6" s="1075"/>
      <c r="C6" s="1075"/>
      <c r="D6" s="1075"/>
      <c r="E6" s="1075"/>
      <c r="F6" s="1075"/>
      <c r="G6" s="1075"/>
      <c r="H6" s="1075"/>
      <c r="I6" s="1075"/>
      <c r="J6" s="1076"/>
      <c r="L6" s="3"/>
      <c r="M6" s="3"/>
      <c r="N6" s="3"/>
      <c r="O6" s="3"/>
      <c r="P6" s="3"/>
    </row>
    <row r="7" spans="1:16" s="4" customFormat="1" ht="63.75">
      <c r="A7" s="907" t="s">
        <v>3084</v>
      </c>
      <c r="B7" s="40" t="s">
        <v>3085</v>
      </c>
      <c r="C7" s="40" t="s">
        <v>3086</v>
      </c>
      <c r="D7" s="40" t="s">
        <v>3087</v>
      </c>
      <c r="E7" s="40" t="s">
        <v>3005</v>
      </c>
      <c r="F7" s="40" t="s">
        <v>3088</v>
      </c>
      <c r="G7" s="380">
        <v>200000000</v>
      </c>
      <c r="H7" s="52">
        <v>2</v>
      </c>
      <c r="I7" s="40" t="s">
        <v>3089</v>
      </c>
      <c r="J7" s="530">
        <v>45000000</v>
      </c>
      <c r="L7" s="3"/>
      <c r="M7" s="3"/>
      <c r="N7" s="3"/>
      <c r="O7" s="3"/>
      <c r="P7" s="3"/>
    </row>
    <row r="8" spans="1:16" s="4" customFormat="1" ht="76.5">
      <c r="A8" s="907" t="s">
        <v>3074</v>
      </c>
      <c r="B8" s="40" t="s">
        <v>3075</v>
      </c>
      <c r="C8" s="40" t="s">
        <v>3067</v>
      </c>
      <c r="D8" s="40" t="s">
        <v>3076</v>
      </c>
      <c r="E8" s="40" t="s">
        <v>3077</v>
      </c>
      <c r="F8" s="40" t="s">
        <v>3078</v>
      </c>
      <c r="G8" s="380">
        <v>500000000</v>
      </c>
      <c r="H8" s="52">
        <v>1</v>
      </c>
      <c r="I8" s="40" t="s">
        <v>3079</v>
      </c>
      <c r="J8" s="530">
        <v>126000000</v>
      </c>
      <c r="L8" s="3"/>
      <c r="M8" s="3"/>
      <c r="N8" s="3"/>
      <c r="O8" s="3"/>
      <c r="P8" s="3"/>
    </row>
    <row r="9" spans="1:16" s="4" customFormat="1" ht="51">
      <c r="A9" s="907" t="s">
        <v>3126</v>
      </c>
      <c r="B9" s="40" t="s">
        <v>3127</v>
      </c>
      <c r="C9" s="40" t="s">
        <v>3128</v>
      </c>
      <c r="D9" s="40" t="s">
        <v>3129</v>
      </c>
      <c r="E9" s="40" t="s">
        <v>3130</v>
      </c>
      <c r="F9" s="40" t="s">
        <v>3131</v>
      </c>
      <c r="G9" s="380">
        <v>750000000</v>
      </c>
      <c r="H9" s="52">
        <v>1</v>
      </c>
      <c r="I9" s="40" t="s">
        <v>3132</v>
      </c>
      <c r="J9" s="530">
        <v>188000000</v>
      </c>
      <c r="L9" s="3"/>
      <c r="M9" s="3"/>
      <c r="N9" s="3"/>
      <c r="O9" s="3"/>
      <c r="P9" s="3"/>
    </row>
    <row r="10" spans="1:16" s="4" customFormat="1" ht="51">
      <c r="A10" s="907" t="s">
        <v>3103</v>
      </c>
      <c r="B10" s="40" t="s">
        <v>3111</v>
      </c>
      <c r="C10" s="40" t="s">
        <v>3105</v>
      </c>
      <c r="D10" s="40" t="s">
        <v>3112</v>
      </c>
      <c r="E10" s="40" t="s">
        <v>3041</v>
      </c>
      <c r="F10" s="40" t="s">
        <v>3113</v>
      </c>
      <c r="G10" s="380">
        <v>625000000</v>
      </c>
      <c r="H10" s="52">
        <v>1</v>
      </c>
      <c r="I10" s="40" t="s">
        <v>3114</v>
      </c>
      <c r="J10" s="530">
        <v>187000000</v>
      </c>
      <c r="L10" s="3"/>
      <c r="M10" s="3"/>
      <c r="N10" s="3"/>
      <c r="O10" s="3"/>
      <c r="P10" s="3"/>
    </row>
    <row r="11" spans="1:16" s="4" customFormat="1" ht="38.25">
      <c r="A11" s="907" t="s">
        <v>3103</v>
      </c>
      <c r="B11" s="40" t="s">
        <v>3109</v>
      </c>
      <c r="C11" s="40" t="s">
        <v>3105</v>
      </c>
      <c r="D11" s="40" t="s">
        <v>3100</v>
      </c>
      <c r="E11" s="40" t="s">
        <v>2981</v>
      </c>
      <c r="F11" s="40" t="s">
        <v>3101</v>
      </c>
      <c r="G11" s="380">
        <v>100000000</v>
      </c>
      <c r="H11" s="52">
        <v>1</v>
      </c>
      <c r="I11" s="40" t="s">
        <v>3110</v>
      </c>
      <c r="J11" s="530">
        <v>58000000</v>
      </c>
      <c r="L11" s="3"/>
      <c r="M11" s="3"/>
      <c r="N11" s="3"/>
      <c r="O11" s="3"/>
      <c r="P11" s="3"/>
    </row>
    <row r="12" spans="1:16" s="4" customFormat="1" ht="38.25">
      <c r="A12" s="907" t="s">
        <v>3103</v>
      </c>
      <c r="B12" s="40" t="s">
        <v>3104</v>
      </c>
      <c r="C12" s="40" t="s">
        <v>3105</v>
      </c>
      <c r="D12" s="40" t="s">
        <v>3106</v>
      </c>
      <c r="E12" s="40" t="s">
        <v>3001</v>
      </c>
      <c r="F12" s="40" t="s">
        <v>3107</v>
      </c>
      <c r="G12" s="380">
        <v>225000000</v>
      </c>
      <c r="H12" s="52">
        <v>2</v>
      </c>
      <c r="I12" s="40" t="s">
        <v>3108</v>
      </c>
      <c r="J12" s="530">
        <v>63000000</v>
      </c>
      <c r="L12" s="3"/>
      <c r="M12" s="3"/>
      <c r="N12" s="3"/>
      <c r="O12" s="3"/>
      <c r="P12" s="3"/>
    </row>
    <row r="13" spans="1:16" s="4" customFormat="1" ht="38.25">
      <c r="A13" s="907" t="s">
        <v>3103</v>
      </c>
      <c r="B13" s="40" t="s">
        <v>3124</v>
      </c>
      <c r="C13" s="40" t="s">
        <v>3105</v>
      </c>
      <c r="D13" s="40" t="s">
        <v>3106</v>
      </c>
      <c r="E13" s="40" t="s">
        <v>3001</v>
      </c>
      <c r="F13" s="40" t="s">
        <v>3125</v>
      </c>
      <c r="G13" s="380">
        <v>225000000</v>
      </c>
      <c r="H13" s="52">
        <v>1</v>
      </c>
      <c r="I13" s="40" t="s">
        <v>3108</v>
      </c>
      <c r="J13" s="530">
        <v>64000000</v>
      </c>
      <c r="L13" s="3"/>
      <c r="M13" s="3"/>
      <c r="N13" s="3"/>
      <c r="O13" s="3"/>
      <c r="P13" s="3"/>
    </row>
    <row r="14" spans="1:16" s="4" customFormat="1" ht="38.25">
      <c r="A14" s="907" t="s">
        <v>3103</v>
      </c>
      <c r="B14" s="40" t="s">
        <v>3120</v>
      </c>
      <c r="C14" s="40" t="s">
        <v>3105</v>
      </c>
      <c r="D14" s="40" t="s">
        <v>3106</v>
      </c>
      <c r="E14" s="40" t="s">
        <v>3014</v>
      </c>
      <c r="F14" s="40" t="s">
        <v>3107</v>
      </c>
      <c r="G14" s="380">
        <v>400000000</v>
      </c>
      <c r="H14" s="52">
        <v>2</v>
      </c>
      <c r="I14" s="40" t="s">
        <v>3121</v>
      </c>
      <c r="J14" s="530">
        <v>100000000</v>
      </c>
      <c r="L14" s="3"/>
      <c r="M14" s="3"/>
      <c r="N14" s="3"/>
      <c r="O14" s="3"/>
      <c r="P14" s="3"/>
    </row>
    <row r="15" spans="1:16" s="4" customFormat="1" ht="38.25">
      <c r="A15" s="907" t="s">
        <v>3103</v>
      </c>
      <c r="B15" s="40" t="s">
        <v>3122</v>
      </c>
      <c r="C15" s="40" t="s">
        <v>3105</v>
      </c>
      <c r="D15" s="40" t="s">
        <v>3100</v>
      </c>
      <c r="E15" s="40" t="s">
        <v>3014</v>
      </c>
      <c r="F15" s="40" t="s">
        <v>3123</v>
      </c>
      <c r="G15" s="380">
        <v>400000000</v>
      </c>
      <c r="H15" s="52">
        <v>2</v>
      </c>
      <c r="I15" s="40" t="s">
        <v>3121</v>
      </c>
      <c r="J15" s="530">
        <v>100000000</v>
      </c>
      <c r="L15" s="3"/>
      <c r="M15" s="3"/>
      <c r="N15" s="3"/>
      <c r="O15" s="3"/>
      <c r="P15" s="3"/>
    </row>
    <row r="16" spans="1:16" ht="51">
      <c r="A16" s="907" t="s">
        <v>3115</v>
      </c>
      <c r="B16" s="40" t="s">
        <v>3116</v>
      </c>
      <c r="C16" s="40" t="s">
        <v>3117</v>
      </c>
      <c r="D16" s="40" t="s">
        <v>3118</v>
      </c>
      <c r="E16" s="40" t="s">
        <v>3001</v>
      </c>
      <c r="F16" s="40" t="s">
        <v>3119</v>
      </c>
      <c r="G16" s="380">
        <v>250000000</v>
      </c>
      <c r="H16" s="52">
        <v>1</v>
      </c>
      <c r="I16" s="40" t="s">
        <v>3102</v>
      </c>
      <c r="J16" s="530">
        <v>48000000</v>
      </c>
    </row>
    <row r="17" spans="1:10" ht="51">
      <c r="A17" s="907" t="s">
        <v>2931</v>
      </c>
      <c r="B17" s="40" t="s">
        <v>3010</v>
      </c>
      <c r="C17" s="40" t="s">
        <v>240</v>
      </c>
      <c r="D17" s="40" t="s">
        <v>2988</v>
      </c>
      <c r="E17" s="40" t="s">
        <v>2996</v>
      </c>
      <c r="F17" s="40" t="s">
        <v>3011</v>
      </c>
      <c r="G17" s="380">
        <v>350000000</v>
      </c>
      <c r="H17" s="52">
        <v>1</v>
      </c>
      <c r="I17" s="40" t="s">
        <v>3009</v>
      </c>
      <c r="J17" s="530">
        <v>78000000</v>
      </c>
    </row>
    <row r="18" spans="1:10" ht="51">
      <c r="A18" s="907" t="s">
        <v>2931</v>
      </c>
      <c r="B18" s="40" t="s">
        <v>2984</v>
      </c>
      <c r="C18" s="40" t="s">
        <v>240</v>
      </c>
      <c r="D18" s="40" t="s">
        <v>2976</v>
      </c>
      <c r="E18" s="40" t="s">
        <v>2981</v>
      </c>
      <c r="F18" s="40" t="s">
        <v>2985</v>
      </c>
      <c r="G18" s="380">
        <v>100000000</v>
      </c>
      <c r="H18" s="52">
        <v>1</v>
      </c>
      <c r="I18" s="40" t="s">
        <v>2986</v>
      </c>
      <c r="J18" s="530">
        <v>26000000</v>
      </c>
    </row>
    <row r="19" spans="1:10" ht="51">
      <c r="A19" s="907" t="s">
        <v>2931</v>
      </c>
      <c r="B19" s="40" t="s">
        <v>3007</v>
      </c>
      <c r="C19" s="40" t="s">
        <v>240</v>
      </c>
      <c r="D19" s="40" t="s">
        <v>2988</v>
      </c>
      <c r="E19" s="40" t="s">
        <v>2996</v>
      </c>
      <c r="F19" s="40" t="s">
        <v>3008</v>
      </c>
      <c r="G19" s="380">
        <v>350000000</v>
      </c>
      <c r="H19" s="52">
        <v>1</v>
      </c>
      <c r="I19" s="40" t="s">
        <v>3009</v>
      </c>
      <c r="J19" s="530">
        <v>78000000</v>
      </c>
    </row>
    <row r="20" spans="1:10" ht="51">
      <c r="A20" s="907" t="s">
        <v>2931</v>
      </c>
      <c r="B20" s="40" t="s">
        <v>2987</v>
      </c>
      <c r="C20" s="40" t="s">
        <v>240</v>
      </c>
      <c r="D20" s="40" t="s">
        <v>2988</v>
      </c>
      <c r="E20" s="40" t="s">
        <v>2989</v>
      </c>
      <c r="F20" s="40" t="s">
        <v>2990</v>
      </c>
      <c r="G20" s="380">
        <v>125000000</v>
      </c>
      <c r="H20" s="52">
        <v>1</v>
      </c>
      <c r="I20" s="40" t="s">
        <v>2991</v>
      </c>
      <c r="J20" s="530">
        <v>16000000</v>
      </c>
    </row>
    <row r="21" spans="1:10" ht="51">
      <c r="A21" s="907" t="s">
        <v>2931</v>
      </c>
      <c r="B21" s="40" t="s">
        <v>2987</v>
      </c>
      <c r="C21" s="40" t="s">
        <v>240</v>
      </c>
      <c r="D21" s="40" t="s">
        <v>1604</v>
      </c>
      <c r="E21" s="40" t="s">
        <v>2992</v>
      </c>
      <c r="F21" s="40" t="s">
        <v>2993</v>
      </c>
      <c r="G21" s="380">
        <v>85000000</v>
      </c>
      <c r="H21" s="52">
        <v>1</v>
      </c>
      <c r="I21" s="40" t="s">
        <v>2994</v>
      </c>
      <c r="J21" s="530">
        <v>19000000</v>
      </c>
    </row>
    <row r="22" spans="1:10" ht="51">
      <c r="A22" s="907" t="s">
        <v>2931</v>
      </c>
      <c r="B22" s="40" t="s">
        <v>3012</v>
      </c>
      <c r="C22" s="40" t="s">
        <v>240</v>
      </c>
      <c r="D22" s="40" t="s">
        <v>3013</v>
      </c>
      <c r="E22" s="40" t="s">
        <v>3014</v>
      </c>
      <c r="F22" s="40" t="s">
        <v>3015</v>
      </c>
      <c r="G22" s="380">
        <v>400000000</v>
      </c>
      <c r="H22" s="52">
        <v>1</v>
      </c>
      <c r="I22" s="40" t="s">
        <v>3016</v>
      </c>
      <c r="J22" s="530">
        <v>89000000</v>
      </c>
    </row>
    <row r="23" spans="1:10" ht="38.25">
      <c r="A23" s="907" t="s">
        <v>1137</v>
      </c>
      <c r="B23" s="40" t="s">
        <v>3098</v>
      </c>
      <c r="C23" s="40" t="s">
        <v>3099</v>
      </c>
      <c r="D23" s="40" t="s">
        <v>3100</v>
      </c>
      <c r="E23" s="40" t="s">
        <v>3001</v>
      </c>
      <c r="F23" s="40" t="s">
        <v>3101</v>
      </c>
      <c r="G23" s="380">
        <v>250000000</v>
      </c>
      <c r="H23" s="52">
        <v>1</v>
      </c>
      <c r="I23" s="40" t="s">
        <v>3102</v>
      </c>
      <c r="J23" s="530">
        <v>47000000</v>
      </c>
    </row>
    <row r="24" spans="1:10" ht="51">
      <c r="A24" s="907" t="s">
        <v>3080</v>
      </c>
      <c r="B24" s="40" t="s">
        <v>3094</v>
      </c>
      <c r="C24" s="40" t="s">
        <v>3091</v>
      </c>
      <c r="D24" s="40" t="s">
        <v>3095</v>
      </c>
      <c r="E24" s="40" t="s">
        <v>2981</v>
      </c>
      <c r="F24" s="40" t="s">
        <v>3096</v>
      </c>
      <c r="G24" s="380">
        <v>100000000</v>
      </c>
      <c r="H24" s="52">
        <v>1</v>
      </c>
      <c r="I24" s="40" t="s">
        <v>3097</v>
      </c>
      <c r="J24" s="530">
        <v>19000000</v>
      </c>
    </row>
    <row r="25" spans="1:10" ht="38.25">
      <c r="A25" s="907" t="s">
        <v>3080</v>
      </c>
      <c r="B25" s="40" t="s">
        <v>3090</v>
      </c>
      <c r="C25" s="40" t="s">
        <v>3091</v>
      </c>
      <c r="D25" s="40" t="s">
        <v>3013</v>
      </c>
      <c r="E25" s="40" t="s">
        <v>3001</v>
      </c>
      <c r="F25" s="40" t="s">
        <v>3092</v>
      </c>
      <c r="G25" s="380">
        <v>250000000</v>
      </c>
      <c r="H25" s="52">
        <v>1</v>
      </c>
      <c r="I25" s="40" t="s">
        <v>3093</v>
      </c>
      <c r="J25" s="530">
        <v>64000000</v>
      </c>
    </row>
    <row r="26" spans="1:10" ht="76.5">
      <c r="A26" s="907" t="s">
        <v>3080</v>
      </c>
      <c r="B26" s="40" t="s">
        <v>3081</v>
      </c>
      <c r="C26" s="40" t="s">
        <v>3067</v>
      </c>
      <c r="D26" s="40" t="s">
        <v>3082</v>
      </c>
      <c r="E26" s="40" t="s">
        <v>3001</v>
      </c>
      <c r="F26" s="40" t="s">
        <v>3078</v>
      </c>
      <c r="G26" s="380">
        <v>500000000</v>
      </c>
      <c r="H26" s="52">
        <v>1</v>
      </c>
      <c r="I26" s="40" t="s">
        <v>3083</v>
      </c>
      <c r="J26" s="530">
        <v>64000000</v>
      </c>
    </row>
    <row r="27" spans="1:10" ht="38.25">
      <c r="A27" s="907" t="s">
        <v>3017</v>
      </c>
      <c r="B27" s="40" t="s">
        <v>3026</v>
      </c>
      <c r="C27" s="40" t="s">
        <v>240</v>
      </c>
      <c r="D27" s="40" t="s">
        <v>3000</v>
      </c>
      <c r="E27" s="40" t="s">
        <v>3027</v>
      </c>
      <c r="F27" s="40" t="s">
        <v>3028</v>
      </c>
      <c r="G27" s="380">
        <v>50000000</v>
      </c>
      <c r="H27" s="52">
        <v>3</v>
      </c>
      <c r="I27" s="40" t="s">
        <v>3029</v>
      </c>
      <c r="J27" s="530">
        <v>10000000</v>
      </c>
    </row>
    <row r="28" spans="1:10" ht="38.25">
      <c r="A28" s="907" t="s">
        <v>3017</v>
      </c>
      <c r="B28" s="40" t="s">
        <v>3056</v>
      </c>
      <c r="C28" s="40" t="s">
        <v>240</v>
      </c>
      <c r="D28" s="40" t="s">
        <v>3057</v>
      </c>
      <c r="E28" s="40" t="s">
        <v>3058</v>
      </c>
      <c r="F28" s="40" t="s">
        <v>3059</v>
      </c>
      <c r="G28" s="380">
        <v>300000000</v>
      </c>
      <c r="H28" s="52">
        <v>1</v>
      </c>
      <c r="I28" s="40" t="s">
        <v>3060</v>
      </c>
      <c r="J28" s="530">
        <v>76000000</v>
      </c>
    </row>
    <row r="29" spans="1:10" ht="38.25">
      <c r="A29" s="907" t="s">
        <v>3017</v>
      </c>
      <c r="B29" s="40" t="s">
        <v>3053</v>
      </c>
      <c r="C29" s="40" t="s">
        <v>240</v>
      </c>
      <c r="D29" s="40" t="s">
        <v>3044</v>
      </c>
      <c r="E29" s="40" t="s">
        <v>3054</v>
      </c>
      <c r="F29" s="40" t="s">
        <v>3055</v>
      </c>
      <c r="G29" s="380">
        <v>550000000</v>
      </c>
      <c r="H29" s="52">
        <v>1</v>
      </c>
      <c r="I29" s="40" t="s">
        <v>3047</v>
      </c>
      <c r="J29" s="530">
        <v>139000000</v>
      </c>
    </row>
    <row r="30" spans="1:10" ht="38.25">
      <c r="A30" s="907" t="s">
        <v>3017</v>
      </c>
      <c r="B30" s="40" t="s">
        <v>3030</v>
      </c>
      <c r="C30" s="40" t="s">
        <v>240</v>
      </c>
      <c r="D30" s="40" t="s">
        <v>3019</v>
      </c>
      <c r="E30" s="40" t="s">
        <v>2981</v>
      </c>
      <c r="F30" s="40" t="s">
        <v>3021</v>
      </c>
      <c r="G30" s="380">
        <v>100000000</v>
      </c>
      <c r="H30" s="52">
        <v>2</v>
      </c>
      <c r="I30" s="40" t="s">
        <v>3031</v>
      </c>
      <c r="J30" s="530">
        <v>20000000</v>
      </c>
    </row>
    <row r="31" spans="1:10" ht="38.25">
      <c r="A31" s="907" t="s">
        <v>3017</v>
      </c>
      <c r="B31" s="40" t="s">
        <v>3032</v>
      </c>
      <c r="C31" s="40" t="s">
        <v>240</v>
      </c>
      <c r="D31" s="40" t="s">
        <v>3019</v>
      </c>
      <c r="E31" s="40" t="s">
        <v>2981</v>
      </c>
      <c r="F31" s="40" t="s">
        <v>3033</v>
      </c>
      <c r="G31" s="380">
        <v>100000000</v>
      </c>
      <c r="H31" s="52">
        <v>2</v>
      </c>
      <c r="I31" s="40" t="s">
        <v>3034</v>
      </c>
      <c r="J31" s="530">
        <v>13000000</v>
      </c>
    </row>
    <row r="32" spans="1:10" ht="38.25">
      <c r="A32" s="907" t="s">
        <v>3017</v>
      </c>
      <c r="B32" s="40" t="s">
        <v>3018</v>
      </c>
      <c r="C32" s="40" t="s">
        <v>240</v>
      </c>
      <c r="D32" s="40" t="s">
        <v>3019</v>
      </c>
      <c r="E32" s="40" t="s">
        <v>3020</v>
      </c>
      <c r="F32" s="40" t="s">
        <v>3021</v>
      </c>
      <c r="G32" s="380">
        <v>425000000</v>
      </c>
      <c r="H32" s="52">
        <v>1</v>
      </c>
      <c r="I32" s="40" t="s">
        <v>3022</v>
      </c>
      <c r="J32" s="530">
        <v>79000000</v>
      </c>
    </row>
    <row r="33" spans="1:10" ht="38.25">
      <c r="A33" s="907" t="s">
        <v>3017</v>
      </c>
      <c r="B33" s="40" t="s">
        <v>3023</v>
      </c>
      <c r="C33" s="40" t="s">
        <v>240</v>
      </c>
      <c r="D33" s="40" t="s">
        <v>3024</v>
      </c>
      <c r="E33" s="40"/>
      <c r="F33" s="40" t="s">
        <v>3021</v>
      </c>
      <c r="G33" s="380">
        <v>350000000</v>
      </c>
      <c r="H33" s="52">
        <v>2</v>
      </c>
      <c r="I33" s="40" t="s">
        <v>3025</v>
      </c>
      <c r="J33" s="530">
        <v>78000000</v>
      </c>
    </row>
    <row r="34" spans="1:10" ht="38.25">
      <c r="A34" s="907" t="s">
        <v>3017</v>
      </c>
      <c r="B34" s="40" t="s">
        <v>3043</v>
      </c>
      <c r="C34" s="40" t="s">
        <v>240</v>
      </c>
      <c r="D34" s="40" t="s">
        <v>3044</v>
      </c>
      <c r="E34" s="40" t="s">
        <v>3045</v>
      </c>
      <c r="F34" s="40" t="s">
        <v>3046</v>
      </c>
      <c r="G34" s="380">
        <v>175000000</v>
      </c>
      <c r="H34" s="52">
        <v>2</v>
      </c>
      <c r="I34" s="40" t="s">
        <v>3047</v>
      </c>
      <c r="J34" s="530">
        <v>45000000</v>
      </c>
    </row>
    <row r="35" spans="1:10" ht="63.75">
      <c r="A35" s="907" t="s">
        <v>3017</v>
      </c>
      <c r="B35" s="40" t="s">
        <v>3066</v>
      </c>
      <c r="C35" s="40" t="s">
        <v>3067</v>
      </c>
      <c r="D35" s="40" t="s">
        <v>3044</v>
      </c>
      <c r="E35" s="40" t="s">
        <v>2981</v>
      </c>
      <c r="F35" s="40" t="s">
        <v>3055</v>
      </c>
      <c r="G35" s="380">
        <v>100000000</v>
      </c>
      <c r="H35" s="52">
        <v>2</v>
      </c>
      <c r="I35" s="40" t="s">
        <v>2986</v>
      </c>
      <c r="J35" s="530">
        <v>26000000</v>
      </c>
    </row>
    <row r="36" spans="1:10" ht="38.25">
      <c r="A36" s="907" t="s">
        <v>3017</v>
      </c>
      <c r="B36" s="40" t="s">
        <v>3061</v>
      </c>
      <c r="C36" s="40" t="s">
        <v>240</v>
      </c>
      <c r="D36" s="40" t="s">
        <v>3062</v>
      </c>
      <c r="E36" s="40" t="s">
        <v>3063</v>
      </c>
      <c r="F36" s="40" t="s">
        <v>3064</v>
      </c>
      <c r="G36" s="380">
        <v>650000000</v>
      </c>
      <c r="H36" s="52">
        <v>2</v>
      </c>
      <c r="I36" s="40" t="s">
        <v>3065</v>
      </c>
      <c r="J36" s="530">
        <v>166000000</v>
      </c>
    </row>
    <row r="37" spans="1:10" ht="51">
      <c r="A37" s="907" t="s">
        <v>3017</v>
      </c>
      <c r="B37" s="40" t="s">
        <v>3048</v>
      </c>
      <c r="C37" s="40" t="s">
        <v>240</v>
      </c>
      <c r="D37" s="40" t="s">
        <v>3049</v>
      </c>
      <c r="E37" s="40" t="s">
        <v>3050</v>
      </c>
      <c r="F37" s="40" t="s">
        <v>3051</v>
      </c>
      <c r="G37" s="380">
        <v>250000000</v>
      </c>
      <c r="H37" s="52">
        <v>2</v>
      </c>
      <c r="I37" s="40" t="s">
        <v>3052</v>
      </c>
      <c r="J37" s="530">
        <v>15000000</v>
      </c>
    </row>
    <row r="38" spans="1:10" ht="63.75">
      <c r="A38" s="907" t="s">
        <v>3068</v>
      </c>
      <c r="B38" s="40" t="s">
        <v>3069</v>
      </c>
      <c r="C38" s="40" t="s">
        <v>3067</v>
      </c>
      <c r="D38" s="40" t="s">
        <v>3070</v>
      </c>
      <c r="E38" s="40" t="s">
        <v>3071</v>
      </c>
      <c r="F38" s="40" t="s">
        <v>3072</v>
      </c>
      <c r="G38" s="380">
        <v>200000000</v>
      </c>
      <c r="H38" s="52">
        <v>1</v>
      </c>
      <c r="I38" s="40" t="s">
        <v>3073</v>
      </c>
      <c r="J38" s="530">
        <v>19000000</v>
      </c>
    </row>
    <row r="39" spans="1:10" ht="38.25">
      <c r="A39" s="907" t="s">
        <v>2974</v>
      </c>
      <c r="B39" s="40" t="s">
        <v>2999</v>
      </c>
      <c r="C39" s="40" t="s">
        <v>240</v>
      </c>
      <c r="D39" s="40" t="s">
        <v>3000</v>
      </c>
      <c r="E39" s="40" t="s">
        <v>3001</v>
      </c>
      <c r="F39" s="40" t="s">
        <v>3002</v>
      </c>
      <c r="G39" s="380">
        <v>250000000</v>
      </c>
      <c r="H39" s="52">
        <v>2</v>
      </c>
      <c r="I39" s="40" t="s">
        <v>3003</v>
      </c>
      <c r="J39" s="530">
        <v>56000000</v>
      </c>
    </row>
    <row r="40" spans="1:10" ht="38.25">
      <c r="A40" s="907" t="s">
        <v>2974</v>
      </c>
      <c r="B40" s="40" t="s">
        <v>3004</v>
      </c>
      <c r="C40" s="40" t="s">
        <v>240</v>
      </c>
      <c r="D40" s="40" t="s">
        <v>3000</v>
      </c>
      <c r="E40" s="40" t="s">
        <v>3005</v>
      </c>
      <c r="F40" s="40" t="s">
        <v>3002</v>
      </c>
      <c r="G40" s="380">
        <v>200000000</v>
      </c>
      <c r="H40" s="52">
        <v>3</v>
      </c>
      <c r="I40" s="40" t="s">
        <v>3006</v>
      </c>
      <c r="J40" s="530">
        <v>45000000</v>
      </c>
    </row>
    <row r="41" spans="1:10" ht="38.25">
      <c r="A41" s="907" t="s">
        <v>2974</v>
      </c>
      <c r="B41" s="40" t="s">
        <v>2980</v>
      </c>
      <c r="C41" s="40" t="s">
        <v>240</v>
      </c>
      <c r="D41" s="40" t="s">
        <v>2976</v>
      </c>
      <c r="E41" s="40" t="s">
        <v>2981</v>
      </c>
      <c r="F41" s="40" t="s">
        <v>2982</v>
      </c>
      <c r="G41" s="380">
        <v>100000000</v>
      </c>
      <c r="H41" s="52">
        <v>2</v>
      </c>
      <c r="I41" s="40" t="s">
        <v>2983</v>
      </c>
      <c r="J41" s="530">
        <v>26000000</v>
      </c>
    </row>
    <row r="42" spans="1:10" ht="38.25">
      <c r="A42" s="907" t="s">
        <v>2974</v>
      </c>
      <c r="B42" s="40" t="s">
        <v>2975</v>
      </c>
      <c r="C42" s="40" t="s">
        <v>240</v>
      </c>
      <c r="D42" s="40" t="s">
        <v>2976</v>
      </c>
      <c r="E42" s="40" t="s">
        <v>2977</v>
      </c>
      <c r="F42" s="40" t="s">
        <v>2978</v>
      </c>
      <c r="G42" s="380">
        <v>150000000</v>
      </c>
      <c r="H42" s="52">
        <v>2</v>
      </c>
      <c r="I42" s="40" t="s">
        <v>2979</v>
      </c>
      <c r="J42" s="530">
        <v>34000000</v>
      </c>
    </row>
    <row r="43" spans="1:10" ht="51">
      <c r="A43" s="907" t="s">
        <v>2974</v>
      </c>
      <c r="B43" s="40" t="s">
        <v>2995</v>
      </c>
      <c r="C43" s="40" t="s">
        <v>240</v>
      </c>
      <c r="D43" s="40" t="s">
        <v>2988</v>
      </c>
      <c r="E43" s="40" t="s">
        <v>2996</v>
      </c>
      <c r="F43" s="40" t="s">
        <v>2997</v>
      </c>
      <c r="G43" s="380">
        <v>350000000</v>
      </c>
      <c r="H43" s="52">
        <v>1</v>
      </c>
      <c r="I43" s="40" t="s">
        <v>2998</v>
      </c>
      <c r="J43" s="530">
        <v>43000000</v>
      </c>
    </row>
    <row r="44" spans="1:10" ht="38.25">
      <c r="A44" s="907" t="s">
        <v>2974</v>
      </c>
      <c r="B44" s="40" t="s">
        <v>3035</v>
      </c>
      <c r="C44" s="40" t="s">
        <v>240</v>
      </c>
      <c r="D44" s="40" t="s">
        <v>3036</v>
      </c>
      <c r="E44" s="40" t="s">
        <v>3037</v>
      </c>
      <c r="F44" s="40" t="s">
        <v>3038</v>
      </c>
      <c r="G44" s="380">
        <v>450000000</v>
      </c>
      <c r="H44" s="52">
        <v>1</v>
      </c>
      <c r="I44" s="40" t="s">
        <v>3039</v>
      </c>
      <c r="J44" s="530">
        <v>258000000</v>
      </c>
    </row>
    <row r="45" spans="1:10" s="55" customFormat="1" ht="38.25">
      <c r="A45" s="907" t="s">
        <v>2974</v>
      </c>
      <c r="B45" s="40" t="s">
        <v>3040</v>
      </c>
      <c r="C45" s="40" t="s">
        <v>240</v>
      </c>
      <c r="D45" s="40" t="s">
        <v>3036</v>
      </c>
      <c r="E45" s="40" t="s">
        <v>3041</v>
      </c>
      <c r="F45" s="40" t="s">
        <v>3038</v>
      </c>
      <c r="G45" s="380">
        <v>625000000</v>
      </c>
      <c r="H45" s="52">
        <v>1</v>
      </c>
      <c r="I45" s="40" t="s">
        <v>3042</v>
      </c>
      <c r="J45" s="530">
        <v>359000000</v>
      </c>
    </row>
    <row r="46" spans="1:10" s="55" customFormat="1" ht="12.75">
      <c r="A46" s="1072" t="s">
        <v>3134</v>
      </c>
      <c r="B46" s="1073"/>
      <c r="C46" s="1073"/>
      <c r="D46" s="1073"/>
      <c r="E46" s="1073"/>
      <c r="F46" s="1073"/>
      <c r="G46" s="378">
        <f>SUM(G7:G45)</f>
        <v>11560000000</v>
      </c>
      <c r="H46" s="379"/>
      <c r="I46" s="571"/>
      <c r="J46" s="908">
        <f>SUM(J7:J45)</f>
        <v>2986000000</v>
      </c>
    </row>
    <row r="47" spans="1:10" s="55" customFormat="1" ht="12.75">
      <c r="A47" s="1072" t="s">
        <v>1787</v>
      </c>
      <c r="B47" s="1073"/>
      <c r="C47" s="1073"/>
      <c r="D47" s="1073"/>
      <c r="E47" s="1073"/>
      <c r="F47" s="1073"/>
      <c r="G47" s="1073"/>
      <c r="H47" s="1073"/>
      <c r="I47" s="1073"/>
      <c r="J47" s="1077"/>
    </row>
    <row r="48" spans="1:10" s="55" customFormat="1" ht="25.5">
      <c r="A48" s="907" t="s">
        <v>1792</v>
      </c>
      <c r="B48" s="40" t="s">
        <v>1918</v>
      </c>
      <c r="C48" s="40" t="s">
        <v>1965</v>
      </c>
      <c r="D48" s="40" t="s">
        <v>1966</v>
      </c>
      <c r="E48" s="40">
        <v>300</v>
      </c>
      <c r="F48" s="40" t="s">
        <v>1917</v>
      </c>
      <c r="G48" s="382">
        <v>5000000</v>
      </c>
      <c r="H48" s="52">
        <v>3</v>
      </c>
      <c r="I48" s="40" t="s">
        <v>1967</v>
      </c>
      <c r="J48" s="909">
        <v>20000000</v>
      </c>
    </row>
    <row r="49" spans="1:10" s="55" customFormat="1" ht="12.75">
      <c r="A49" s="1072" t="s">
        <v>3134</v>
      </c>
      <c r="B49" s="1073"/>
      <c r="C49" s="1073"/>
      <c r="D49" s="1073"/>
      <c r="E49" s="1073"/>
      <c r="F49" s="1073"/>
      <c r="G49" s="378">
        <f>SUM(G48)</f>
        <v>5000000</v>
      </c>
      <c r="H49" s="379"/>
      <c r="I49" s="571"/>
      <c r="J49" s="906">
        <f>SUM(J48)</f>
        <v>20000000</v>
      </c>
    </row>
    <row r="50" spans="1:10">
      <c r="A50" s="1072" t="s">
        <v>1968</v>
      </c>
      <c r="B50" s="1073"/>
      <c r="C50" s="1073"/>
      <c r="D50" s="1073"/>
      <c r="E50" s="1073"/>
      <c r="F50" s="1073"/>
      <c r="G50" s="1073"/>
      <c r="H50" s="1073"/>
      <c r="I50" s="1073"/>
      <c r="J50" s="1077"/>
    </row>
    <row r="51" spans="1:10" ht="27" customHeight="1">
      <c r="A51" s="910" t="s">
        <v>1969</v>
      </c>
      <c r="B51" s="383" t="s">
        <v>2053</v>
      </c>
      <c r="C51" s="383" t="s">
        <v>616</v>
      </c>
      <c r="D51" s="383" t="s">
        <v>2221</v>
      </c>
      <c r="E51" s="383">
        <v>2.2000000000000002</v>
      </c>
      <c r="F51" s="383" t="s">
        <v>2222</v>
      </c>
      <c r="G51" s="384">
        <v>85000000</v>
      </c>
      <c r="H51" s="385">
        <v>1</v>
      </c>
      <c r="I51" s="383" t="s">
        <v>2223</v>
      </c>
      <c r="J51" s="534">
        <v>360000000</v>
      </c>
    </row>
    <row r="52" spans="1:10" ht="25.5">
      <c r="A52" s="910" t="s">
        <v>1969</v>
      </c>
      <c r="B52" s="383" t="s">
        <v>2053</v>
      </c>
      <c r="C52" s="383" t="s">
        <v>2224</v>
      </c>
      <c r="D52" s="383" t="s">
        <v>2221</v>
      </c>
      <c r="E52" s="383">
        <v>0.7</v>
      </c>
      <c r="F52" s="383" t="s">
        <v>2225</v>
      </c>
      <c r="G52" s="384">
        <v>25000000</v>
      </c>
      <c r="H52" s="385">
        <v>1</v>
      </c>
      <c r="I52" s="383" t="s">
        <v>2226</v>
      </c>
      <c r="J52" s="534">
        <v>40000000</v>
      </c>
    </row>
    <row r="53" spans="1:10" ht="25.5">
      <c r="A53" s="910" t="s">
        <v>2067</v>
      </c>
      <c r="B53" s="383" t="s">
        <v>2037</v>
      </c>
      <c r="C53" s="383" t="s">
        <v>1717</v>
      </c>
      <c r="D53" s="383" t="s">
        <v>2227</v>
      </c>
      <c r="E53" s="383">
        <v>0.2</v>
      </c>
      <c r="F53" s="383" t="s">
        <v>2228</v>
      </c>
      <c r="G53" s="384">
        <v>80000000</v>
      </c>
      <c r="H53" s="385">
        <v>1</v>
      </c>
      <c r="I53" s="383" t="s">
        <v>2229</v>
      </c>
      <c r="J53" s="534">
        <v>110000000</v>
      </c>
    </row>
    <row r="54" spans="1:10" ht="25.5">
      <c r="A54" s="910" t="s">
        <v>1969</v>
      </c>
      <c r="B54" s="383" t="s">
        <v>2053</v>
      </c>
      <c r="C54" s="383" t="s">
        <v>2085</v>
      </c>
      <c r="D54" s="383" t="s">
        <v>2230</v>
      </c>
      <c r="E54" s="383">
        <v>0.8</v>
      </c>
      <c r="F54" s="383" t="s">
        <v>2231</v>
      </c>
      <c r="G54" s="384">
        <v>25000000</v>
      </c>
      <c r="H54" s="385">
        <v>1</v>
      </c>
      <c r="I54" s="383" t="s">
        <v>2232</v>
      </c>
      <c r="J54" s="534">
        <v>25000000</v>
      </c>
    </row>
    <row r="55" spans="1:10" ht="25.5">
      <c r="A55" s="910" t="s">
        <v>1969</v>
      </c>
      <c r="B55" s="383" t="s">
        <v>2053</v>
      </c>
      <c r="C55" s="383" t="s">
        <v>2233</v>
      </c>
      <c r="D55" s="383" t="s">
        <v>2234</v>
      </c>
      <c r="E55" s="383">
        <v>30</v>
      </c>
      <c r="F55" s="383" t="s">
        <v>2235</v>
      </c>
      <c r="G55" s="384">
        <v>30000000</v>
      </c>
      <c r="H55" s="385">
        <v>1</v>
      </c>
      <c r="I55" s="383" t="s">
        <v>2236</v>
      </c>
      <c r="J55" s="534">
        <v>60000000</v>
      </c>
    </row>
    <row r="56" spans="1:10" ht="38.25">
      <c r="A56" s="910" t="s">
        <v>2005</v>
      </c>
      <c r="B56" s="383" t="s">
        <v>2192</v>
      </c>
      <c r="C56" s="383" t="s">
        <v>2120</v>
      </c>
      <c r="D56" s="383" t="s">
        <v>2237</v>
      </c>
      <c r="E56" s="383">
        <v>2800</v>
      </c>
      <c r="F56" s="383" t="s">
        <v>2222</v>
      </c>
      <c r="G56" s="384">
        <v>80000000</v>
      </c>
      <c r="H56" s="385">
        <v>1</v>
      </c>
      <c r="I56" s="383" t="s">
        <v>2238</v>
      </c>
      <c r="J56" s="534">
        <v>230000000</v>
      </c>
    </row>
    <row r="57" spans="1:10" ht="89.25">
      <c r="A57" s="910" t="s">
        <v>2005</v>
      </c>
      <c r="B57" s="383" t="s">
        <v>2239</v>
      </c>
      <c r="C57" s="383" t="s">
        <v>2120</v>
      </c>
      <c r="D57" s="383" t="s">
        <v>2240</v>
      </c>
      <c r="E57" s="383">
        <v>1600</v>
      </c>
      <c r="F57" s="383" t="s">
        <v>2241</v>
      </c>
      <c r="G57" s="384">
        <v>60000000</v>
      </c>
      <c r="H57" s="385">
        <v>1</v>
      </c>
      <c r="I57" s="383" t="s">
        <v>2242</v>
      </c>
      <c r="J57" s="534">
        <v>380000000</v>
      </c>
    </row>
    <row r="58" spans="1:10" ht="38.25">
      <c r="A58" s="910" t="s">
        <v>2005</v>
      </c>
      <c r="B58" s="383" t="s">
        <v>2089</v>
      </c>
      <c r="C58" s="383" t="s">
        <v>2243</v>
      </c>
      <c r="D58" s="383" t="s">
        <v>1999</v>
      </c>
      <c r="E58" s="383">
        <v>1100</v>
      </c>
      <c r="F58" s="383" t="s">
        <v>2244</v>
      </c>
      <c r="G58" s="384">
        <v>95000000</v>
      </c>
      <c r="H58" s="385">
        <v>1</v>
      </c>
      <c r="I58" s="383" t="s">
        <v>2245</v>
      </c>
      <c r="J58" s="534">
        <v>160000000</v>
      </c>
    </row>
    <row r="59" spans="1:10" ht="25.5">
      <c r="A59" s="910" t="s">
        <v>2067</v>
      </c>
      <c r="B59" s="383" t="s">
        <v>2037</v>
      </c>
      <c r="C59" s="383" t="s">
        <v>2246</v>
      </c>
      <c r="D59" s="383" t="s">
        <v>2247</v>
      </c>
      <c r="E59" s="383">
        <v>25</v>
      </c>
      <c r="F59" s="383" t="s">
        <v>2248</v>
      </c>
      <c r="G59" s="384">
        <v>50000000</v>
      </c>
      <c r="H59" s="385">
        <v>1</v>
      </c>
      <c r="I59" s="383" t="s">
        <v>2249</v>
      </c>
      <c r="J59" s="534">
        <v>88000000</v>
      </c>
    </row>
    <row r="60" spans="1:10" ht="25.5">
      <c r="A60" s="910" t="s">
        <v>2067</v>
      </c>
      <c r="B60" s="383" t="s">
        <v>2037</v>
      </c>
      <c r="C60" s="383" t="s">
        <v>1717</v>
      </c>
      <c r="D60" s="383" t="s">
        <v>2250</v>
      </c>
      <c r="E60" s="383" t="s">
        <v>2251</v>
      </c>
      <c r="F60" s="383" t="s">
        <v>2252</v>
      </c>
      <c r="G60" s="384">
        <v>12500000</v>
      </c>
      <c r="H60" s="385">
        <v>1</v>
      </c>
      <c r="I60" s="383" t="s">
        <v>2226</v>
      </c>
      <c r="J60" s="534">
        <v>80000000</v>
      </c>
    </row>
    <row r="61" spans="1:10">
      <c r="A61" s="1072" t="s">
        <v>3134</v>
      </c>
      <c r="B61" s="1073"/>
      <c r="C61" s="1073"/>
      <c r="D61" s="1073"/>
      <c r="E61" s="1073"/>
      <c r="F61" s="1073"/>
      <c r="G61" s="378">
        <f>SUM(G51:G60)</f>
        <v>542500000</v>
      </c>
      <c r="H61" s="379"/>
      <c r="I61" s="571"/>
      <c r="J61" s="906">
        <f>SUM(J51:J60)</f>
        <v>1533000000</v>
      </c>
    </row>
    <row r="62" spans="1:10">
      <c r="A62" s="1072" t="s">
        <v>2292</v>
      </c>
      <c r="B62" s="1073"/>
      <c r="C62" s="1073"/>
      <c r="D62" s="1073"/>
      <c r="E62" s="1073"/>
      <c r="F62" s="1073"/>
      <c r="G62" s="1073"/>
      <c r="H62" s="1073"/>
      <c r="I62" s="1073"/>
      <c r="J62" s="1077"/>
    </row>
    <row r="63" spans="1:10" ht="89.25">
      <c r="A63" s="907" t="s">
        <v>2338</v>
      </c>
      <c r="B63" s="40" t="s">
        <v>2343</v>
      </c>
      <c r="C63" s="40" t="s">
        <v>2344</v>
      </c>
      <c r="D63" s="40" t="s">
        <v>2345</v>
      </c>
      <c r="E63" s="40">
        <v>100</v>
      </c>
      <c r="F63" s="40" t="s">
        <v>2346</v>
      </c>
      <c r="G63" s="380">
        <v>25000000</v>
      </c>
      <c r="H63" s="52" t="s">
        <v>2296</v>
      </c>
      <c r="I63" s="40" t="s">
        <v>2347</v>
      </c>
      <c r="J63" s="530">
        <v>120000000</v>
      </c>
    </row>
    <row r="64" spans="1:10">
      <c r="A64" s="1072" t="s">
        <v>3134</v>
      </c>
      <c r="B64" s="1073"/>
      <c r="C64" s="1073"/>
      <c r="D64" s="1073"/>
      <c r="E64" s="1073"/>
      <c r="F64" s="1073"/>
      <c r="G64" s="378">
        <f>SUM(G63)</f>
        <v>25000000</v>
      </c>
      <c r="H64" s="379"/>
      <c r="I64" s="571"/>
      <c r="J64" s="906">
        <f>SUM(J63)</f>
        <v>120000000</v>
      </c>
    </row>
    <row r="65" spans="1:10">
      <c r="A65" s="1072" t="s">
        <v>2784</v>
      </c>
      <c r="B65" s="1073"/>
      <c r="C65" s="1073"/>
      <c r="D65" s="1073"/>
      <c r="E65" s="1073"/>
      <c r="F65" s="1073"/>
      <c r="G65" s="1073"/>
      <c r="H65" s="1073"/>
      <c r="I65" s="1073"/>
      <c r="J65" s="1077"/>
    </row>
    <row r="66" spans="1:10" ht="25.5">
      <c r="A66" s="907" t="s">
        <v>2505</v>
      </c>
      <c r="B66" s="40" t="s">
        <v>3246</v>
      </c>
      <c r="C66" s="40" t="s">
        <v>2095</v>
      </c>
      <c r="D66" s="40" t="s">
        <v>3247</v>
      </c>
      <c r="E66" s="40" t="s">
        <v>3248</v>
      </c>
      <c r="F66" s="383" t="s">
        <v>3249</v>
      </c>
      <c r="G66" s="387">
        <v>4000000</v>
      </c>
      <c r="H66" s="52">
        <v>1</v>
      </c>
      <c r="I66" s="40" t="s">
        <v>3250</v>
      </c>
      <c r="J66" s="911">
        <f>100*45000</f>
        <v>4500000</v>
      </c>
    </row>
    <row r="67" spans="1:10" ht="25.5">
      <c r="A67" s="907" t="s">
        <v>2505</v>
      </c>
      <c r="B67" s="40" t="s">
        <v>3238</v>
      </c>
      <c r="C67" s="40" t="s">
        <v>2095</v>
      </c>
      <c r="D67" s="40" t="s">
        <v>3251</v>
      </c>
      <c r="E67" s="40" t="s">
        <v>1750</v>
      </c>
      <c r="F67" s="383" t="s">
        <v>3249</v>
      </c>
      <c r="G67" s="387">
        <v>50000000</v>
      </c>
      <c r="H67" s="52">
        <v>1</v>
      </c>
      <c r="I67" s="40" t="s">
        <v>3252</v>
      </c>
      <c r="J67" s="911">
        <f>100*45000</f>
        <v>4500000</v>
      </c>
    </row>
    <row r="68" spans="1:10" ht="25.5">
      <c r="A68" s="907" t="s">
        <v>2505</v>
      </c>
      <c r="B68" s="40" t="s">
        <v>2512</v>
      </c>
      <c r="C68" s="40" t="s">
        <v>2095</v>
      </c>
      <c r="D68" s="40" t="s">
        <v>3247</v>
      </c>
      <c r="E68" s="40" t="s">
        <v>3253</v>
      </c>
      <c r="F68" s="383" t="s">
        <v>3249</v>
      </c>
      <c r="G68" s="387">
        <v>25000000</v>
      </c>
      <c r="H68" s="52">
        <v>1</v>
      </c>
      <c r="I68" s="40" t="s">
        <v>3250</v>
      </c>
      <c r="J68" s="911">
        <f>300*45000</f>
        <v>13500000</v>
      </c>
    </row>
    <row r="69" spans="1:10">
      <c r="A69" s="907" t="s">
        <v>2505</v>
      </c>
      <c r="B69" s="40" t="s">
        <v>3254</v>
      </c>
      <c r="C69" s="40" t="s">
        <v>3255</v>
      </c>
      <c r="D69" s="40" t="s">
        <v>3256</v>
      </c>
      <c r="E69" s="40" t="s">
        <v>3257</v>
      </c>
      <c r="F69" s="383" t="s">
        <v>3258</v>
      </c>
      <c r="G69" s="387">
        <v>4000000</v>
      </c>
      <c r="H69" s="52">
        <v>1</v>
      </c>
      <c r="I69" s="40" t="s">
        <v>3259</v>
      </c>
      <c r="J69" s="911">
        <f>200*45000</f>
        <v>9000000</v>
      </c>
    </row>
    <row r="70" spans="1:10" ht="25.5">
      <c r="A70" s="907" t="s">
        <v>2505</v>
      </c>
      <c r="B70" s="40" t="s">
        <v>3260</v>
      </c>
      <c r="C70" s="40" t="s">
        <v>3240</v>
      </c>
      <c r="D70" s="40" t="s">
        <v>3261</v>
      </c>
      <c r="E70" s="40" t="s">
        <v>1750</v>
      </c>
      <c r="F70" s="383" t="s">
        <v>3249</v>
      </c>
      <c r="G70" s="387">
        <v>10000000</v>
      </c>
      <c r="H70" s="52">
        <v>1</v>
      </c>
      <c r="I70" s="40" t="s">
        <v>3262</v>
      </c>
      <c r="J70" s="911">
        <f>300*45000</f>
        <v>13500000</v>
      </c>
    </row>
    <row r="71" spans="1:10" ht="51">
      <c r="A71" s="907" t="s">
        <v>9699</v>
      </c>
      <c r="B71" s="40" t="s">
        <v>25218</v>
      </c>
      <c r="C71" s="40" t="s">
        <v>2243</v>
      </c>
      <c r="D71" s="40" t="s">
        <v>25219</v>
      </c>
      <c r="E71" s="40" t="s">
        <v>25220</v>
      </c>
      <c r="F71" s="383" t="s">
        <v>25221</v>
      </c>
      <c r="G71" s="387">
        <v>400000000</v>
      </c>
      <c r="H71" s="52" t="s">
        <v>31</v>
      </c>
      <c r="I71" s="40" t="s">
        <v>25222</v>
      </c>
      <c r="J71" s="911">
        <v>370000000</v>
      </c>
    </row>
    <row r="72" spans="1:10" ht="25.5">
      <c r="A72" s="907" t="s">
        <v>2505</v>
      </c>
      <c r="B72" s="40" t="s">
        <v>3263</v>
      </c>
      <c r="C72" s="40" t="s">
        <v>2095</v>
      </c>
      <c r="D72" s="40" t="s">
        <v>3264</v>
      </c>
      <c r="E72" s="40" t="s">
        <v>3257</v>
      </c>
      <c r="F72" s="383" t="s">
        <v>3249</v>
      </c>
      <c r="G72" s="387">
        <v>8000000</v>
      </c>
      <c r="H72" s="52">
        <v>1</v>
      </c>
      <c r="I72" s="40" t="s">
        <v>3250</v>
      </c>
      <c r="J72" s="911">
        <f>200*45000</f>
        <v>9000000</v>
      </c>
    </row>
    <row r="73" spans="1:10" ht="25.5">
      <c r="A73" s="907" t="s">
        <v>2525</v>
      </c>
      <c r="B73" s="40" t="s">
        <v>3213</v>
      </c>
      <c r="C73" s="40" t="s">
        <v>2095</v>
      </c>
      <c r="D73" s="40" t="s">
        <v>3261</v>
      </c>
      <c r="E73" s="40" t="s">
        <v>3265</v>
      </c>
      <c r="F73" s="383" t="s">
        <v>3249</v>
      </c>
      <c r="G73" s="387">
        <v>4000000</v>
      </c>
      <c r="H73" s="52">
        <v>2</v>
      </c>
      <c r="I73" s="40" t="s">
        <v>3266</v>
      </c>
      <c r="J73" s="911">
        <f>100*45000</f>
        <v>4500000</v>
      </c>
    </row>
    <row r="74" spans="1:10">
      <c r="A74" s="907" t="s">
        <v>2525</v>
      </c>
      <c r="B74" s="40" t="s">
        <v>2530</v>
      </c>
      <c r="C74" s="40" t="s">
        <v>3267</v>
      </c>
      <c r="D74" s="40" t="s">
        <v>3261</v>
      </c>
      <c r="E74" s="40" t="s">
        <v>3268</v>
      </c>
      <c r="F74" s="383" t="s">
        <v>3249</v>
      </c>
      <c r="G74" s="387">
        <v>6000000</v>
      </c>
      <c r="H74" s="52">
        <v>1</v>
      </c>
      <c r="I74" s="40" t="s">
        <v>3269</v>
      </c>
      <c r="J74" s="911">
        <f>200*45000</f>
        <v>9000000</v>
      </c>
    </row>
    <row r="75" spans="1:10" ht="25.5">
      <c r="A75" s="907" t="s">
        <v>2525</v>
      </c>
      <c r="B75" s="40" t="s">
        <v>421</v>
      </c>
      <c r="C75" s="40" t="s">
        <v>3270</v>
      </c>
      <c r="D75" s="40" t="s">
        <v>3271</v>
      </c>
      <c r="E75" s="40" t="s">
        <v>3253</v>
      </c>
      <c r="F75" s="383" t="s">
        <v>3249</v>
      </c>
      <c r="G75" s="387">
        <v>20000000</v>
      </c>
      <c r="H75" s="52">
        <v>1</v>
      </c>
      <c r="I75" s="40" t="s">
        <v>3250</v>
      </c>
      <c r="J75" s="911">
        <f>400*45000</f>
        <v>18000000</v>
      </c>
    </row>
    <row r="76" spans="1:10" ht="25.5">
      <c r="A76" s="907" t="s">
        <v>3272</v>
      </c>
      <c r="B76" s="40" t="s">
        <v>3187</v>
      </c>
      <c r="C76" s="40" t="s">
        <v>3273</v>
      </c>
      <c r="D76" s="40" t="s">
        <v>953</v>
      </c>
      <c r="E76" s="40" t="s">
        <v>1750</v>
      </c>
      <c r="F76" s="383" t="s">
        <v>3249</v>
      </c>
      <c r="G76" s="387">
        <v>10000000</v>
      </c>
      <c r="H76" s="52">
        <v>1</v>
      </c>
      <c r="I76" s="40" t="s">
        <v>3250</v>
      </c>
      <c r="J76" s="911">
        <f>200*45000</f>
        <v>9000000</v>
      </c>
    </row>
    <row r="77" spans="1:10" ht="25.5">
      <c r="A77" s="907" t="s">
        <v>3272</v>
      </c>
      <c r="B77" s="40" t="s">
        <v>126</v>
      </c>
      <c r="C77" s="40" t="s">
        <v>3273</v>
      </c>
      <c r="D77" s="40" t="s">
        <v>3274</v>
      </c>
      <c r="E77" s="40" t="s">
        <v>3265</v>
      </c>
      <c r="F77" s="383" t="s">
        <v>3249</v>
      </c>
      <c r="G77" s="387">
        <v>4500000</v>
      </c>
      <c r="H77" s="52">
        <v>1</v>
      </c>
      <c r="I77" s="40" t="s">
        <v>3250</v>
      </c>
      <c r="J77" s="911">
        <f>100*45000</f>
        <v>4500000</v>
      </c>
    </row>
    <row r="78" spans="1:10" ht="25.5">
      <c r="A78" s="907" t="s">
        <v>3272</v>
      </c>
      <c r="B78" s="40" t="s">
        <v>3275</v>
      </c>
      <c r="C78" s="40" t="s">
        <v>3276</v>
      </c>
      <c r="D78" s="40" t="s">
        <v>3274</v>
      </c>
      <c r="E78" s="40" t="s">
        <v>1750</v>
      </c>
      <c r="F78" s="383" t="s">
        <v>3249</v>
      </c>
      <c r="G78" s="387">
        <v>6000000</v>
      </c>
      <c r="H78" s="52">
        <v>1</v>
      </c>
      <c r="I78" s="40" t="s">
        <v>3250</v>
      </c>
      <c r="J78" s="911">
        <f>200*45000</f>
        <v>9000000</v>
      </c>
    </row>
    <row r="79" spans="1:10" ht="25.5">
      <c r="A79" s="907" t="s">
        <v>3272</v>
      </c>
      <c r="B79" s="40" t="s">
        <v>2900</v>
      </c>
      <c r="C79" s="40" t="s">
        <v>3276</v>
      </c>
      <c r="D79" s="40" t="s">
        <v>3274</v>
      </c>
      <c r="E79" s="40" t="s">
        <v>3265</v>
      </c>
      <c r="F79" s="40" t="s">
        <v>3277</v>
      </c>
      <c r="G79" s="387">
        <v>60000000</v>
      </c>
      <c r="H79" s="52">
        <v>1</v>
      </c>
      <c r="I79" s="40" t="s">
        <v>3278</v>
      </c>
      <c r="J79" s="911">
        <f>200*45000</f>
        <v>9000000</v>
      </c>
    </row>
    <row r="80" spans="1:10" ht="25.5">
      <c r="A80" s="907" t="s">
        <v>2598</v>
      </c>
      <c r="B80" s="40" t="s">
        <v>3199</v>
      </c>
      <c r="C80" s="40" t="s">
        <v>3279</v>
      </c>
      <c r="D80" s="40" t="s">
        <v>3280</v>
      </c>
      <c r="E80" s="40" t="s">
        <v>3253</v>
      </c>
      <c r="F80" s="40" t="s">
        <v>3281</v>
      </c>
      <c r="G80" s="387">
        <v>3000000</v>
      </c>
      <c r="H80" s="52">
        <v>1</v>
      </c>
      <c r="I80" s="40" t="s">
        <v>3282</v>
      </c>
      <c r="J80" s="911">
        <f>400*45000</f>
        <v>18000000</v>
      </c>
    </row>
    <row r="81" spans="1:10" ht="25.5">
      <c r="A81" s="907" t="s">
        <v>2598</v>
      </c>
      <c r="B81" s="40" t="s">
        <v>3199</v>
      </c>
      <c r="C81" s="40" t="s">
        <v>3283</v>
      </c>
      <c r="D81" s="40" t="s">
        <v>3247</v>
      </c>
      <c r="E81" s="40" t="s">
        <v>1750</v>
      </c>
      <c r="F81" s="40" t="s">
        <v>3284</v>
      </c>
      <c r="G81" s="387">
        <v>0</v>
      </c>
      <c r="H81" s="52">
        <v>1</v>
      </c>
      <c r="I81" s="40" t="s">
        <v>3282</v>
      </c>
      <c r="J81" s="911">
        <f>200*45000</f>
        <v>9000000</v>
      </c>
    </row>
    <row r="82" spans="1:10" ht="25.5">
      <c r="A82" s="907" t="s">
        <v>2598</v>
      </c>
      <c r="B82" s="40" t="s">
        <v>3285</v>
      </c>
      <c r="C82" s="40" t="s">
        <v>3279</v>
      </c>
      <c r="D82" s="40" t="s">
        <v>3247</v>
      </c>
      <c r="E82" s="40" t="s">
        <v>3286</v>
      </c>
      <c r="F82" s="383" t="s">
        <v>3249</v>
      </c>
      <c r="G82" s="387">
        <v>20000000</v>
      </c>
      <c r="H82" s="52">
        <v>1</v>
      </c>
      <c r="I82" s="40" t="s">
        <v>3250</v>
      </c>
      <c r="J82" s="911">
        <f>400*45000</f>
        <v>18000000</v>
      </c>
    </row>
    <row r="83" spans="1:10" ht="25.5">
      <c r="A83" s="907" t="s">
        <v>2598</v>
      </c>
      <c r="B83" s="40" t="s">
        <v>2057</v>
      </c>
      <c r="C83" s="40" t="s">
        <v>3287</v>
      </c>
      <c r="D83" s="40" t="s">
        <v>3</v>
      </c>
      <c r="E83" s="40" t="s">
        <v>3286</v>
      </c>
      <c r="F83" s="40" t="s">
        <v>3288</v>
      </c>
      <c r="G83" s="387">
        <v>0</v>
      </c>
      <c r="H83" s="52">
        <v>1</v>
      </c>
      <c r="I83" s="40" t="s">
        <v>3289</v>
      </c>
      <c r="J83" s="911">
        <f>300*45000</f>
        <v>13500000</v>
      </c>
    </row>
    <row r="84" spans="1:10">
      <c r="A84" s="1072" t="s">
        <v>3134</v>
      </c>
      <c r="B84" s="1073"/>
      <c r="C84" s="1073"/>
      <c r="D84" s="1073"/>
      <c r="E84" s="1073"/>
      <c r="F84" s="1073"/>
      <c r="G84" s="378">
        <f>SUM(G66:G83)</f>
        <v>634500000</v>
      </c>
      <c r="H84" s="379"/>
      <c r="I84" s="571"/>
      <c r="J84" s="906">
        <f>SUM(J66:J83)</f>
        <v>545500000</v>
      </c>
    </row>
    <row r="85" spans="1:10">
      <c r="A85" s="1072" t="s">
        <v>9797</v>
      </c>
      <c r="B85" s="1073"/>
      <c r="C85" s="1073"/>
      <c r="D85" s="1073"/>
      <c r="E85" s="1073"/>
      <c r="F85" s="1073"/>
      <c r="G85" s="1073"/>
      <c r="H85" s="1073"/>
      <c r="I85" s="1073"/>
      <c r="J85" s="1077"/>
    </row>
    <row r="86" spans="1:10" ht="25.5">
      <c r="A86" s="907" t="s">
        <v>421</v>
      </c>
      <c r="B86" s="40" t="s">
        <v>421</v>
      </c>
      <c r="C86" s="40" t="s">
        <v>9957</v>
      </c>
      <c r="D86" s="40" t="s">
        <v>9958</v>
      </c>
      <c r="E86" s="40">
        <v>450</v>
      </c>
      <c r="F86" s="40" t="s">
        <v>9959</v>
      </c>
      <c r="G86" s="388">
        <v>5500000</v>
      </c>
      <c r="H86" s="52">
        <v>1</v>
      </c>
      <c r="I86" s="40" t="s">
        <v>9960</v>
      </c>
      <c r="J86" s="909">
        <f>155*45000</f>
        <v>6975000</v>
      </c>
    </row>
    <row r="87" spans="1:10" ht="25.5">
      <c r="A87" s="907" t="s">
        <v>9805</v>
      </c>
      <c r="B87" s="40" t="s">
        <v>9961</v>
      </c>
      <c r="C87" s="40" t="s">
        <v>7229</v>
      </c>
      <c r="D87" s="40" t="s">
        <v>9962</v>
      </c>
      <c r="E87" s="40">
        <v>500</v>
      </c>
      <c r="F87" s="40" t="s">
        <v>9963</v>
      </c>
      <c r="G87" s="388">
        <v>5700000</v>
      </c>
      <c r="H87" s="52">
        <v>1</v>
      </c>
      <c r="I87" s="40" t="s">
        <v>9964</v>
      </c>
      <c r="J87" s="909">
        <f>700*45000</f>
        <v>31500000</v>
      </c>
    </row>
    <row r="88" spans="1:10" ht="25.5">
      <c r="A88" s="907" t="s">
        <v>9800</v>
      </c>
      <c r="B88" s="40" t="s">
        <v>9965</v>
      </c>
      <c r="C88" s="40" t="s">
        <v>9966</v>
      </c>
      <c r="D88" s="40" t="s">
        <v>9967</v>
      </c>
      <c r="E88" s="40">
        <v>300</v>
      </c>
      <c r="F88" s="40" t="s">
        <v>9968</v>
      </c>
      <c r="G88" s="388">
        <f>+((300*0.15*5.5)*5500)+(((300*0.15*5.5)/12)*30000)+(300*800)</f>
        <v>2220000</v>
      </c>
      <c r="H88" s="52">
        <v>1</v>
      </c>
      <c r="I88" s="40" t="s">
        <v>9969</v>
      </c>
      <c r="J88" s="909">
        <f>+G88+(500*45000)</f>
        <v>24720000</v>
      </c>
    </row>
    <row r="89" spans="1:10" ht="38.25">
      <c r="A89" s="907" t="s">
        <v>9800</v>
      </c>
      <c r="B89" s="40" t="s">
        <v>9970</v>
      </c>
      <c r="C89" s="40" t="s">
        <v>5252</v>
      </c>
      <c r="D89" s="40" t="s">
        <v>9971</v>
      </c>
      <c r="E89" s="40">
        <v>300</v>
      </c>
      <c r="F89" s="40" t="s">
        <v>9972</v>
      </c>
      <c r="G89" s="388">
        <v>6000000</v>
      </c>
      <c r="H89" s="52">
        <v>1</v>
      </c>
      <c r="I89" s="40" t="s">
        <v>9973</v>
      </c>
      <c r="J89" s="909">
        <f>350*45000</f>
        <v>15750000</v>
      </c>
    </row>
    <row r="90" spans="1:10" ht="25.5">
      <c r="A90" s="907" t="str">
        <f>+A86</f>
        <v>San Pablo</v>
      </c>
      <c r="B90" s="40" t="s">
        <v>421</v>
      </c>
      <c r="C90" s="40" t="s">
        <v>9974</v>
      </c>
      <c r="D90" s="40" t="s">
        <v>9975</v>
      </c>
      <c r="E90" s="40">
        <v>150</v>
      </c>
      <c r="F90" s="40" t="s">
        <v>9976</v>
      </c>
      <c r="G90" s="388">
        <v>3500000</v>
      </c>
      <c r="H90" s="52">
        <v>1</v>
      </c>
      <c r="I90" s="40" t="s">
        <v>9977</v>
      </c>
      <c r="J90" s="909">
        <f>50*45000+(300*49400)</f>
        <v>17070000</v>
      </c>
    </row>
    <row r="91" spans="1:10" ht="25.5">
      <c r="A91" s="907" t="s">
        <v>9800</v>
      </c>
      <c r="B91" s="40" t="s">
        <v>9978</v>
      </c>
      <c r="C91" s="40" t="s">
        <v>9979</v>
      </c>
      <c r="D91" s="40" t="s">
        <v>9975</v>
      </c>
      <c r="E91" s="40">
        <v>300</v>
      </c>
      <c r="F91" s="40" t="s">
        <v>9980</v>
      </c>
      <c r="G91" s="388">
        <v>1700000</v>
      </c>
      <c r="H91" s="52">
        <v>1</v>
      </c>
      <c r="I91" s="40" t="s">
        <v>9964</v>
      </c>
      <c r="J91" s="909">
        <f>100*45000</f>
        <v>4500000</v>
      </c>
    </row>
    <row r="92" spans="1:10">
      <c r="A92" s="1072" t="s">
        <v>3134</v>
      </c>
      <c r="B92" s="1073"/>
      <c r="C92" s="1073"/>
      <c r="D92" s="1073"/>
      <c r="E92" s="1073"/>
      <c r="F92" s="1073"/>
      <c r="G92" s="378">
        <f>SUM(G86:G91)</f>
        <v>24620000</v>
      </c>
      <c r="H92" s="379"/>
      <c r="I92" s="571"/>
      <c r="J92" s="906">
        <f>SUM(J86:J91)</f>
        <v>100515000</v>
      </c>
    </row>
    <row r="93" spans="1:10">
      <c r="A93" s="1072" t="s">
        <v>3444</v>
      </c>
      <c r="B93" s="1073"/>
      <c r="C93" s="1073"/>
      <c r="D93" s="1073"/>
      <c r="E93" s="1073"/>
      <c r="F93" s="1073"/>
      <c r="G93" s="1073"/>
      <c r="H93" s="1073"/>
      <c r="I93" s="1073"/>
      <c r="J93" s="1077"/>
    </row>
    <row r="94" spans="1:10" ht="51">
      <c r="A94" s="907" t="s">
        <v>3341</v>
      </c>
      <c r="B94" s="40" t="s">
        <v>3502</v>
      </c>
      <c r="C94" s="40" t="s">
        <v>3503</v>
      </c>
      <c r="D94" s="40" t="s">
        <v>3504</v>
      </c>
      <c r="E94" s="40" t="s">
        <v>3505</v>
      </c>
      <c r="F94" s="40" t="s">
        <v>3506</v>
      </c>
      <c r="G94" s="380">
        <v>40000000</v>
      </c>
      <c r="H94" s="52">
        <v>1</v>
      </c>
      <c r="I94" s="40" t="s">
        <v>3507</v>
      </c>
      <c r="J94" s="530">
        <v>250000000</v>
      </c>
    </row>
    <row r="95" spans="1:10" ht="51">
      <c r="A95" s="907" t="s">
        <v>3396</v>
      </c>
      <c r="B95" s="40" t="s">
        <v>3508</v>
      </c>
      <c r="C95" s="40" t="s">
        <v>3503</v>
      </c>
      <c r="D95" s="40" t="s">
        <v>3509</v>
      </c>
      <c r="E95" s="40" t="s">
        <v>3510</v>
      </c>
      <c r="F95" s="40" t="s">
        <v>3511</v>
      </c>
      <c r="G95" s="380">
        <v>25000000</v>
      </c>
      <c r="H95" s="52">
        <v>1</v>
      </c>
      <c r="I95" s="40" t="s">
        <v>3507</v>
      </c>
      <c r="J95" s="530">
        <v>200000000</v>
      </c>
    </row>
    <row r="96" spans="1:10">
      <c r="A96" s="1072" t="s">
        <v>3134</v>
      </c>
      <c r="B96" s="1073"/>
      <c r="C96" s="1073"/>
      <c r="D96" s="1073"/>
      <c r="E96" s="1073"/>
      <c r="F96" s="1073"/>
      <c r="G96" s="378">
        <f>SUM(G94:G95)</f>
        <v>65000000</v>
      </c>
      <c r="H96" s="379"/>
      <c r="I96" s="571"/>
      <c r="J96" s="906">
        <f>SUM(J94:J95)</f>
        <v>450000000</v>
      </c>
    </row>
    <row r="97" spans="1:10">
      <c r="A97" s="1072" t="s">
        <v>6203</v>
      </c>
      <c r="B97" s="1073"/>
      <c r="C97" s="1073"/>
      <c r="D97" s="1073"/>
      <c r="E97" s="1073"/>
      <c r="F97" s="1073"/>
      <c r="G97" s="1073"/>
      <c r="H97" s="1073"/>
      <c r="I97" s="1073"/>
      <c r="J97" s="1077"/>
    </row>
    <row r="98" spans="1:10" ht="25.5">
      <c r="A98" s="907" t="s">
        <v>19</v>
      </c>
      <c r="B98" s="389" t="s">
        <v>6346</v>
      </c>
      <c r="C98" s="40" t="s">
        <v>6347</v>
      </c>
      <c r="D98" s="40" t="s">
        <v>6348</v>
      </c>
      <c r="E98" s="40">
        <v>500</v>
      </c>
      <c r="F98" s="40" t="s">
        <v>6349</v>
      </c>
      <c r="G98" s="390">
        <v>72800000</v>
      </c>
      <c r="H98" s="52" t="s">
        <v>6350</v>
      </c>
      <c r="I98" s="40" t="s">
        <v>6351</v>
      </c>
      <c r="J98" s="530">
        <v>52000000</v>
      </c>
    </row>
    <row r="99" spans="1:10" ht="25.5">
      <c r="A99" s="907" t="s">
        <v>19</v>
      </c>
      <c r="B99" s="389" t="s">
        <v>6352</v>
      </c>
      <c r="C99" s="40" t="s">
        <v>6353</v>
      </c>
      <c r="D99" s="40" t="s">
        <v>6354</v>
      </c>
      <c r="E99" s="40">
        <v>1000</v>
      </c>
      <c r="F99" s="40" t="s">
        <v>6355</v>
      </c>
      <c r="G99" s="390">
        <v>145600000</v>
      </c>
      <c r="H99" s="52" t="s">
        <v>6350</v>
      </c>
      <c r="I99" s="40" t="s">
        <v>6356</v>
      </c>
      <c r="J99" s="530">
        <v>104000000</v>
      </c>
    </row>
    <row r="100" spans="1:10" ht="38.25">
      <c r="A100" s="907" t="s">
        <v>19</v>
      </c>
      <c r="B100" s="389" t="s">
        <v>6357</v>
      </c>
      <c r="C100" s="40" t="s">
        <v>6358</v>
      </c>
      <c r="D100" s="40" t="s">
        <v>6348</v>
      </c>
      <c r="E100" s="40">
        <v>500</v>
      </c>
      <c r="F100" s="40" t="s">
        <v>6359</v>
      </c>
      <c r="G100" s="390">
        <v>72800000</v>
      </c>
      <c r="H100" s="52" t="s">
        <v>6350</v>
      </c>
      <c r="I100" s="40" t="s">
        <v>6351</v>
      </c>
      <c r="J100" s="530">
        <v>52000000</v>
      </c>
    </row>
    <row r="101" spans="1:10" ht="38.25">
      <c r="A101" s="907" t="s">
        <v>4924</v>
      </c>
      <c r="B101" s="389" t="s">
        <v>6360</v>
      </c>
      <c r="C101" s="40" t="s">
        <v>6361</v>
      </c>
      <c r="D101" s="40" t="s">
        <v>953</v>
      </c>
      <c r="E101" s="40">
        <v>100</v>
      </c>
      <c r="F101" s="40" t="s">
        <v>5730</v>
      </c>
      <c r="G101" s="390">
        <v>28560000</v>
      </c>
      <c r="H101" s="52" t="s">
        <v>6350</v>
      </c>
      <c r="I101" s="40" t="s">
        <v>6362</v>
      </c>
      <c r="J101" s="530">
        <v>20400000</v>
      </c>
    </row>
    <row r="102" spans="1:10" ht="38.25">
      <c r="A102" s="912" t="s">
        <v>19</v>
      </c>
      <c r="B102" s="389" t="s">
        <v>5953</v>
      </c>
      <c r="C102" s="40" t="s">
        <v>6363</v>
      </c>
      <c r="D102" s="40" t="s">
        <v>953</v>
      </c>
      <c r="E102" s="40">
        <v>100</v>
      </c>
      <c r="F102" s="40" t="s">
        <v>5730</v>
      </c>
      <c r="G102" s="390">
        <v>28560000</v>
      </c>
      <c r="H102" s="52" t="s">
        <v>6350</v>
      </c>
      <c r="I102" s="40" t="s">
        <v>6362</v>
      </c>
      <c r="J102" s="530">
        <v>20400000</v>
      </c>
    </row>
    <row r="103" spans="1:10" ht="38.25">
      <c r="A103" s="912" t="s">
        <v>6364</v>
      </c>
      <c r="B103" s="389" t="s">
        <v>6365</v>
      </c>
      <c r="C103" s="40" t="s">
        <v>6366</v>
      </c>
      <c r="D103" s="40" t="s">
        <v>953</v>
      </c>
      <c r="E103" s="40">
        <v>100</v>
      </c>
      <c r="F103" s="40" t="s">
        <v>5730</v>
      </c>
      <c r="G103" s="390">
        <v>28560000</v>
      </c>
      <c r="H103" s="52" t="s">
        <v>6350</v>
      </c>
      <c r="I103" s="40" t="s">
        <v>6362</v>
      </c>
      <c r="J103" s="530">
        <v>20400000</v>
      </c>
    </row>
    <row r="104" spans="1:10" ht="38.25">
      <c r="A104" s="912" t="s">
        <v>6364</v>
      </c>
      <c r="B104" s="389" t="s">
        <v>5967</v>
      </c>
      <c r="C104" s="40" t="s">
        <v>6367</v>
      </c>
      <c r="D104" s="40" t="s">
        <v>6348</v>
      </c>
      <c r="E104" s="40">
        <v>2000</v>
      </c>
      <c r="F104" s="40" t="s">
        <v>6359</v>
      </c>
      <c r="G104" s="390">
        <v>291200000</v>
      </c>
      <c r="H104" s="52" t="s">
        <v>6350</v>
      </c>
      <c r="I104" s="40" t="s">
        <v>6351</v>
      </c>
      <c r="J104" s="530">
        <v>208000000</v>
      </c>
    </row>
    <row r="105" spans="1:10" ht="38.25">
      <c r="A105" s="912" t="s">
        <v>3825</v>
      </c>
      <c r="B105" s="389" t="s">
        <v>6368</v>
      </c>
      <c r="C105" s="40" t="s">
        <v>6369</v>
      </c>
      <c r="D105" s="40" t="s">
        <v>6348</v>
      </c>
      <c r="E105" s="40">
        <v>500</v>
      </c>
      <c r="F105" s="40" t="s">
        <v>6359</v>
      </c>
      <c r="G105" s="390">
        <v>72800000</v>
      </c>
      <c r="H105" s="52" t="s">
        <v>6350</v>
      </c>
      <c r="I105" s="40" t="s">
        <v>6351</v>
      </c>
      <c r="J105" s="530">
        <v>52000000</v>
      </c>
    </row>
    <row r="106" spans="1:10" ht="38.25">
      <c r="A106" s="912" t="s">
        <v>3825</v>
      </c>
      <c r="B106" s="389" t="s">
        <v>1982</v>
      </c>
      <c r="C106" s="40" t="s">
        <v>6370</v>
      </c>
      <c r="D106" s="40" t="s">
        <v>6348</v>
      </c>
      <c r="E106" s="40">
        <v>500</v>
      </c>
      <c r="F106" s="40" t="s">
        <v>6359</v>
      </c>
      <c r="G106" s="390">
        <v>72800000</v>
      </c>
      <c r="H106" s="52" t="s">
        <v>6350</v>
      </c>
      <c r="I106" s="40" t="s">
        <v>6351</v>
      </c>
      <c r="J106" s="530">
        <v>52000000</v>
      </c>
    </row>
    <row r="107" spans="1:10" ht="38.25">
      <c r="A107" s="912" t="s">
        <v>3825</v>
      </c>
      <c r="B107" s="389" t="s">
        <v>6371</v>
      </c>
      <c r="C107" s="40" t="s">
        <v>6372</v>
      </c>
      <c r="D107" s="40" t="s">
        <v>6348</v>
      </c>
      <c r="E107" s="40">
        <v>500</v>
      </c>
      <c r="F107" s="40" t="s">
        <v>6359</v>
      </c>
      <c r="G107" s="390">
        <v>72800000</v>
      </c>
      <c r="H107" s="52" t="s">
        <v>6350</v>
      </c>
      <c r="I107" s="40" t="s">
        <v>6351</v>
      </c>
      <c r="J107" s="530">
        <v>52000000</v>
      </c>
    </row>
    <row r="108" spans="1:10" ht="38.25">
      <c r="A108" s="912" t="s">
        <v>4924</v>
      </c>
      <c r="B108" s="389" t="s">
        <v>6009</v>
      </c>
      <c r="C108" s="40" t="s">
        <v>6373</v>
      </c>
      <c r="D108" s="40" t="s">
        <v>6354</v>
      </c>
      <c r="E108" s="40">
        <v>100</v>
      </c>
      <c r="F108" s="40" t="s">
        <v>6374</v>
      </c>
      <c r="G108" s="390">
        <v>28560000</v>
      </c>
      <c r="H108" s="52" t="s">
        <v>6350</v>
      </c>
      <c r="I108" s="40" t="s">
        <v>6375</v>
      </c>
      <c r="J108" s="530">
        <v>20400000</v>
      </c>
    </row>
    <row r="109" spans="1:10" ht="38.25">
      <c r="A109" s="912" t="s">
        <v>4924</v>
      </c>
      <c r="B109" s="389" t="s">
        <v>6376</v>
      </c>
      <c r="C109" s="40" t="s">
        <v>6377</v>
      </c>
      <c r="D109" s="40" t="s">
        <v>6348</v>
      </c>
      <c r="E109" s="40">
        <v>1000</v>
      </c>
      <c r="F109" s="40" t="s">
        <v>6359</v>
      </c>
      <c r="G109" s="390">
        <v>145600000</v>
      </c>
      <c r="H109" s="52" t="s">
        <v>6350</v>
      </c>
      <c r="I109" s="40" t="s">
        <v>6351</v>
      </c>
      <c r="J109" s="530">
        <v>104000000</v>
      </c>
    </row>
    <row r="110" spans="1:10" ht="38.25">
      <c r="A110" s="912" t="s">
        <v>4924</v>
      </c>
      <c r="B110" s="389" t="s">
        <v>6378</v>
      </c>
      <c r="C110" s="40" t="s">
        <v>6379</v>
      </c>
      <c r="D110" s="40" t="s">
        <v>6380</v>
      </c>
      <c r="E110" s="40">
        <v>500</v>
      </c>
      <c r="F110" s="40" t="s">
        <v>6381</v>
      </c>
      <c r="G110" s="390">
        <v>115430000</v>
      </c>
      <c r="H110" s="52" t="s">
        <v>6350</v>
      </c>
      <c r="I110" s="40" t="s">
        <v>6351</v>
      </c>
      <c r="J110" s="530">
        <v>82450000</v>
      </c>
    </row>
    <row r="111" spans="1:10" ht="38.25">
      <c r="A111" s="912" t="s">
        <v>4924</v>
      </c>
      <c r="B111" s="389" t="s">
        <v>4924</v>
      </c>
      <c r="C111" s="40" t="s">
        <v>6382</v>
      </c>
      <c r="D111" s="40" t="s">
        <v>6380</v>
      </c>
      <c r="E111" s="40">
        <v>400</v>
      </c>
      <c r="F111" s="40" t="s">
        <v>6383</v>
      </c>
      <c r="G111" s="390">
        <v>72240000</v>
      </c>
      <c r="H111" s="52" t="s">
        <v>6350</v>
      </c>
      <c r="I111" s="40" t="s">
        <v>6351</v>
      </c>
      <c r="J111" s="530">
        <v>51600000</v>
      </c>
    </row>
    <row r="112" spans="1:10" ht="38.25">
      <c r="A112" s="912" t="s">
        <v>1127</v>
      </c>
      <c r="B112" s="389" t="s">
        <v>6384</v>
      </c>
      <c r="C112" s="40" t="s">
        <v>6385</v>
      </c>
      <c r="D112" s="40" t="s">
        <v>6348</v>
      </c>
      <c r="E112" s="40">
        <v>400</v>
      </c>
      <c r="F112" s="40" t="s">
        <v>6359</v>
      </c>
      <c r="G112" s="390">
        <v>58240000</v>
      </c>
      <c r="H112" s="52" t="s">
        <v>6350</v>
      </c>
      <c r="I112" s="40" t="s">
        <v>6351</v>
      </c>
      <c r="J112" s="530">
        <v>41600000</v>
      </c>
    </row>
    <row r="113" spans="1:10" ht="38.25">
      <c r="A113" s="912" t="s">
        <v>1127</v>
      </c>
      <c r="B113" s="389" t="s">
        <v>6386</v>
      </c>
      <c r="C113" s="40" t="s">
        <v>6387</v>
      </c>
      <c r="D113" s="40" t="s">
        <v>6348</v>
      </c>
      <c r="E113" s="40">
        <v>500</v>
      </c>
      <c r="F113" s="40" t="s">
        <v>6359</v>
      </c>
      <c r="G113" s="390">
        <v>72800000</v>
      </c>
      <c r="H113" s="52" t="s">
        <v>6350</v>
      </c>
      <c r="I113" s="40" t="s">
        <v>6351</v>
      </c>
      <c r="J113" s="530">
        <v>52000000</v>
      </c>
    </row>
    <row r="114" spans="1:10" ht="38.25">
      <c r="A114" s="912" t="s">
        <v>2436</v>
      </c>
      <c r="B114" s="389" t="s">
        <v>6388</v>
      </c>
      <c r="C114" s="40" t="s">
        <v>6389</v>
      </c>
      <c r="D114" s="40" t="s">
        <v>6348</v>
      </c>
      <c r="E114" s="40">
        <v>500</v>
      </c>
      <c r="F114" s="40" t="s">
        <v>6359</v>
      </c>
      <c r="G114" s="390">
        <v>72800000</v>
      </c>
      <c r="H114" s="52" t="s">
        <v>6350</v>
      </c>
      <c r="I114" s="40" t="s">
        <v>6351</v>
      </c>
      <c r="J114" s="530">
        <v>52000000</v>
      </c>
    </row>
    <row r="115" spans="1:10" ht="38.25">
      <c r="A115" s="912" t="s">
        <v>4940</v>
      </c>
      <c r="B115" s="389" t="s">
        <v>6390</v>
      </c>
      <c r="C115" s="40" t="s">
        <v>6391</v>
      </c>
      <c r="D115" s="40" t="s">
        <v>6348</v>
      </c>
      <c r="E115" s="40">
        <v>500</v>
      </c>
      <c r="F115" s="40" t="s">
        <v>6359</v>
      </c>
      <c r="G115" s="390">
        <v>72800000</v>
      </c>
      <c r="H115" s="52" t="s">
        <v>6350</v>
      </c>
      <c r="I115" s="40" t="s">
        <v>6351</v>
      </c>
      <c r="J115" s="530">
        <v>52000000</v>
      </c>
    </row>
    <row r="116" spans="1:10" ht="38.25">
      <c r="A116" s="912" t="s">
        <v>4940</v>
      </c>
      <c r="B116" s="389" t="s">
        <v>5326</v>
      </c>
      <c r="C116" s="40" t="s">
        <v>6392</v>
      </c>
      <c r="D116" s="40" t="s">
        <v>6348</v>
      </c>
      <c r="E116" s="40">
        <v>500</v>
      </c>
      <c r="F116" s="40" t="s">
        <v>6359</v>
      </c>
      <c r="G116" s="390">
        <v>72800000</v>
      </c>
      <c r="H116" s="52" t="s">
        <v>6350</v>
      </c>
      <c r="I116" s="40" t="s">
        <v>6351</v>
      </c>
      <c r="J116" s="530">
        <v>52000000</v>
      </c>
    </row>
    <row r="117" spans="1:10" ht="38.25">
      <c r="A117" s="912" t="s">
        <v>4942</v>
      </c>
      <c r="B117" s="389" t="s">
        <v>6185</v>
      </c>
      <c r="C117" s="40" t="s">
        <v>6393</v>
      </c>
      <c r="D117" s="40" t="s">
        <v>6394</v>
      </c>
      <c r="E117" s="40">
        <v>1000</v>
      </c>
      <c r="F117" s="40" t="s">
        <v>6395</v>
      </c>
      <c r="G117" s="390">
        <v>145600000</v>
      </c>
      <c r="H117" s="52" t="s">
        <v>6350</v>
      </c>
      <c r="I117" s="40" t="s">
        <v>6351</v>
      </c>
      <c r="J117" s="530">
        <v>104000000</v>
      </c>
    </row>
    <row r="118" spans="1:10" ht="38.25">
      <c r="A118" s="912" t="s">
        <v>4942</v>
      </c>
      <c r="B118" s="389" t="s">
        <v>6180</v>
      </c>
      <c r="C118" s="40" t="s">
        <v>6396</v>
      </c>
      <c r="D118" s="40" t="s">
        <v>6394</v>
      </c>
      <c r="E118" s="40">
        <v>1000</v>
      </c>
      <c r="F118" s="40" t="s">
        <v>6395</v>
      </c>
      <c r="G118" s="390">
        <v>145600000</v>
      </c>
      <c r="H118" s="52" t="s">
        <v>6350</v>
      </c>
      <c r="I118" s="40" t="s">
        <v>6397</v>
      </c>
      <c r="J118" s="530">
        <v>104000000</v>
      </c>
    </row>
    <row r="119" spans="1:10" ht="38.25">
      <c r="A119" s="912" t="s">
        <v>4942</v>
      </c>
      <c r="B119" s="40" t="s">
        <v>6398</v>
      </c>
      <c r="C119" s="40" t="s">
        <v>6399</v>
      </c>
      <c r="D119" s="40" t="s">
        <v>6348</v>
      </c>
      <c r="E119" s="40">
        <v>600</v>
      </c>
      <c r="F119" s="40" t="s">
        <v>6349</v>
      </c>
      <c r="G119" s="390">
        <v>87360000</v>
      </c>
      <c r="H119" s="52" t="s">
        <v>6350</v>
      </c>
      <c r="I119" s="40" t="s">
        <v>6351</v>
      </c>
      <c r="J119" s="530">
        <v>62400000</v>
      </c>
    </row>
    <row r="120" spans="1:10" ht="38.25">
      <c r="A120" s="912" t="s">
        <v>19</v>
      </c>
      <c r="B120" s="40" t="s">
        <v>6401</v>
      </c>
      <c r="C120" s="40" t="s">
        <v>6402</v>
      </c>
      <c r="D120" s="40" t="s">
        <v>6348</v>
      </c>
      <c r="E120" s="40">
        <v>600</v>
      </c>
      <c r="F120" s="40" t="s">
        <v>6359</v>
      </c>
      <c r="G120" s="390">
        <v>87360000</v>
      </c>
      <c r="H120" s="52" t="s">
        <v>6350</v>
      </c>
      <c r="I120" s="40" t="s">
        <v>6351</v>
      </c>
      <c r="J120" s="530">
        <v>62400000</v>
      </c>
    </row>
    <row r="121" spans="1:10" ht="38.25">
      <c r="A121" s="912" t="s">
        <v>19</v>
      </c>
      <c r="B121" s="40" t="s">
        <v>6403</v>
      </c>
      <c r="C121" s="40" t="s">
        <v>6404</v>
      </c>
      <c r="D121" s="40" t="s">
        <v>6348</v>
      </c>
      <c r="E121" s="40">
        <v>500</v>
      </c>
      <c r="F121" s="40" t="s">
        <v>6359</v>
      </c>
      <c r="G121" s="390">
        <v>72800000</v>
      </c>
      <c r="H121" s="52" t="s">
        <v>6350</v>
      </c>
      <c r="I121" s="40" t="s">
        <v>6351</v>
      </c>
      <c r="J121" s="530">
        <v>52000000</v>
      </c>
    </row>
    <row r="122" spans="1:10" ht="38.25">
      <c r="A122" s="912" t="s">
        <v>2436</v>
      </c>
      <c r="B122" s="40" t="s">
        <v>4591</v>
      </c>
      <c r="C122" s="40" t="s">
        <v>6405</v>
      </c>
      <c r="D122" s="40" t="s">
        <v>6348</v>
      </c>
      <c r="E122" s="40">
        <v>700</v>
      </c>
      <c r="F122" s="40" t="s">
        <v>6359</v>
      </c>
      <c r="G122" s="390">
        <v>101920000</v>
      </c>
      <c r="H122" s="52" t="s">
        <v>6350</v>
      </c>
      <c r="I122" s="40" t="s">
        <v>6351</v>
      </c>
      <c r="J122" s="530">
        <v>72800000</v>
      </c>
    </row>
    <row r="123" spans="1:10" ht="38.25">
      <c r="A123" s="912" t="s">
        <v>2436</v>
      </c>
      <c r="B123" s="40" t="s">
        <v>6406</v>
      </c>
      <c r="C123" s="40" t="s">
        <v>6407</v>
      </c>
      <c r="D123" s="40" t="s">
        <v>6348</v>
      </c>
      <c r="E123" s="40">
        <v>600</v>
      </c>
      <c r="F123" s="40" t="s">
        <v>6359</v>
      </c>
      <c r="G123" s="390">
        <v>87360000</v>
      </c>
      <c r="H123" s="52" t="s">
        <v>6350</v>
      </c>
      <c r="I123" s="40" t="s">
        <v>6351</v>
      </c>
      <c r="J123" s="530">
        <v>62400000</v>
      </c>
    </row>
    <row r="124" spans="1:10" s="339" customFormat="1" ht="38.25">
      <c r="A124" s="913" t="s">
        <v>3825</v>
      </c>
      <c r="B124" s="391" t="s">
        <v>6368</v>
      </c>
      <c r="C124" s="40" t="s">
        <v>6369</v>
      </c>
      <c r="D124" s="40" t="s">
        <v>6348</v>
      </c>
      <c r="E124" s="40">
        <v>500</v>
      </c>
      <c r="F124" s="40" t="s">
        <v>6359</v>
      </c>
      <c r="G124" s="392">
        <v>72800000</v>
      </c>
      <c r="H124" s="52" t="s">
        <v>6350</v>
      </c>
      <c r="I124" s="40" t="s">
        <v>6351</v>
      </c>
      <c r="J124" s="530">
        <v>52000000</v>
      </c>
    </row>
    <row r="125" spans="1:10" s="339" customFormat="1" ht="38.25">
      <c r="A125" s="913" t="s">
        <v>3825</v>
      </c>
      <c r="B125" s="391" t="s">
        <v>1982</v>
      </c>
      <c r="C125" s="40" t="s">
        <v>6370</v>
      </c>
      <c r="D125" s="40" t="s">
        <v>6348</v>
      </c>
      <c r="E125" s="40">
        <v>500</v>
      </c>
      <c r="F125" s="40" t="s">
        <v>6359</v>
      </c>
      <c r="G125" s="392">
        <v>72800000</v>
      </c>
      <c r="H125" s="52" t="s">
        <v>6350</v>
      </c>
      <c r="I125" s="40" t="s">
        <v>6351</v>
      </c>
      <c r="J125" s="530">
        <v>52000000</v>
      </c>
    </row>
    <row r="126" spans="1:10" s="339" customFormat="1" ht="38.25">
      <c r="A126" s="913" t="s">
        <v>3825</v>
      </c>
      <c r="B126" s="391" t="s">
        <v>6371</v>
      </c>
      <c r="C126" s="40" t="s">
        <v>6372</v>
      </c>
      <c r="D126" s="40" t="s">
        <v>6348</v>
      </c>
      <c r="E126" s="40">
        <v>500</v>
      </c>
      <c r="F126" s="40" t="s">
        <v>6359</v>
      </c>
      <c r="G126" s="392">
        <v>72800000</v>
      </c>
      <c r="H126" s="52" t="s">
        <v>6350</v>
      </c>
      <c r="I126" s="40" t="s">
        <v>6351</v>
      </c>
      <c r="J126" s="530">
        <v>52000000</v>
      </c>
    </row>
    <row r="127" spans="1:10" s="339" customFormat="1" ht="38.25">
      <c r="A127" s="913" t="s">
        <v>6364</v>
      </c>
      <c r="B127" s="391" t="s">
        <v>6365</v>
      </c>
      <c r="C127" s="40" t="s">
        <v>6366</v>
      </c>
      <c r="D127" s="40" t="s">
        <v>953</v>
      </c>
      <c r="E127" s="40">
        <v>100</v>
      </c>
      <c r="F127" s="40" t="s">
        <v>5730</v>
      </c>
      <c r="G127" s="392">
        <v>28560000</v>
      </c>
      <c r="H127" s="52" t="s">
        <v>6350</v>
      </c>
      <c r="I127" s="40" t="s">
        <v>6362</v>
      </c>
      <c r="J127" s="530">
        <v>20400000</v>
      </c>
    </row>
    <row r="128" spans="1:10" s="339" customFormat="1" ht="38.25">
      <c r="A128" s="913" t="s">
        <v>6364</v>
      </c>
      <c r="B128" s="391" t="s">
        <v>5967</v>
      </c>
      <c r="C128" s="40" t="s">
        <v>6367</v>
      </c>
      <c r="D128" s="40" t="s">
        <v>6348</v>
      </c>
      <c r="E128" s="40">
        <v>2000</v>
      </c>
      <c r="F128" s="40" t="s">
        <v>6359</v>
      </c>
      <c r="G128" s="392">
        <v>291200000</v>
      </c>
      <c r="H128" s="52" t="s">
        <v>6350</v>
      </c>
      <c r="I128" s="40" t="s">
        <v>6351</v>
      </c>
      <c r="J128" s="530">
        <v>208000000</v>
      </c>
    </row>
    <row r="129" spans="1:10" s="339" customFormat="1" ht="38.25">
      <c r="A129" s="913" t="s">
        <v>4942</v>
      </c>
      <c r="B129" s="391" t="s">
        <v>6185</v>
      </c>
      <c r="C129" s="40" t="s">
        <v>6393</v>
      </c>
      <c r="D129" s="40" t="s">
        <v>6394</v>
      </c>
      <c r="E129" s="40">
        <v>1000</v>
      </c>
      <c r="F129" s="40" t="s">
        <v>6395</v>
      </c>
      <c r="G129" s="392">
        <v>145600000</v>
      </c>
      <c r="H129" s="52" t="s">
        <v>6350</v>
      </c>
      <c r="I129" s="40" t="s">
        <v>6351</v>
      </c>
      <c r="J129" s="530">
        <v>104000000</v>
      </c>
    </row>
    <row r="130" spans="1:10" s="339" customFormat="1" ht="38.25">
      <c r="A130" s="913" t="s">
        <v>4942</v>
      </c>
      <c r="B130" s="391" t="s">
        <v>6180</v>
      </c>
      <c r="C130" s="40" t="s">
        <v>6396</v>
      </c>
      <c r="D130" s="40" t="s">
        <v>6394</v>
      </c>
      <c r="E130" s="40">
        <v>1000</v>
      </c>
      <c r="F130" s="40" t="s">
        <v>6395</v>
      </c>
      <c r="G130" s="392">
        <v>145600000</v>
      </c>
      <c r="H130" s="52" t="s">
        <v>6350</v>
      </c>
      <c r="I130" s="40" t="s">
        <v>6397</v>
      </c>
      <c r="J130" s="530">
        <v>104000000</v>
      </c>
    </row>
    <row r="131" spans="1:10" s="339" customFormat="1" ht="38.25">
      <c r="A131" s="913" t="s">
        <v>4942</v>
      </c>
      <c r="B131" s="40" t="s">
        <v>6398</v>
      </c>
      <c r="C131" s="40" t="s">
        <v>6399</v>
      </c>
      <c r="D131" s="40" t="s">
        <v>6348</v>
      </c>
      <c r="E131" s="40">
        <v>600</v>
      </c>
      <c r="F131" s="40" t="s">
        <v>6349</v>
      </c>
      <c r="G131" s="392">
        <v>87360000</v>
      </c>
      <c r="H131" s="52" t="s">
        <v>6350</v>
      </c>
      <c r="I131" s="40" t="s">
        <v>6351</v>
      </c>
      <c r="J131" s="530">
        <v>62400000</v>
      </c>
    </row>
    <row r="132" spans="1:10" s="339" customFormat="1" ht="38.25">
      <c r="A132" s="913" t="s">
        <v>4942</v>
      </c>
      <c r="B132" s="40" t="s">
        <v>6398</v>
      </c>
      <c r="C132" s="40" t="s">
        <v>6400</v>
      </c>
      <c r="D132" s="40" t="s">
        <v>6394</v>
      </c>
      <c r="E132" s="40">
        <v>700</v>
      </c>
      <c r="F132" s="40" t="s">
        <v>6395</v>
      </c>
      <c r="G132" s="392">
        <v>101920000</v>
      </c>
      <c r="H132" s="52" t="s">
        <v>6350</v>
      </c>
      <c r="I132" s="40" t="s">
        <v>6351</v>
      </c>
      <c r="J132" s="530">
        <v>72800000</v>
      </c>
    </row>
    <row r="133" spans="1:10" s="339" customFormat="1" ht="38.25">
      <c r="A133" s="913" t="s">
        <v>2436</v>
      </c>
      <c r="B133" s="391" t="s">
        <v>6388</v>
      </c>
      <c r="C133" s="40" t="s">
        <v>6389</v>
      </c>
      <c r="D133" s="40" t="s">
        <v>6348</v>
      </c>
      <c r="E133" s="40">
        <v>500</v>
      </c>
      <c r="F133" s="40" t="s">
        <v>6359</v>
      </c>
      <c r="G133" s="392">
        <v>72800000</v>
      </c>
      <c r="H133" s="52" t="s">
        <v>6350</v>
      </c>
      <c r="I133" s="40" t="s">
        <v>6351</v>
      </c>
      <c r="J133" s="530">
        <v>52000000</v>
      </c>
    </row>
    <row r="134" spans="1:10" s="339" customFormat="1" ht="38.25">
      <c r="A134" s="913" t="s">
        <v>2436</v>
      </c>
      <c r="B134" s="40" t="s">
        <v>4591</v>
      </c>
      <c r="C134" s="40" t="s">
        <v>6405</v>
      </c>
      <c r="D134" s="40" t="s">
        <v>6348</v>
      </c>
      <c r="E134" s="40">
        <v>700</v>
      </c>
      <c r="F134" s="40" t="s">
        <v>6359</v>
      </c>
      <c r="G134" s="392">
        <v>101920000</v>
      </c>
      <c r="H134" s="52" t="s">
        <v>6350</v>
      </c>
      <c r="I134" s="40" t="s">
        <v>6351</v>
      </c>
      <c r="J134" s="530">
        <v>72800000</v>
      </c>
    </row>
    <row r="135" spans="1:10" s="339" customFormat="1" ht="38.25">
      <c r="A135" s="913" t="s">
        <v>2436</v>
      </c>
      <c r="B135" s="40" t="s">
        <v>6406</v>
      </c>
      <c r="C135" s="40" t="s">
        <v>6407</v>
      </c>
      <c r="D135" s="40" t="s">
        <v>6348</v>
      </c>
      <c r="E135" s="40">
        <v>600</v>
      </c>
      <c r="F135" s="40" t="s">
        <v>6359</v>
      </c>
      <c r="G135" s="392">
        <v>87360000</v>
      </c>
      <c r="H135" s="52" t="s">
        <v>6350</v>
      </c>
      <c r="I135" s="40" t="s">
        <v>6351</v>
      </c>
      <c r="J135" s="530">
        <v>62400000</v>
      </c>
    </row>
    <row r="136" spans="1:10" s="339" customFormat="1" ht="38.25">
      <c r="A136" s="913" t="s">
        <v>4940</v>
      </c>
      <c r="B136" s="391" t="s">
        <v>6390</v>
      </c>
      <c r="C136" s="40" t="s">
        <v>6391</v>
      </c>
      <c r="D136" s="40" t="s">
        <v>6348</v>
      </c>
      <c r="E136" s="40">
        <v>500</v>
      </c>
      <c r="F136" s="40" t="s">
        <v>6359</v>
      </c>
      <c r="G136" s="392">
        <v>72800000</v>
      </c>
      <c r="H136" s="52" t="s">
        <v>6350</v>
      </c>
      <c r="I136" s="40" t="s">
        <v>6351</v>
      </c>
      <c r="J136" s="530">
        <v>52000000</v>
      </c>
    </row>
    <row r="137" spans="1:10" s="339" customFormat="1" ht="38.25">
      <c r="A137" s="913" t="s">
        <v>4940</v>
      </c>
      <c r="B137" s="391" t="s">
        <v>5326</v>
      </c>
      <c r="C137" s="40" t="s">
        <v>6392</v>
      </c>
      <c r="D137" s="40" t="s">
        <v>6348</v>
      </c>
      <c r="E137" s="40">
        <v>500</v>
      </c>
      <c r="F137" s="40" t="s">
        <v>6359</v>
      </c>
      <c r="G137" s="392">
        <v>72800000</v>
      </c>
      <c r="H137" s="52" t="s">
        <v>6350</v>
      </c>
      <c r="I137" s="40" t="s">
        <v>6351</v>
      </c>
      <c r="J137" s="530">
        <v>52000000</v>
      </c>
    </row>
    <row r="138" spans="1:10" s="339" customFormat="1" ht="38.25">
      <c r="A138" s="907" t="s">
        <v>4924</v>
      </c>
      <c r="B138" s="391" t="s">
        <v>6360</v>
      </c>
      <c r="C138" s="40" t="s">
        <v>6361</v>
      </c>
      <c r="D138" s="40" t="s">
        <v>953</v>
      </c>
      <c r="E138" s="40">
        <v>100</v>
      </c>
      <c r="F138" s="40" t="s">
        <v>5730</v>
      </c>
      <c r="G138" s="392">
        <v>28560000</v>
      </c>
      <c r="H138" s="52" t="s">
        <v>6350</v>
      </c>
      <c r="I138" s="40" t="s">
        <v>6362</v>
      </c>
      <c r="J138" s="530">
        <v>20400000</v>
      </c>
    </row>
    <row r="139" spans="1:10" s="339" customFormat="1" ht="38.25">
      <c r="A139" s="913" t="s">
        <v>4924</v>
      </c>
      <c r="B139" s="391" t="s">
        <v>6009</v>
      </c>
      <c r="C139" s="40" t="s">
        <v>6373</v>
      </c>
      <c r="D139" s="40" t="s">
        <v>6354</v>
      </c>
      <c r="E139" s="40">
        <v>100</v>
      </c>
      <c r="F139" s="40" t="s">
        <v>6374</v>
      </c>
      <c r="G139" s="392">
        <v>28560000</v>
      </c>
      <c r="H139" s="52" t="s">
        <v>6350</v>
      </c>
      <c r="I139" s="40" t="s">
        <v>6375</v>
      </c>
      <c r="J139" s="530">
        <v>20400000</v>
      </c>
    </row>
    <row r="140" spans="1:10" s="339" customFormat="1" ht="38.25">
      <c r="A140" s="913" t="s">
        <v>4924</v>
      </c>
      <c r="B140" s="391" t="s">
        <v>6376</v>
      </c>
      <c r="C140" s="40" t="s">
        <v>6377</v>
      </c>
      <c r="D140" s="40" t="s">
        <v>6348</v>
      </c>
      <c r="E140" s="40">
        <v>1000</v>
      </c>
      <c r="F140" s="40" t="s">
        <v>6359</v>
      </c>
      <c r="G140" s="392">
        <v>145600000</v>
      </c>
      <c r="H140" s="52" t="s">
        <v>6350</v>
      </c>
      <c r="I140" s="40" t="s">
        <v>6351</v>
      </c>
      <c r="J140" s="530">
        <v>104000000</v>
      </c>
    </row>
    <row r="141" spans="1:10" s="339" customFormat="1" ht="38.25">
      <c r="A141" s="913" t="s">
        <v>4924</v>
      </c>
      <c r="B141" s="391" t="s">
        <v>6378</v>
      </c>
      <c r="C141" s="40" t="s">
        <v>6379</v>
      </c>
      <c r="D141" s="40" t="s">
        <v>6380</v>
      </c>
      <c r="E141" s="40">
        <v>500</v>
      </c>
      <c r="F141" s="40" t="s">
        <v>6381</v>
      </c>
      <c r="G141" s="392">
        <v>115430000</v>
      </c>
      <c r="H141" s="52" t="s">
        <v>6350</v>
      </c>
      <c r="I141" s="40" t="s">
        <v>6351</v>
      </c>
      <c r="J141" s="530">
        <v>82450000</v>
      </c>
    </row>
    <row r="142" spans="1:10" s="339" customFormat="1" ht="38.25">
      <c r="A142" s="913" t="s">
        <v>4924</v>
      </c>
      <c r="B142" s="391" t="s">
        <v>4924</v>
      </c>
      <c r="C142" s="40" t="s">
        <v>6382</v>
      </c>
      <c r="D142" s="40" t="s">
        <v>6380</v>
      </c>
      <c r="E142" s="40">
        <v>400</v>
      </c>
      <c r="F142" s="40" t="s">
        <v>6383</v>
      </c>
      <c r="G142" s="392">
        <v>72240000</v>
      </c>
      <c r="H142" s="52" t="s">
        <v>6350</v>
      </c>
      <c r="I142" s="40" t="s">
        <v>6351</v>
      </c>
      <c r="J142" s="530">
        <v>51600000</v>
      </c>
    </row>
    <row r="143" spans="1:10" s="339" customFormat="1" ht="25.5">
      <c r="A143" s="907" t="s">
        <v>19</v>
      </c>
      <c r="B143" s="391" t="s">
        <v>6346</v>
      </c>
      <c r="C143" s="40" t="s">
        <v>6347</v>
      </c>
      <c r="D143" s="40" t="s">
        <v>6348</v>
      </c>
      <c r="E143" s="40">
        <v>500</v>
      </c>
      <c r="F143" s="40" t="s">
        <v>6349</v>
      </c>
      <c r="G143" s="392">
        <v>72800000</v>
      </c>
      <c r="H143" s="52" t="s">
        <v>6350</v>
      </c>
      <c r="I143" s="40" t="s">
        <v>6351</v>
      </c>
      <c r="J143" s="530">
        <v>52000000</v>
      </c>
    </row>
    <row r="144" spans="1:10" s="339" customFormat="1" ht="25.5">
      <c r="A144" s="907" t="s">
        <v>19</v>
      </c>
      <c r="B144" s="391" t="s">
        <v>6352</v>
      </c>
      <c r="C144" s="40" t="s">
        <v>6353</v>
      </c>
      <c r="D144" s="40" t="s">
        <v>6354</v>
      </c>
      <c r="E144" s="40">
        <v>1000</v>
      </c>
      <c r="F144" s="40" t="s">
        <v>6355</v>
      </c>
      <c r="G144" s="392">
        <v>145600000</v>
      </c>
      <c r="H144" s="52" t="s">
        <v>6350</v>
      </c>
      <c r="I144" s="40" t="s">
        <v>6356</v>
      </c>
      <c r="J144" s="530">
        <v>104000000</v>
      </c>
    </row>
    <row r="145" spans="1:10" s="339" customFormat="1" ht="38.25">
      <c r="A145" s="907" t="s">
        <v>19</v>
      </c>
      <c r="B145" s="391" t="s">
        <v>6357</v>
      </c>
      <c r="C145" s="40" t="s">
        <v>6358</v>
      </c>
      <c r="D145" s="40" t="s">
        <v>6348</v>
      </c>
      <c r="E145" s="40">
        <v>500</v>
      </c>
      <c r="F145" s="40" t="s">
        <v>6359</v>
      </c>
      <c r="G145" s="392">
        <v>72800000</v>
      </c>
      <c r="H145" s="52" t="s">
        <v>6350</v>
      </c>
      <c r="I145" s="40" t="s">
        <v>6351</v>
      </c>
      <c r="J145" s="530">
        <v>52000000</v>
      </c>
    </row>
    <row r="146" spans="1:10" s="339" customFormat="1" ht="38.25">
      <c r="A146" s="913" t="s">
        <v>19</v>
      </c>
      <c r="B146" s="391" t="s">
        <v>5953</v>
      </c>
      <c r="C146" s="40" t="s">
        <v>6363</v>
      </c>
      <c r="D146" s="40" t="s">
        <v>953</v>
      </c>
      <c r="E146" s="40">
        <v>100</v>
      </c>
      <c r="F146" s="40" t="s">
        <v>5730</v>
      </c>
      <c r="G146" s="392">
        <v>28560000</v>
      </c>
      <c r="H146" s="52" t="s">
        <v>6350</v>
      </c>
      <c r="I146" s="40" t="s">
        <v>6362</v>
      </c>
      <c r="J146" s="530">
        <v>20400000</v>
      </c>
    </row>
    <row r="147" spans="1:10" s="339" customFormat="1" ht="38.25">
      <c r="A147" s="913" t="s">
        <v>19</v>
      </c>
      <c r="B147" s="40" t="s">
        <v>6401</v>
      </c>
      <c r="C147" s="40" t="s">
        <v>6402</v>
      </c>
      <c r="D147" s="40" t="s">
        <v>6348</v>
      </c>
      <c r="E147" s="40">
        <v>600</v>
      </c>
      <c r="F147" s="40" t="s">
        <v>6359</v>
      </c>
      <c r="G147" s="392">
        <v>87360000</v>
      </c>
      <c r="H147" s="52" t="s">
        <v>6350</v>
      </c>
      <c r="I147" s="40" t="s">
        <v>6351</v>
      </c>
      <c r="J147" s="530">
        <v>62400000</v>
      </c>
    </row>
    <row r="148" spans="1:10" s="339" customFormat="1" ht="38.25">
      <c r="A148" s="913" t="s">
        <v>19</v>
      </c>
      <c r="B148" s="40" t="s">
        <v>6403</v>
      </c>
      <c r="C148" s="40" t="s">
        <v>6404</v>
      </c>
      <c r="D148" s="40" t="s">
        <v>6348</v>
      </c>
      <c r="E148" s="40">
        <v>500</v>
      </c>
      <c r="F148" s="40" t="s">
        <v>6359</v>
      </c>
      <c r="G148" s="392">
        <v>72800000</v>
      </c>
      <c r="H148" s="52" t="s">
        <v>6350</v>
      </c>
      <c r="I148" s="40" t="s">
        <v>6351</v>
      </c>
      <c r="J148" s="530">
        <v>52000000</v>
      </c>
    </row>
    <row r="149" spans="1:10" s="339" customFormat="1" ht="38.25">
      <c r="A149" s="913" t="s">
        <v>1127</v>
      </c>
      <c r="B149" s="391" t="s">
        <v>6384</v>
      </c>
      <c r="C149" s="40" t="s">
        <v>6385</v>
      </c>
      <c r="D149" s="40" t="s">
        <v>6348</v>
      </c>
      <c r="E149" s="40">
        <v>400</v>
      </c>
      <c r="F149" s="40" t="s">
        <v>6359</v>
      </c>
      <c r="G149" s="392">
        <v>58240000</v>
      </c>
      <c r="H149" s="52" t="s">
        <v>6350</v>
      </c>
      <c r="I149" s="40" t="s">
        <v>6351</v>
      </c>
      <c r="J149" s="530">
        <v>41600000</v>
      </c>
    </row>
    <row r="150" spans="1:10" s="339" customFormat="1" ht="38.25">
      <c r="A150" s="913" t="s">
        <v>1127</v>
      </c>
      <c r="B150" s="391" t="s">
        <v>6386</v>
      </c>
      <c r="C150" s="40" t="s">
        <v>6387</v>
      </c>
      <c r="D150" s="40" t="s">
        <v>6348</v>
      </c>
      <c r="E150" s="40">
        <v>500</v>
      </c>
      <c r="F150" s="40" t="s">
        <v>6359</v>
      </c>
      <c r="G150" s="392">
        <v>72800000</v>
      </c>
      <c r="H150" s="52" t="s">
        <v>6350</v>
      </c>
      <c r="I150" s="40" t="s">
        <v>6351</v>
      </c>
      <c r="J150" s="530">
        <v>52000000</v>
      </c>
    </row>
    <row r="151" spans="1:10">
      <c r="A151" s="1072" t="s">
        <v>3134</v>
      </c>
      <c r="B151" s="1073"/>
      <c r="C151" s="1073"/>
      <c r="D151" s="1073"/>
      <c r="E151" s="1073"/>
      <c r="F151" s="1073"/>
      <c r="G151" s="393">
        <f>SUM(G98:G150)</f>
        <v>4753420000</v>
      </c>
      <c r="H151" s="394"/>
      <c r="I151" s="574"/>
      <c r="J151" s="914">
        <f>SUM(J98:J150)</f>
        <v>3395300000</v>
      </c>
    </row>
    <row r="152" spans="1:10">
      <c r="A152" s="1078" t="s">
        <v>23610</v>
      </c>
      <c r="B152" s="1079"/>
      <c r="C152" s="1079"/>
      <c r="D152" s="1079"/>
      <c r="E152" s="1079"/>
      <c r="F152" s="1079"/>
      <c r="G152" s="1079"/>
      <c r="H152" s="1079"/>
      <c r="I152" s="1079"/>
      <c r="J152" s="1080"/>
    </row>
    <row r="153" spans="1:10" ht="25.5">
      <c r="A153" s="907" t="s">
        <v>6473</v>
      </c>
      <c r="B153" s="40" t="s">
        <v>380</v>
      </c>
      <c r="C153" s="40" t="s">
        <v>24862</v>
      </c>
      <c r="D153" s="40" t="s">
        <v>24863</v>
      </c>
      <c r="E153" s="40">
        <v>900</v>
      </c>
      <c r="F153" s="40" t="s">
        <v>24864</v>
      </c>
      <c r="G153" s="380">
        <v>150000000</v>
      </c>
      <c r="H153" s="52">
        <v>1</v>
      </c>
      <c r="I153" s="40" t="s">
        <v>24865</v>
      </c>
      <c r="J153" s="530">
        <v>200000000</v>
      </c>
    </row>
    <row r="154" spans="1:10" ht="25.5">
      <c r="A154" s="907" t="s">
        <v>1658</v>
      </c>
      <c r="B154" s="40" t="s">
        <v>24866</v>
      </c>
      <c r="C154" s="40" t="s">
        <v>1858</v>
      </c>
      <c r="D154" s="40" t="s">
        <v>24863</v>
      </c>
      <c r="E154" s="40">
        <v>1600</v>
      </c>
      <c r="F154" s="40" t="s">
        <v>24867</v>
      </c>
      <c r="G154" s="380">
        <v>200000000</v>
      </c>
      <c r="H154" s="52">
        <v>1</v>
      </c>
      <c r="I154" s="40" t="s">
        <v>24868</v>
      </c>
      <c r="J154" s="530">
        <v>250000000</v>
      </c>
    </row>
    <row r="155" spans="1:10">
      <c r="A155" s="1072" t="s">
        <v>3134</v>
      </c>
      <c r="B155" s="1073"/>
      <c r="C155" s="1073"/>
      <c r="D155" s="1073"/>
      <c r="E155" s="1073"/>
      <c r="F155" s="1073"/>
      <c r="G155" s="393">
        <f>SUM(G153:G154)</f>
        <v>350000000</v>
      </c>
      <c r="H155" s="394"/>
      <c r="I155" s="574"/>
      <c r="J155" s="915">
        <f>SUM(J153:J154)</f>
        <v>450000000</v>
      </c>
    </row>
    <row r="156" spans="1:10">
      <c r="A156" s="1078" t="s">
        <v>23465</v>
      </c>
      <c r="B156" s="1079"/>
      <c r="C156" s="1079"/>
      <c r="D156" s="1079"/>
      <c r="E156" s="1079"/>
      <c r="F156" s="1079"/>
      <c r="G156" s="1079"/>
      <c r="H156" s="1079"/>
      <c r="I156" s="1079"/>
      <c r="J156" s="1080"/>
    </row>
    <row r="157" spans="1:10">
      <c r="A157" s="640" t="s">
        <v>25223</v>
      </c>
      <c r="B157" s="377" t="s">
        <v>7234</v>
      </c>
      <c r="C157" s="377" t="s">
        <v>387</v>
      </c>
      <c r="D157" s="377" t="s">
        <v>7226</v>
      </c>
      <c r="E157" s="272" t="s">
        <v>7227</v>
      </c>
      <c r="F157" s="377"/>
      <c r="G157" s="395">
        <v>2000000</v>
      </c>
      <c r="H157" s="396" t="s">
        <v>1725</v>
      </c>
      <c r="I157" s="377" t="s">
        <v>7228</v>
      </c>
      <c r="J157" s="916">
        <v>2000000</v>
      </c>
    </row>
    <row r="158" spans="1:10">
      <c r="A158" s="1072" t="s">
        <v>3134</v>
      </c>
      <c r="B158" s="1073"/>
      <c r="C158" s="1073"/>
      <c r="D158" s="1073"/>
      <c r="E158" s="1073"/>
      <c r="F158" s="1073"/>
      <c r="G158" s="397">
        <f>SUM(G157)</f>
        <v>2000000</v>
      </c>
      <c r="H158" s="398"/>
      <c r="I158" s="376"/>
      <c r="J158" s="917">
        <f>SUM(J157)</f>
        <v>2000000</v>
      </c>
    </row>
    <row r="159" spans="1:10">
      <c r="A159" s="1078" t="s">
        <v>5761</v>
      </c>
      <c r="B159" s="1079"/>
      <c r="C159" s="1079"/>
      <c r="D159" s="1079"/>
      <c r="E159" s="1079"/>
      <c r="F159" s="1079"/>
      <c r="G159" s="1079"/>
      <c r="H159" s="1079"/>
      <c r="I159" s="1079"/>
      <c r="J159" s="1080"/>
    </row>
    <row r="160" spans="1:10" ht="25.5">
      <c r="A160" s="638" t="s">
        <v>4149</v>
      </c>
      <c r="B160" s="284" t="s">
        <v>5794</v>
      </c>
      <c r="C160" s="284" t="s">
        <v>5795</v>
      </c>
      <c r="D160" s="284" t="s">
        <v>5796</v>
      </c>
      <c r="E160" s="284" t="s">
        <v>5797</v>
      </c>
      <c r="F160" s="284" t="s">
        <v>5798</v>
      </c>
      <c r="G160" s="399">
        <f>120*45000</f>
        <v>5400000</v>
      </c>
      <c r="H160" s="400">
        <v>2</v>
      </c>
      <c r="I160" s="284" t="s">
        <v>5799</v>
      </c>
      <c r="J160" s="639">
        <f>200*45000*2</f>
        <v>18000000</v>
      </c>
    </row>
    <row r="161" spans="1:10" ht="25.5">
      <c r="A161" s="638" t="s">
        <v>4149</v>
      </c>
      <c r="B161" s="284" t="s">
        <v>5794</v>
      </c>
      <c r="C161" s="284" t="s">
        <v>5800</v>
      </c>
      <c r="D161" s="284" t="s">
        <v>5796</v>
      </c>
      <c r="E161" s="284" t="s">
        <v>5801</v>
      </c>
      <c r="F161" s="284" t="s">
        <v>5798</v>
      </c>
      <c r="G161" s="399">
        <f>120*45000</f>
        <v>5400000</v>
      </c>
      <c r="H161" s="400">
        <v>2</v>
      </c>
      <c r="I161" s="284" t="s">
        <v>5799</v>
      </c>
      <c r="J161" s="639">
        <f>200*45000*2</f>
        <v>18000000</v>
      </c>
    </row>
    <row r="162" spans="1:10" ht="25.5">
      <c r="A162" s="638" t="s">
        <v>4149</v>
      </c>
      <c r="B162" s="284" t="s">
        <v>5794</v>
      </c>
      <c r="C162" s="284" t="s">
        <v>5802</v>
      </c>
      <c r="D162" s="284" t="s">
        <v>5796</v>
      </c>
      <c r="E162" s="284" t="s">
        <v>5803</v>
      </c>
      <c r="F162" s="284" t="s">
        <v>5798</v>
      </c>
      <c r="G162" s="399">
        <f>240*45000</f>
        <v>10800000</v>
      </c>
      <c r="H162" s="400">
        <v>2</v>
      </c>
      <c r="I162" s="284" t="s">
        <v>5799</v>
      </c>
      <c r="J162" s="639">
        <f>700*45000*2</f>
        <v>63000000</v>
      </c>
    </row>
    <row r="163" spans="1:10" ht="51">
      <c r="A163" s="638" t="s">
        <v>5804</v>
      </c>
      <c r="B163" s="284" t="s">
        <v>5805</v>
      </c>
      <c r="C163" s="284" t="s">
        <v>5772</v>
      </c>
      <c r="D163" s="284" t="s">
        <v>5796</v>
      </c>
      <c r="E163" s="284" t="s">
        <v>5803</v>
      </c>
      <c r="F163" s="284" t="s">
        <v>5798</v>
      </c>
      <c r="G163" s="399">
        <f>4*120*45000</f>
        <v>21600000</v>
      </c>
      <c r="H163" s="400">
        <v>2</v>
      </c>
      <c r="I163" s="284" t="s">
        <v>5799</v>
      </c>
      <c r="J163" s="639">
        <f>2*700*45000</f>
        <v>63000000</v>
      </c>
    </row>
    <row r="164" spans="1:10" ht="25.5">
      <c r="A164" s="638" t="s">
        <v>5806</v>
      </c>
      <c r="B164" s="284" t="s">
        <v>5807</v>
      </c>
      <c r="C164" s="284" t="s">
        <v>5808</v>
      </c>
      <c r="D164" s="284" t="s">
        <v>5796</v>
      </c>
      <c r="E164" s="284" t="s">
        <v>5797</v>
      </c>
      <c r="F164" s="284" t="s">
        <v>5798</v>
      </c>
      <c r="G164" s="399">
        <f>120*45000</f>
        <v>5400000</v>
      </c>
      <c r="H164" s="400">
        <v>2</v>
      </c>
      <c r="I164" s="284" t="s">
        <v>5799</v>
      </c>
      <c r="J164" s="639">
        <f>2*120*45000</f>
        <v>10800000</v>
      </c>
    </row>
    <row r="165" spans="1:10" ht="38.25">
      <c r="A165" s="638" t="s">
        <v>4300</v>
      </c>
      <c r="B165" s="284" t="s">
        <v>5809</v>
      </c>
      <c r="C165" s="284" t="s">
        <v>5645</v>
      </c>
      <c r="D165" s="284" t="s">
        <v>5796</v>
      </c>
      <c r="E165" s="284" t="s">
        <v>5810</v>
      </c>
      <c r="F165" s="284" t="s">
        <v>5798</v>
      </c>
      <c r="G165" s="399">
        <f>120*45000</f>
        <v>5400000</v>
      </c>
      <c r="H165" s="400">
        <v>2</v>
      </c>
      <c r="I165" s="284" t="s">
        <v>5799</v>
      </c>
      <c r="J165" s="639">
        <f>2*200*45000</f>
        <v>18000000</v>
      </c>
    </row>
    <row r="166" spans="1:10" ht="38.25">
      <c r="A166" s="638" t="s">
        <v>4300</v>
      </c>
      <c r="B166" s="284" t="s">
        <v>5809</v>
      </c>
      <c r="C166" s="284" t="s">
        <v>5811</v>
      </c>
      <c r="D166" s="284" t="s">
        <v>5796</v>
      </c>
      <c r="E166" s="284" t="s">
        <v>5810</v>
      </c>
      <c r="F166" s="284" t="s">
        <v>5798</v>
      </c>
      <c r="G166" s="399">
        <f>120*45000</f>
        <v>5400000</v>
      </c>
      <c r="H166" s="400">
        <v>2</v>
      </c>
      <c r="I166" s="284" t="s">
        <v>5799</v>
      </c>
      <c r="J166" s="639">
        <f>2*200*45000</f>
        <v>18000000</v>
      </c>
    </row>
    <row r="167" spans="1:10">
      <c r="A167" s="1072" t="s">
        <v>3134</v>
      </c>
      <c r="B167" s="1073"/>
      <c r="C167" s="1073"/>
      <c r="D167" s="1073"/>
      <c r="E167" s="1073"/>
      <c r="F167" s="1073"/>
      <c r="G167" s="397">
        <f>SUM(G160:G166)</f>
        <v>59400000</v>
      </c>
      <c r="H167" s="398"/>
      <c r="I167" s="376"/>
      <c r="J167" s="917">
        <f>SUM(J160:J166)</f>
        <v>208800000</v>
      </c>
    </row>
    <row r="168" spans="1:10">
      <c r="A168" s="1081" t="s">
        <v>5633</v>
      </c>
      <c r="B168" s="1082"/>
      <c r="C168" s="1082"/>
      <c r="D168" s="1082"/>
      <c r="E168" s="1082"/>
      <c r="F168" s="1082"/>
      <c r="G168" s="1082"/>
      <c r="H168" s="1082"/>
      <c r="I168" s="1082"/>
      <c r="J168" s="1083"/>
    </row>
    <row r="169" spans="1:10" ht="38.25">
      <c r="A169" s="918" t="s">
        <v>4208</v>
      </c>
      <c r="B169" s="402" t="s">
        <v>4209</v>
      </c>
      <c r="C169" s="402" t="s">
        <v>5812</v>
      </c>
      <c r="D169" s="402" t="s">
        <v>5813</v>
      </c>
      <c r="E169" s="402">
        <v>100</v>
      </c>
      <c r="F169" s="402" t="s">
        <v>5814</v>
      </c>
      <c r="G169" s="403">
        <v>35000000</v>
      </c>
      <c r="H169" s="404" t="s">
        <v>30</v>
      </c>
      <c r="I169" s="402" t="s">
        <v>5815</v>
      </c>
      <c r="J169" s="919">
        <v>25000000</v>
      </c>
    </row>
    <row r="170" spans="1:10">
      <c r="A170" s="1072" t="s">
        <v>3134</v>
      </c>
      <c r="B170" s="1073"/>
      <c r="C170" s="1073"/>
      <c r="D170" s="1073"/>
      <c r="E170" s="1073"/>
      <c r="F170" s="1073"/>
      <c r="G170" s="397">
        <f>SUM(G169)</f>
        <v>35000000</v>
      </c>
      <c r="H170" s="397"/>
      <c r="I170" s="405"/>
      <c r="J170" s="917">
        <f>SUM(J169)</f>
        <v>25000000</v>
      </c>
    </row>
    <row r="171" spans="1:10">
      <c r="A171" s="1081" t="s">
        <v>5635</v>
      </c>
      <c r="B171" s="1082"/>
      <c r="C171" s="1082"/>
      <c r="D171" s="1082"/>
      <c r="E171" s="1082"/>
      <c r="F171" s="1082"/>
      <c r="G171" s="1082"/>
      <c r="H171" s="1082"/>
      <c r="I171" s="1082"/>
      <c r="J171" s="1083"/>
    </row>
    <row r="172" spans="1:10" ht="25.5">
      <c r="A172" s="920" t="s">
        <v>5444</v>
      </c>
      <c r="B172" s="278" t="s">
        <v>5656</v>
      </c>
      <c r="C172" s="278" t="s">
        <v>5817</v>
      </c>
      <c r="D172" s="278" t="s">
        <v>5818</v>
      </c>
      <c r="E172" s="278" t="s">
        <v>5819</v>
      </c>
      <c r="F172" s="278" t="s">
        <v>5820</v>
      </c>
      <c r="G172" s="406">
        <v>15000000</v>
      </c>
      <c r="H172" s="407">
        <v>1</v>
      </c>
      <c r="I172" s="278" t="s">
        <v>5821</v>
      </c>
      <c r="J172" s="921">
        <v>45000000</v>
      </c>
    </row>
    <row r="173" spans="1:10" ht="25.5">
      <c r="A173" s="920" t="str">
        <f t="shared" ref="A173:A175" si="0">+A172</f>
        <v>SAN RAFAEL</v>
      </c>
      <c r="B173" s="278" t="s">
        <v>5822</v>
      </c>
      <c r="C173" s="278" t="s">
        <v>5817</v>
      </c>
      <c r="D173" s="278" t="s">
        <v>5823</v>
      </c>
      <c r="E173" s="278" t="s">
        <v>5824</v>
      </c>
      <c r="F173" s="278" t="s">
        <v>5825</v>
      </c>
      <c r="G173" s="406">
        <v>10000000</v>
      </c>
      <c r="H173" s="407">
        <v>1</v>
      </c>
      <c r="I173" s="278" t="s">
        <v>5826</v>
      </c>
      <c r="J173" s="921">
        <v>25000000</v>
      </c>
    </row>
    <row r="174" spans="1:10" ht="38.25">
      <c r="A174" s="920" t="str">
        <f t="shared" si="0"/>
        <v>SAN RAFAEL</v>
      </c>
      <c r="B174" s="278" t="s">
        <v>5827</v>
      </c>
      <c r="C174" s="278" t="s">
        <v>5817</v>
      </c>
      <c r="D174" s="278" t="s">
        <v>5828</v>
      </c>
      <c r="E174" s="278" t="s">
        <v>5829</v>
      </c>
      <c r="F174" s="278" t="s">
        <v>5830</v>
      </c>
      <c r="G174" s="406">
        <v>85000000</v>
      </c>
      <c r="H174" s="407">
        <v>1</v>
      </c>
      <c r="I174" s="278" t="s">
        <v>5831</v>
      </c>
      <c r="J174" s="921">
        <v>260000000</v>
      </c>
    </row>
    <row r="175" spans="1:10" ht="51">
      <c r="A175" s="920" t="str">
        <f t="shared" si="0"/>
        <v>SAN RAFAEL</v>
      </c>
      <c r="B175" s="278" t="s">
        <v>5832</v>
      </c>
      <c r="C175" s="278" t="s">
        <v>5817</v>
      </c>
      <c r="D175" s="278" t="s">
        <v>5823</v>
      </c>
      <c r="E175" s="278" t="s">
        <v>5833</v>
      </c>
      <c r="F175" s="278" t="s">
        <v>5834</v>
      </c>
      <c r="G175" s="406">
        <v>75000000</v>
      </c>
      <c r="H175" s="407">
        <v>1</v>
      </c>
      <c r="I175" s="278" t="s">
        <v>5826</v>
      </c>
      <c r="J175" s="921">
        <v>180000000</v>
      </c>
    </row>
    <row r="176" spans="1:10">
      <c r="A176" s="1072" t="s">
        <v>3134</v>
      </c>
      <c r="B176" s="1073"/>
      <c r="C176" s="1073"/>
      <c r="D176" s="1073"/>
      <c r="E176" s="1073"/>
      <c r="F176" s="1073"/>
      <c r="G176" s="397">
        <f>SUM(G172:G175)</f>
        <v>185000000</v>
      </c>
      <c r="H176" s="398"/>
      <c r="I176" s="376"/>
      <c r="J176" s="917">
        <f>SUM(J172:J175)</f>
        <v>510000000</v>
      </c>
    </row>
    <row r="177" spans="1:10">
      <c r="A177" s="1081" t="s">
        <v>5636</v>
      </c>
      <c r="B177" s="1082"/>
      <c r="C177" s="1082"/>
      <c r="D177" s="1082"/>
      <c r="E177" s="1082"/>
      <c r="F177" s="1082"/>
      <c r="G177" s="1082"/>
      <c r="H177" s="1082"/>
      <c r="I177" s="1082"/>
      <c r="J177" s="1083"/>
    </row>
    <row r="178" spans="1:10" ht="38.25">
      <c r="A178" s="922" t="s">
        <v>5581</v>
      </c>
      <c r="B178" s="275" t="s">
        <v>1137</v>
      </c>
      <c r="C178" s="275" t="s">
        <v>5835</v>
      </c>
      <c r="D178" s="275" t="s">
        <v>5836</v>
      </c>
      <c r="E178" s="275">
        <v>240</v>
      </c>
      <c r="F178" s="275" t="s">
        <v>5837</v>
      </c>
      <c r="G178" s="390">
        <v>25000000</v>
      </c>
      <c r="H178" s="408" t="s">
        <v>30</v>
      </c>
      <c r="I178" s="275" t="s">
        <v>5838</v>
      </c>
      <c r="J178" s="923">
        <v>310000000</v>
      </c>
    </row>
    <row r="179" spans="1:10" ht="25.5">
      <c r="A179" s="922" t="s">
        <v>5581</v>
      </c>
      <c r="B179" s="275" t="s">
        <v>5839</v>
      </c>
      <c r="C179" s="275" t="s">
        <v>5744</v>
      </c>
      <c r="D179" s="275" t="s">
        <v>5840</v>
      </c>
      <c r="E179" s="275">
        <v>1748</v>
      </c>
      <c r="F179" s="275" t="s">
        <v>5837</v>
      </c>
      <c r="G179" s="390">
        <v>4370000</v>
      </c>
      <c r="H179" s="408" t="s">
        <v>30</v>
      </c>
      <c r="I179" s="275" t="s">
        <v>5841</v>
      </c>
      <c r="J179" s="923">
        <v>7780348</v>
      </c>
    </row>
    <row r="180" spans="1:10" ht="25.5">
      <c r="A180" s="922" t="s">
        <v>5581</v>
      </c>
      <c r="B180" s="275" t="s">
        <v>5842</v>
      </c>
      <c r="C180" s="275" t="s">
        <v>5835</v>
      </c>
      <c r="D180" s="275" t="s">
        <v>5840</v>
      </c>
      <c r="E180" s="275">
        <v>329</v>
      </c>
      <c r="F180" s="275" t="s">
        <v>5843</v>
      </c>
      <c r="G180" s="390">
        <v>1151500</v>
      </c>
      <c r="H180" s="408" t="s">
        <v>30</v>
      </c>
      <c r="I180" s="275" t="s">
        <v>5841</v>
      </c>
      <c r="J180" s="923">
        <v>1464379</v>
      </c>
    </row>
    <row r="181" spans="1:10" ht="25.5">
      <c r="A181" s="922" t="s">
        <v>5581</v>
      </c>
      <c r="B181" s="275" t="s">
        <v>5844</v>
      </c>
      <c r="C181" s="275" t="s">
        <v>5835</v>
      </c>
      <c r="D181" s="275" t="s">
        <v>5840</v>
      </c>
      <c r="E181" s="275">
        <v>1470</v>
      </c>
      <c r="F181" s="275" t="s">
        <v>5843</v>
      </c>
      <c r="G181" s="390">
        <v>3675000</v>
      </c>
      <c r="H181" s="408" t="s">
        <v>30</v>
      </c>
      <c r="I181" s="275" t="s">
        <v>5841</v>
      </c>
      <c r="J181" s="923">
        <v>6542970</v>
      </c>
    </row>
    <row r="182" spans="1:10" ht="25.5">
      <c r="A182" s="922" t="s">
        <v>5581</v>
      </c>
      <c r="B182" s="275" t="s">
        <v>5845</v>
      </c>
      <c r="C182" s="275" t="s">
        <v>5835</v>
      </c>
      <c r="D182" s="275" t="s">
        <v>5840</v>
      </c>
      <c r="E182" s="275">
        <v>1007</v>
      </c>
      <c r="F182" s="275" t="s">
        <v>5843</v>
      </c>
      <c r="G182" s="390">
        <v>2517500</v>
      </c>
      <c r="H182" s="408" t="s">
        <v>30</v>
      </c>
      <c r="I182" s="275" t="s">
        <v>5841</v>
      </c>
      <c r="J182" s="923">
        <v>4482157</v>
      </c>
    </row>
    <row r="183" spans="1:10" ht="25.5">
      <c r="A183" s="922" t="s">
        <v>4268</v>
      </c>
      <c r="B183" s="275" t="s">
        <v>5781</v>
      </c>
      <c r="C183" s="275" t="s">
        <v>5744</v>
      </c>
      <c r="D183" s="275" t="s">
        <v>5846</v>
      </c>
      <c r="E183" s="275">
        <v>2451</v>
      </c>
      <c r="F183" s="275" t="s">
        <v>5847</v>
      </c>
      <c r="G183" s="390">
        <v>6127500</v>
      </c>
      <c r="H183" s="408" t="s">
        <v>30</v>
      </c>
      <c r="I183" s="275" t="s">
        <v>5841</v>
      </c>
      <c r="J183" s="923">
        <v>10909401</v>
      </c>
    </row>
    <row r="184" spans="1:10" ht="25.5">
      <c r="A184" s="922" t="s">
        <v>4268</v>
      </c>
      <c r="B184" s="275" t="s">
        <v>4268</v>
      </c>
      <c r="C184" s="275" t="s">
        <v>5744</v>
      </c>
      <c r="D184" s="275" t="s">
        <v>5840</v>
      </c>
      <c r="E184" s="275">
        <v>2564</v>
      </c>
      <c r="F184" s="275" t="s">
        <v>5848</v>
      </c>
      <c r="G184" s="390">
        <v>6410000</v>
      </c>
      <c r="H184" s="408" t="s">
        <v>30</v>
      </c>
      <c r="I184" s="275" t="s">
        <v>5841</v>
      </c>
      <c r="J184" s="923">
        <v>11412364</v>
      </c>
    </row>
    <row r="185" spans="1:10" ht="25.5">
      <c r="A185" s="922" t="s">
        <v>4268</v>
      </c>
      <c r="B185" s="275" t="s">
        <v>5748</v>
      </c>
      <c r="C185" s="275" t="s">
        <v>5744</v>
      </c>
      <c r="D185" s="275" t="s">
        <v>5846</v>
      </c>
      <c r="E185" s="275">
        <v>2064</v>
      </c>
      <c r="F185" s="275" t="s">
        <v>5849</v>
      </c>
      <c r="G185" s="390">
        <v>5160000</v>
      </c>
      <c r="H185" s="408" t="s">
        <v>30</v>
      </c>
      <c r="I185" s="275" t="s">
        <v>5841</v>
      </c>
      <c r="J185" s="923">
        <v>9186864</v>
      </c>
    </row>
    <row r="186" spans="1:10" ht="25.5">
      <c r="A186" s="922" t="s">
        <v>4268</v>
      </c>
      <c r="B186" s="275" t="s">
        <v>5850</v>
      </c>
      <c r="C186" s="275" t="s">
        <v>5744</v>
      </c>
      <c r="D186" s="275" t="s">
        <v>5840</v>
      </c>
      <c r="E186" s="275">
        <v>1268</v>
      </c>
      <c r="F186" s="275" t="s">
        <v>5843</v>
      </c>
      <c r="G186" s="390">
        <v>3170000</v>
      </c>
      <c r="H186" s="408" t="s">
        <v>30</v>
      </c>
      <c r="I186" s="275" t="s">
        <v>5841</v>
      </c>
      <c r="J186" s="923">
        <v>5643868</v>
      </c>
    </row>
    <row r="187" spans="1:10" ht="25.5">
      <c r="A187" s="922" t="s">
        <v>19</v>
      </c>
      <c r="B187" s="275" t="s">
        <v>90</v>
      </c>
      <c r="C187" s="275" t="s">
        <v>90</v>
      </c>
      <c r="D187" s="275" t="s">
        <v>5840</v>
      </c>
      <c r="E187" s="275">
        <v>2750</v>
      </c>
      <c r="F187" s="275" t="s">
        <v>5843</v>
      </c>
      <c r="G187" s="390">
        <v>6875000</v>
      </c>
      <c r="H187" s="408" t="s">
        <v>30</v>
      </c>
      <c r="I187" s="275" t="s">
        <v>5841</v>
      </c>
      <c r="J187" s="923">
        <v>12240250</v>
      </c>
    </row>
    <row r="188" spans="1:10" ht="25.5">
      <c r="A188" s="922" t="s">
        <v>19</v>
      </c>
      <c r="B188" s="275" t="s">
        <v>2958</v>
      </c>
      <c r="C188" s="275" t="s">
        <v>5851</v>
      </c>
      <c r="D188" s="275" t="s">
        <v>5840</v>
      </c>
      <c r="E188" s="275">
        <v>3105</v>
      </c>
      <c r="F188" s="275" t="s">
        <v>5843</v>
      </c>
      <c r="G188" s="390">
        <v>7762500</v>
      </c>
      <c r="H188" s="408" t="s">
        <v>30</v>
      </c>
      <c r="I188" s="275" t="s">
        <v>5841</v>
      </c>
      <c r="J188" s="923">
        <v>13820355</v>
      </c>
    </row>
    <row r="189" spans="1:10" ht="25.5">
      <c r="A189" s="922" t="s">
        <v>19</v>
      </c>
      <c r="B189" s="275" t="s">
        <v>5852</v>
      </c>
      <c r="C189" s="275" t="s">
        <v>5744</v>
      </c>
      <c r="D189" s="275" t="s">
        <v>5840</v>
      </c>
      <c r="E189" s="275">
        <v>1232</v>
      </c>
      <c r="F189" s="275" t="s">
        <v>5843</v>
      </c>
      <c r="G189" s="390">
        <v>3080000</v>
      </c>
      <c r="H189" s="408" t="s">
        <v>30</v>
      </c>
      <c r="I189" s="275" t="s">
        <v>5841</v>
      </c>
      <c r="J189" s="923">
        <v>5483632</v>
      </c>
    </row>
    <row r="190" spans="1:10" ht="25.5">
      <c r="A190" s="922" t="s">
        <v>19</v>
      </c>
      <c r="B190" s="275" t="s">
        <v>5564</v>
      </c>
      <c r="C190" s="275" t="s">
        <v>5735</v>
      </c>
      <c r="D190" s="275" t="s">
        <v>5840</v>
      </c>
      <c r="E190" s="275">
        <v>1105</v>
      </c>
      <c r="F190" s="275" t="s">
        <v>5837</v>
      </c>
      <c r="G190" s="390">
        <v>2762500</v>
      </c>
      <c r="H190" s="408" t="s">
        <v>30</v>
      </c>
      <c r="I190" s="275" t="s">
        <v>5841</v>
      </c>
      <c r="J190" s="923">
        <v>4918355</v>
      </c>
    </row>
    <row r="191" spans="1:10" ht="25.5">
      <c r="A191" s="922" t="s">
        <v>19</v>
      </c>
      <c r="B191" s="275" t="s">
        <v>5790</v>
      </c>
      <c r="C191" s="275" t="s">
        <v>5853</v>
      </c>
      <c r="D191" s="275" t="s">
        <v>5840</v>
      </c>
      <c r="E191" s="275">
        <v>2215</v>
      </c>
      <c r="F191" s="275" t="s">
        <v>5848</v>
      </c>
      <c r="G191" s="390">
        <v>5537500</v>
      </c>
      <c r="H191" s="408" t="s">
        <v>30</v>
      </c>
      <c r="I191" s="275" t="s">
        <v>5841</v>
      </c>
      <c r="J191" s="923">
        <v>9858965</v>
      </c>
    </row>
    <row r="192" spans="1:10" ht="25.5">
      <c r="A192" s="922" t="s">
        <v>19</v>
      </c>
      <c r="B192" s="275" t="s">
        <v>5723</v>
      </c>
      <c r="C192" s="275" t="s">
        <v>5723</v>
      </c>
      <c r="D192" s="275" t="s">
        <v>5846</v>
      </c>
      <c r="E192" s="275">
        <v>2205</v>
      </c>
      <c r="F192" s="275" t="s">
        <v>5854</v>
      </c>
      <c r="G192" s="390">
        <v>5512500</v>
      </c>
      <c r="H192" s="408" t="s">
        <v>30</v>
      </c>
      <c r="I192" s="275" t="s">
        <v>5841</v>
      </c>
      <c r="J192" s="923">
        <v>9814455</v>
      </c>
    </row>
    <row r="193" spans="1:10">
      <c r="A193" s="1072" t="s">
        <v>3134</v>
      </c>
      <c r="B193" s="1073"/>
      <c r="C193" s="1073"/>
      <c r="D193" s="1073"/>
      <c r="E193" s="1073"/>
      <c r="F193" s="1073"/>
      <c r="G193" s="397">
        <f>SUM(G178:G192)</f>
        <v>89111500</v>
      </c>
      <c r="H193" s="398"/>
      <c r="I193" s="376"/>
      <c r="J193" s="917">
        <f>SUM(J178:J192)</f>
        <v>423558363</v>
      </c>
    </row>
    <row r="194" spans="1:10">
      <c r="A194" s="1072" t="s">
        <v>866</v>
      </c>
      <c r="B194" s="1073"/>
      <c r="C194" s="1073"/>
      <c r="D194" s="1073"/>
      <c r="E194" s="1073"/>
      <c r="F194" s="1073"/>
      <c r="G194" s="1073"/>
      <c r="H194" s="1073"/>
      <c r="I194" s="1073"/>
      <c r="J194" s="1077"/>
    </row>
    <row r="195" spans="1:10" ht="51">
      <c r="A195" s="907" t="s">
        <v>867</v>
      </c>
      <c r="B195" s="40" t="s">
        <v>25224</v>
      </c>
      <c r="C195" s="40" t="s">
        <v>25225</v>
      </c>
      <c r="D195" s="40" t="s">
        <v>25226</v>
      </c>
      <c r="E195" s="40" t="s">
        <v>25227</v>
      </c>
      <c r="F195" s="40" t="s">
        <v>25228</v>
      </c>
      <c r="G195" s="380">
        <v>150000000</v>
      </c>
      <c r="H195" s="52" t="s">
        <v>31</v>
      </c>
      <c r="I195" s="40" t="s">
        <v>25222</v>
      </c>
      <c r="J195" s="530">
        <v>574700000</v>
      </c>
    </row>
    <row r="196" spans="1:10" s="339" customFormat="1" ht="12.75">
      <c r="A196" s="924" t="s">
        <v>878</v>
      </c>
      <c r="B196" s="409" t="s">
        <v>936</v>
      </c>
      <c r="C196" s="409" t="s">
        <v>936</v>
      </c>
      <c r="D196" s="40" t="s">
        <v>10203</v>
      </c>
      <c r="E196" s="40">
        <v>300</v>
      </c>
      <c r="F196" s="40" t="s">
        <v>10202</v>
      </c>
      <c r="G196" s="380">
        <v>24000000</v>
      </c>
      <c r="H196" s="52">
        <v>1</v>
      </c>
      <c r="I196" s="40" t="s">
        <v>10201</v>
      </c>
      <c r="J196" s="530">
        <v>12000000</v>
      </c>
    </row>
    <row r="197" spans="1:10" s="339" customFormat="1" ht="51">
      <c r="A197" s="907" t="s">
        <v>878</v>
      </c>
      <c r="B197" s="40" t="s">
        <v>961</v>
      </c>
      <c r="C197" s="40" t="s">
        <v>948</v>
      </c>
      <c r="D197" s="40" t="s">
        <v>962</v>
      </c>
      <c r="E197" s="40">
        <v>400</v>
      </c>
      <c r="F197" s="40" t="s">
        <v>963</v>
      </c>
      <c r="G197" s="380">
        <v>0</v>
      </c>
      <c r="H197" s="52">
        <v>1</v>
      </c>
      <c r="I197" s="40" t="s">
        <v>964</v>
      </c>
      <c r="J197" s="530">
        <v>250000000</v>
      </c>
    </row>
    <row r="198" spans="1:10" s="339" customFormat="1" ht="51">
      <c r="A198" s="907" t="s">
        <v>878</v>
      </c>
      <c r="B198" s="40" t="s">
        <v>961</v>
      </c>
      <c r="C198" s="40" t="s">
        <v>948</v>
      </c>
      <c r="D198" s="40" t="s">
        <v>962</v>
      </c>
      <c r="E198" s="40">
        <v>80</v>
      </c>
      <c r="F198" s="40" t="s">
        <v>969</v>
      </c>
      <c r="G198" s="380">
        <v>0</v>
      </c>
      <c r="H198" s="52">
        <v>1</v>
      </c>
      <c r="I198" s="40" t="s">
        <v>970</v>
      </c>
      <c r="J198" s="530">
        <v>80000000</v>
      </c>
    </row>
    <row r="199" spans="1:10" s="339" customFormat="1" ht="25.5">
      <c r="A199" s="907" t="s">
        <v>878</v>
      </c>
      <c r="B199" s="40" t="s">
        <v>965</v>
      </c>
      <c r="C199" s="40" t="s">
        <v>10205</v>
      </c>
      <c r="D199" s="40" t="s">
        <v>10204</v>
      </c>
      <c r="E199" s="40">
        <v>3000</v>
      </c>
      <c r="F199" s="40" t="s">
        <v>10207</v>
      </c>
      <c r="G199" s="380">
        <v>220000000</v>
      </c>
      <c r="H199" s="52">
        <v>1</v>
      </c>
      <c r="I199" s="40" t="s">
        <v>10206</v>
      </c>
      <c r="J199" s="530">
        <v>110000000</v>
      </c>
    </row>
    <row r="200" spans="1:10" ht="25.5">
      <c r="A200" s="907" t="s">
        <v>878</v>
      </c>
      <c r="B200" s="40" t="s">
        <v>965</v>
      </c>
      <c r="C200" s="40" t="s">
        <v>10205</v>
      </c>
      <c r="D200" s="40" t="s">
        <v>10204</v>
      </c>
      <c r="E200" s="40">
        <v>600</v>
      </c>
      <c r="F200" s="40" t="s">
        <v>10202</v>
      </c>
      <c r="G200" s="380">
        <v>50000000</v>
      </c>
      <c r="H200" s="52">
        <v>1</v>
      </c>
      <c r="I200" s="40" t="s">
        <v>10201</v>
      </c>
      <c r="J200" s="530">
        <v>24000000</v>
      </c>
    </row>
    <row r="201" spans="1:10" ht="25.5">
      <c r="A201" s="907" t="s">
        <v>878</v>
      </c>
      <c r="B201" s="40" t="s">
        <v>886</v>
      </c>
      <c r="C201" s="40" t="s">
        <v>965</v>
      </c>
      <c r="D201" s="40" t="s">
        <v>966</v>
      </c>
      <c r="E201" s="40">
        <v>600</v>
      </c>
      <c r="F201" s="40" t="s">
        <v>967</v>
      </c>
      <c r="G201" s="380">
        <v>0</v>
      </c>
      <c r="H201" s="52">
        <v>2</v>
      </c>
      <c r="I201" s="40" t="s">
        <v>968</v>
      </c>
      <c r="J201" s="530">
        <v>0</v>
      </c>
    </row>
    <row r="202" spans="1:10" s="339" customFormat="1" ht="12.75">
      <c r="A202" s="1072" t="s">
        <v>189</v>
      </c>
      <c r="B202" s="1073"/>
      <c r="C202" s="1073"/>
      <c r="D202" s="1073"/>
      <c r="E202" s="1073"/>
      <c r="F202" s="1073"/>
      <c r="G202" s="397">
        <f>SUM(G195:G201)</f>
        <v>444000000</v>
      </c>
      <c r="H202" s="398"/>
      <c r="I202" s="376"/>
      <c r="J202" s="917">
        <f>SUM(J195:J201)</f>
        <v>1050700000</v>
      </c>
    </row>
    <row r="203" spans="1:10" s="339" customFormat="1" ht="12.75">
      <c r="A203" s="1086" t="s">
        <v>1261</v>
      </c>
      <c r="B203" s="1087"/>
      <c r="C203" s="1087"/>
      <c r="D203" s="1087"/>
      <c r="E203" s="1087"/>
      <c r="F203" s="1087"/>
      <c r="G203" s="1087"/>
      <c r="H203" s="1087"/>
      <c r="I203" s="1087"/>
      <c r="J203" s="1088"/>
    </row>
    <row r="204" spans="1:10" s="339" customFormat="1" ht="140.25">
      <c r="A204" s="907" t="s">
        <v>971</v>
      </c>
      <c r="B204" s="40" t="s">
        <v>1342</v>
      </c>
      <c r="C204" s="40" t="s">
        <v>1337</v>
      </c>
      <c r="D204" s="40" t="s">
        <v>1343</v>
      </c>
      <c r="E204" s="40" t="s">
        <v>1344</v>
      </c>
      <c r="F204" s="40" t="s">
        <v>1345</v>
      </c>
      <c r="G204" s="380">
        <v>300000000</v>
      </c>
      <c r="H204" s="52">
        <v>1</v>
      </c>
      <c r="I204" s="40" t="s">
        <v>1346</v>
      </c>
      <c r="J204" s="530">
        <v>150000000</v>
      </c>
    </row>
    <row r="205" spans="1:10" s="339" customFormat="1" ht="51">
      <c r="A205" s="907" t="s">
        <v>971</v>
      </c>
      <c r="B205" s="40" t="s">
        <v>1009</v>
      </c>
      <c r="C205" s="40" t="s">
        <v>1355</v>
      </c>
      <c r="D205" s="40" t="s">
        <v>1356</v>
      </c>
      <c r="E205" s="40" t="s">
        <v>1357</v>
      </c>
      <c r="F205" s="40" t="s">
        <v>1358</v>
      </c>
      <c r="G205" s="380">
        <v>20000000</v>
      </c>
      <c r="H205" s="52">
        <v>2</v>
      </c>
      <c r="I205" s="40" t="s">
        <v>1359</v>
      </c>
      <c r="J205" s="530">
        <v>10000000</v>
      </c>
    </row>
    <row r="206" spans="1:10" s="339" customFormat="1" ht="51">
      <c r="A206" s="907" t="s">
        <v>971</v>
      </c>
      <c r="B206" s="40" t="s">
        <v>1015</v>
      </c>
      <c r="C206" s="40" t="s">
        <v>616</v>
      </c>
      <c r="D206" s="40" t="s">
        <v>1360</v>
      </c>
      <c r="E206" s="40" t="s">
        <v>1361</v>
      </c>
      <c r="F206" s="40" t="s">
        <v>1362</v>
      </c>
      <c r="G206" s="380">
        <v>200000000</v>
      </c>
      <c r="H206" s="52">
        <v>1</v>
      </c>
      <c r="I206" s="40" t="s">
        <v>1363</v>
      </c>
      <c r="J206" s="530">
        <v>100000000</v>
      </c>
    </row>
    <row r="207" spans="1:10" s="339" customFormat="1" ht="51">
      <c r="A207" s="907" t="s">
        <v>971</v>
      </c>
      <c r="B207" s="40" t="s">
        <v>938</v>
      </c>
      <c r="C207" s="40" t="s">
        <v>1292</v>
      </c>
      <c r="D207" s="40" t="s">
        <v>1351</v>
      </c>
      <c r="E207" s="40" t="s">
        <v>1352</v>
      </c>
      <c r="F207" s="40" t="s">
        <v>1353</v>
      </c>
      <c r="G207" s="380">
        <v>200000000</v>
      </c>
      <c r="H207" s="52">
        <v>3</v>
      </c>
      <c r="I207" s="40" t="s">
        <v>1354</v>
      </c>
      <c r="J207" s="530">
        <v>100000000</v>
      </c>
    </row>
    <row r="208" spans="1:10" s="339" customFormat="1" ht="76.5">
      <c r="A208" s="907" t="s">
        <v>971</v>
      </c>
      <c r="B208" s="40" t="s">
        <v>1165</v>
      </c>
      <c r="C208" s="40" t="s">
        <v>1292</v>
      </c>
      <c r="D208" s="40" t="s">
        <v>1347</v>
      </c>
      <c r="E208" s="40" t="s">
        <v>1348</v>
      </c>
      <c r="F208" s="40" t="s">
        <v>1349</v>
      </c>
      <c r="G208" s="380">
        <v>50000000</v>
      </c>
      <c r="H208" s="52">
        <v>2</v>
      </c>
      <c r="I208" s="40" t="s">
        <v>1350</v>
      </c>
      <c r="J208" s="530">
        <v>25000000</v>
      </c>
    </row>
    <row r="209" spans="1:10" s="339" customFormat="1" ht="89.25">
      <c r="A209" s="907" t="s">
        <v>971</v>
      </c>
      <c r="B209" s="40" t="s">
        <v>1336</v>
      </c>
      <c r="C209" s="40" t="s">
        <v>1337</v>
      </c>
      <c r="D209" s="40" t="s">
        <v>1338</v>
      </c>
      <c r="E209" s="40" t="s">
        <v>1339</v>
      </c>
      <c r="F209" s="40" t="s">
        <v>1340</v>
      </c>
      <c r="G209" s="380">
        <v>500000000</v>
      </c>
      <c r="H209" s="52">
        <v>1</v>
      </c>
      <c r="I209" s="40" t="s">
        <v>1341</v>
      </c>
      <c r="J209" s="530">
        <v>200000000</v>
      </c>
    </row>
    <row r="210" spans="1:10" s="339" customFormat="1" ht="51">
      <c r="A210" s="907" t="s">
        <v>1018</v>
      </c>
      <c r="B210" s="40" t="s">
        <v>1043</v>
      </c>
      <c r="C210" s="40" t="s">
        <v>1369</v>
      </c>
      <c r="D210" s="40" t="s">
        <v>1360</v>
      </c>
      <c r="E210" s="40" t="s">
        <v>1370</v>
      </c>
      <c r="F210" s="40" t="s">
        <v>1371</v>
      </c>
      <c r="G210" s="380">
        <v>100000000</v>
      </c>
      <c r="H210" s="52">
        <v>1</v>
      </c>
      <c r="I210" s="40" t="s">
        <v>1372</v>
      </c>
      <c r="J210" s="530">
        <v>50000000</v>
      </c>
    </row>
    <row r="211" spans="1:10" s="339" customFormat="1" ht="76.5">
      <c r="A211" s="907" t="s">
        <v>1018</v>
      </c>
      <c r="B211" s="40" t="s">
        <v>1019</v>
      </c>
      <c r="C211" s="40" t="s">
        <v>1364</v>
      </c>
      <c r="D211" s="40" t="s">
        <v>1365</v>
      </c>
      <c r="E211" s="40" t="s">
        <v>1366</v>
      </c>
      <c r="F211" s="40" t="s">
        <v>1367</v>
      </c>
      <c r="G211" s="380">
        <v>300000000</v>
      </c>
      <c r="H211" s="52">
        <v>1</v>
      </c>
      <c r="I211" s="40" t="s">
        <v>1368</v>
      </c>
      <c r="J211" s="530">
        <v>150000000</v>
      </c>
    </row>
    <row r="212" spans="1:10" s="339" customFormat="1" ht="51">
      <c r="A212" s="907" t="s">
        <v>1046</v>
      </c>
      <c r="B212" s="40" t="s">
        <v>879</v>
      </c>
      <c r="C212" s="40" t="s">
        <v>1380</v>
      </c>
      <c r="D212" s="40" t="s">
        <v>1381</v>
      </c>
      <c r="E212" s="40" t="s">
        <v>1382</v>
      </c>
      <c r="F212" s="40" t="s">
        <v>1383</v>
      </c>
      <c r="G212" s="380">
        <v>60000000</v>
      </c>
      <c r="H212" s="52">
        <v>1</v>
      </c>
      <c r="I212" s="40" t="s">
        <v>1384</v>
      </c>
      <c r="J212" s="530">
        <v>30000000</v>
      </c>
    </row>
    <row r="213" spans="1:10" s="339" customFormat="1" ht="63.75">
      <c r="A213" s="907" t="s">
        <v>1046</v>
      </c>
      <c r="B213" s="40" t="s">
        <v>1377</v>
      </c>
      <c r="C213" s="40" t="s">
        <v>1296</v>
      </c>
      <c r="D213" s="40" t="s">
        <v>1374</v>
      </c>
      <c r="E213" s="40" t="s">
        <v>1378</v>
      </c>
      <c r="F213" s="40" t="s">
        <v>1340</v>
      </c>
      <c r="G213" s="380">
        <v>250000000</v>
      </c>
      <c r="H213" s="52">
        <v>1</v>
      </c>
      <c r="I213" s="40" t="s">
        <v>1379</v>
      </c>
      <c r="J213" s="530">
        <v>125000000</v>
      </c>
    </row>
    <row r="214" spans="1:10" s="339" customFormat="1" ht="51">
      <c r="A214" s="907" t="s">
        <v>1046</v>
      </c>
      <c r="B214" s="40" t="s">
        <v>1055</v>
      </c>
      <c r="C214" s="40" t="s">
        <v>1373</v>
      </c>
      <c r="D214" s="40" t="s">
        <v>1374</v>
      </c>
      <c r="E214" s="40" t="s">
        <v>1375</v>
      </c>
      <c r="F214" s="40" t="s">
        <v>1340</v>
      </c>
      <c r="G214" s="380">
        <v>200000000</v>
      </c>
      <c r="H214" s="52">
        <v>1</v>
      </c>
      <c r="I214" s="40" t="s">
        <v>1376</v>
      </c>
      <c r="J214" s="530">
        <v>100000000</v>
      </c>
    </row>
    <row r="215" spans="1:10" s="339" customFormat="1" ht="51">
      <c r="A215" s="907" t="s">
        <v>1074</v>
      </c>
      <c r="B215" s="40" t="s">
        <v>1385</v>
      </c>
      <c r="C215" s="40" t="s">
        <v>1300</v>
      </c>
      <c r="D215" s="40" t="s">
        <v>1386</v>
      </c>
      <c r="E215" s="40" t="s">
        <v>1387</v>
      </c>
      <c r="F215" s="40" t="s">
        <v>1388</v>
      </c>
      <c r="G215" s="380">
        <v>10000000</v>
      </c>
      <c r="H215" s="52">
        <v>2</v>
      </c>
      <c r="I215" s="40" t="s">
        <v>1389</v>
      </c>
      <c r="J215" s="530">
        <v>6000000</v>
      </c>
    </row>
    <row r="216" spans="1:10" s="339" customFormat="1" ht="51">
      <c r="A216" s="907" t="s">
        <v>1074</v>
      </c>
      <c r="B216" s="40" t="s">
        <v>1390</v>
      </c>
      <c r="C216" s="40" t="s">
        <v>1279</v>
      </c>
      <c r="D216" s="40" t="s">
        <v>1391</v>
      </c>
      <c r="E216" s="40" t="s">
        <v>1392</v>
      </c>
      <c r="F216" s="40" t="s">
        <v>1393</v>
      </c>
      <c r="G216" s="380">
        <v>50000000</v>
      </c>
      <c r="H216" s="52">
        <v>1</v>
      </c>
      <c r="I216" s="40" t="s">
        <v>1394</v>
      </c>
      <c r="J216" s="530">
        <v>50000000</v>
      </c>
    </row>
    <row r="217" spans="1:10" s="339" customFormat="1" ht="76.5">
      <c r="A217" s="907" t="s">
        <v>1092</v>
      </c>
      <c r="B217" s="40" t="s">
        <v>1395</v>
      </c>
      <c r="C217" s="40" t="s">
        <v>1396</v>
      </c>
      <c r="D217" s="40" t="s">
        <v>1397</v>
      </c>
      <c r="E217" s="40" t="s">
        <v>1398</v>
      </c>
      <c r="F217" s="40" t="s">
        <v>1399</v>
      </c>
      <c r="G217" s="380">
        <v>250000000</v>
      </c>
      <c r="H217" s="52">
        <v>1</v>
      </c>
      <c r="I217" s="40" t="s">
        <v>1400</v>
      </c>
      <c r="J217" s="530">
        <v>100000000</v>
      </c>
    </row>
    <row r="218" spans="1:10" s="339" customFormat="1" ht="63.75">
      <c r="A218" s="907" t="s">
        <v>1092</v>
      </c>
      <c r="B218" s="40" t="s">
        <v>1401</v>
      </c>
      <c r="C218" s="40" t="s">
        <v>1305</v>
      </c>
      <c r="D218" s="40" t="s">
        <v>1402</v>
      </c>
      <c r="E218" s="40" t="s">
        <v>1403</v>
      </c>
      <c r="F218" s="40" t="s">
        <v>1404</v>
      </c>
      <c r="G218" s="380">
        <v>150000000</v>
      </c>
      <c r="H218" s="52">
        <v>2</v>
      </c>
      <c r="I218" s="40" t="s">
        <v>1405</v>
      </c>
      <c r="J218" s="530">
        <v>75000000</v>
      </c>
    </row>
    <row r="219" spans="1:10" ht="89.25">
      <c r="A219" s="907" t="s">
        <v>1406</v>
      </c>
      <c r="B219" s="40" t="s">
        <v>1036</v>
      </c>
      <c r="C219" s="40" t="s">
        <v>1314</v>
      </c>
      <c r="D219" s="40" t="s">
        <v>1407</v>
      </c>
      <c r="E219" s="40" t="s">
        <v>1408</v>
      </c>
      <c r="F219" s="40" t="s">
        <v>1409</v>
      </c>
      <c r="G219" s="380">
        <v>200000000</v>
      </c>
      <c r="H219" s="52">
        <v>2</v>
      </c>
      <c r="I219" s="40" t="s">
        <v>1410</v>
      </c>
      <c r="J219" s="530">
        <v>100000000</v>
      </c>
    </row>
    <row r="220" spans="1:10" ht="51">
      <c r="A220" s="907" t="s">
        <v>1194</v>
      </c>
      <c r="B220" s="40" t="s">
        <v>1412</v>
      </c>
      <c r="C220" s="40" t="s">
        <v>1413</v>
      </c>
      <c r="D220" s="40" t="s">
        <v>1414</v>
      </c>
      <c r="E220" s="40" t="s">
        <v>1415</v>
      </c>
      <c r="F220" s="40" t="s">
        <v>1416</v>
      </c>
      <c r="G220" s="380">
        <v>250000000</v>
      </c>
      <c r="H220" s="52">
        <v>1</v>
      </c>
      <c r="I220" s="40" t="s">
        <v>1411</v>
      </c>
      <c r="J220" s="530">
        <v>75000000</v>
      </c>
    </row>
    <row r="221" spans="1:10">
      <c r="A221" s="1086" t="s">
        <v>189</v>
      </c>
      <c r="B221" s="1087"/>
      <c r="C221" s="1087"/>
      <c r="D221" s="1087"/>
      <c r="E221" s="1087"/>
      <c r="F221" s="1087"/>
      <c r="G221" s="410">
        <f>SUM(G204:G220)</f>
        <v>3090000000</v>
      </c>
      <c r="H221" s="411"/>
      <c r="I221" s="573"/>
      <c r="J221" s="925">
        <f>SUM(J204:J220)</f>
        <v>1446000000</v>
      </c>
    </row>
    <row r="222" spans="1:10">
      <c r="A222" s="1086" t="s">
        <v>1482</v>
      </c>
      <c r="B222" s="1087"/>
      <c r="C222" s="1087"/>
      <c r="D222" s="1087"/>
      <c r="E222" s="1087"/>
      <c r="F222" s="1087"/>
      <c r="G222" s="1087"/>
      <c r="H222" s="1087"/>
      <c r="I222" s="1087"/>
      <c r="J222" s="1088"/>
    </row>
    <row r="223" spans="1:10" ht="38.25">
      <c r="A223" s="907" t="s">
        <v>1637</v>
      </c>
      <c r="B223" s="40" t="s">
        <v>1642</v>
      </c>
      <c r="C223" s="40" t="s">
        <v>1643</v>
      </c>
      <c r="D223" s="40" t="s">
        <v>1626</v>
      </c>
      <c r="E223" s="40">
        <v>300</v>
      </c>
      <c r="F223" s="40" t="s">
        <v>1631</v>
      </c>
      <c r="G223" s="380">
        <v>12000000</v>
      </c>
      <c r="H223" s="52" t="s">
        <v>1635</v>
      </c>
      <c r="I223" s="40" t="s">
        <v>1629</v>
      </c>
      <c r="J223" s="530">
        <v>3900000</v>
      </c>
    </row>
    <row r="224" spans="1:10" ht="38.25">
      <c r="A224" s="907" t="s">
        <v>1637</v>
      </c>
      <c r="B224" s="40" t="s">
        <v>1638</v>
      </c>
      <c r="C224" s="40" t="s">
        <v>1638</v>
      </c>
      <c r="D224" s="40" t="s">
        <v>1639</v>
      </c>
      <c r="E224" s="40">
        <v>200</v>
      </c>
      <c r="F224" s="40" t="s">
        <v>1640</v>
      </c>
      <c r="G224" s="380">
        <v>7000000</v>
      </c>
      <c r="H224" s="52" t="s">
        <v>1628</v>
      </c>
      <c r="I224" s="40" t="s">
        <v>1641</v>
      </c>
      <c r="J224" s="530">
        <v>25000000</v>
      </c>
    </row>
    <row r="225" spans="1:10">
      <c r="A225" s="907" t="s">
        <v>1483</v>
      </c>
      <c r="B225" s="40" t="s">
        <v>1624</v>
      </c>
      <c r="C225" s="40" t="s">
        <v>1625</v>
      </c>
      <c r="D225" s="40" t="s">
        <v>1626</v>
      </c>
      <c r="E225" s="40">
        <v>700</v>
      </c>
      <c r="F225" s="40" t="s">
        <v>1627</v>
      </c>
      <c r="G225" s="380">
        <v>20000000</v>
      </c>
      <c r="H225" s="52" t="s">
        <v>1628</v>
      </c>
      <c r="I225" s="40" t="s">
        <v>1629</v>
      </c>
      <c r="J225" s="530">
        <v>6725000</v>
      </c>
    </row>
    <row r="226" spans="1:10" ht="38.25">
      <c r="A226" s="907" t="s">
        <v>1483</v>
      </c>
      <c r="B226" s="40" t="s">
        <v>1483</v>
      </c>
      <c r="C226" s="40" t="s">
        <v>1630</v>
      </c>
      <c r="D226" s="40" t="s">
        <v>1626</v>
      </c>
      <c r="E226" s="40">
        <v>8000</v>
      </c>
      <c r="F226" s="40" t="s">
        <v>1631</v>
      </c>
      <c r="G226" s="380">
        <v>95000000</v>
      </c>
      <c r="H226" s="52" t="s">
        <v>1628</v>
      </c>
      <c r="I226" s="40" t="s">
        <v>1629</v>
      </c>
      <c r="J226" s="530">
        <v>64000000</v>
      </c>
    </row>
    <row r="227" spans="1:10" ht="25.5">
      <c r="A227" s="907" t="s">
        <v>1483</v>
      </c>
      <c r="B227" s="40" t="s">
        <v>1483</v>
      </c>
      <c r="C227" s="40" t="s">
        <v>1632</v>
      </c>
      <c r="D227" s="40" t="s">
        <v>1633</v>
      </c>
      <c r="E227" s="40">
        <v>500</v>
      </c>
      <c r="F227" s="40" t="s">
        <v>1634</v>
      </c>
      <c r="G227" s="380">
        <v>8000000</v>
      </c>
      <c r="H227" s="52" t="s">
        <v>1635</v>
      </c>
      <c r="I227" s="40" t="s">
        <v>1636</v>
      </c>
      <c r="J227" s="530">
        <v>35000000</v>
      </c>
    </row>
    <row r="228" spans="1:10" ht="25.5">
      <c r="A228" s="907" t="s">
        <v>1509</v>
      </c>
      <c r="B228" s="40" t="s">
        <v>1509</v>
      </c>
      <c r="C228" s="40" t="s">
        <v>1632</v>
      </c>
      <c r="D228" s="40" t="s">
        <v>1639</v>
      </c>
      <c r="E228" s="40">
        <v>500</v>
      </c>
      <c r="F228" s="40" t="s">
        <v>1640</v>
      </c>
      <c r="G228" s="380">
        <v>0</v>
      </c>
      <c r="H228" s="52" t="s">
        <v>1628</v>
      </c>
      <c r="I228" s="40" t="s">
        <v>1644</v>
      </c>
      <c r="J228" s="530">
        <v>30000000</v>
      </c>
    </row>
    <row r="229" spans="1:10" ht="38.25">
      <c r="A229" s="907" t="s">
        <v>1529</v>
      </c>
      <c r="B229" s="40" t="s">
        <v>1649</v>
      </c>
      <c r="C229" s="40" t="s">
        <v>1652</v>
      </c>
      <c r="D229" s="40" t="s">
        <v>1626</v>
      </c>
      <c r="E229" s="40">
        <v>2300</v>
      </c>
      <c r="F229" s="40" t="s">
        <v>1631</v>
      </c>
      <c r="G229" s="380">
        <v>100000000</v>
      </c>
      <c r="H229" s="52" t="s">
        <v>1628</v>
      </c>
      <c r="I229" s="40" t="s">
        <v>1651</v>
      </c>
      <c r="J229" s="530">
        <v>155000000</v>
      </c>
    </row>
    <row r="230" spans="1:10" ht="38.25">
      <c r="A230" s="907" t="s">
        <v>1529</v>
      </c>
      <c r="B230" s="40" t="s">
        <v>1649</v>
      </c>
      <c r="C230" s="40" t="s">
        <v>1650</v>
      </c>
      <c r="D230" s="40" t="s">
        <v>1626</v>
      </c>
      <c r="E230" s="40">
        <v>5000</v>
      </c>
      <c r="F230" s="40" t="s">
        <v>1631</v>
      </c>
      <c r="G230" s="380">
        <v>210000000</v>
      </c>
      <c r="H230" s="52" t="s">
        <v>1628</v>
      </c>
      <c r="I230" s="40" t="s">
        <v>1651</v>
      </c>
      <c r="J230" s="530">
        <v>195000000</v>
      </c>
    </row>
    <row r="231" spans="1:10">
      <c r="A231" s="907" t="s">
        <v>1529</v>
      </c>
      <c r="B231" s="40" t="s">
        <v>1529</v>
      </c>
      <c r="C231" s="40" t="s">
        <v>1646</v>
      </c>
      <c r="D231" s="40" t="s">
        <v>1647</v>
      </c>
      <c r="E231" s="40">
        <v>500</v>
      </c>
      <c r="F231" s="40" t="s">
        <v>1648</v>
      </c>
      <c r="G231" s="380">
        <v>50000000</v>
      </c>
      <c r="H231" s="52" t="s">
        <v>1628</v>
      </c>
      <c r="I231" s="40" t="s">
        <v>1645</v>
      </c>
      <c r="J231" s="530">
        <v>34000000</v>
      </c>
    </row>
    <row r="232" spans="1:10" ht="38.25">
      <c r="A232" s="907" t="s">
        <v>1529</v>
      </c>
      <c r="B232" s="40" t="s">
        <v>1529</v>
      </c>
      <c r="C232" s="40" t="s">
        <v>1529</v>
      </c>
      <c r="D232" s="40" t="s">
        <v>1626</v>
      </c>
      <c r="E232" s="40">
        <v>1200</v>
      </c>
      <c r="F232" s="40" t="s">
        <v>1631</v>
      </c>
      <c r="G232" s="380">
        <v>75000000</v>
      </c>
      <c r="H232" s="52" t="s">
        <v>1628</v>
      </c>
      <c r="I232" s="40" t="s">
        <v>1645</v>
      </c>
      <c r="J232" s="530">
        <v>55000000</v>
      </c>
    </row>
    <row r="233" spans="1:10">
      <c r="A233" s="1086" t="s">
        <v>189</v>
      </c>
      <c r="B233" s="1087"/>
      <c r="C233" s="1087"/>
      <c r="D233" s="1087"/>
      <c r="E233" s="1087"/>
      <c r="F233" s="1087"/>
      <c r="G233" s="410">
        <f>SUM(G223:G232)</f>
        <v>577000000</v>
      </c>
      <c r="H233" s="412"/>
      <c r="I233" s="413"/>
      <c r="J233" s="925">
        <f>SUM(J223:J232)</f>
        <v>603625000</v>
      </c>
    </row>
    <row r="234" spans="1:10">
      <c r="A234" s="1072" t="s">
        <v>118</v>
      </c>
      <c r="B234" s="1073"/>
      <c r="C234" s="1073"/>
      <c r="D234" s="1073"/>
      <c r="E234" s="1073"/>
      <c r="F234" s="1073"/>
      <c r="G234" s="1073"/>
      <c r="H234" s="1073"/>
      <c r="I234" s="1073"/>
      <c r="J234" s="1077"/>
    </row>
    <row r="235" spans="1:10" ht="51">
      <c r="A235" s="910" t="s">
        <v>119</v>
      </c>
      <c r="B235" s="383" t="s">
        <v>247</v>
      </c>
      <c r="C235" s="383" t="s">
        <v>240</v>
      </c>
      <c r="D235" s="383" t="s">
        <v>241</v>
      </c>
      <c r="E235" s="383">
        <v>250</v>
      </c>
      <c r="F235" s="383" t="s">
        <v>248</v>
      </c>
      <c r="G235" s="380">
        <v>6700000</v>
      </c>
      <c r="H235" s="385"/>
      <c r="I235" s="383" t="s">
        <v>243</v>
      </c>
      <c r="J235" s="530">
        <v>144400000</v>
      </c>
    </row>
    <row r="236" spans="1:10" ht="38.25">
      <c r="A236" s="910" t="s">
        <v>119</v>
      </c>
      <c r="B236" s="383" t="s">
        <v>251</v>
      </c>
      <c r="C236" s="383" t="s">
        <v>240</v>
      </c>
      <c r="D236" s="383" t="s">
        <v>252</v>
      </c>
      <c r="E236" s="383">
        <v>200</v>
      </c>
      <c r="F236" s="383" t="s">
        <v>253</v>
      </c>
      <c r="G236" s="380">
        <v>28900000</v>
      </c>
      <c r="H236" s="385" t="s">
        <v>31</v>
      </c>
      <c r="I236" s="383" t="s">
        <v>243</v>
      </c>
      <c r="J236" s="530">
        <v>115500000</v>
      </c>
    </row>
    <row r="237" spans="1:10" ht="38.25">
      <c r="A237" s="910" t="s">
        <v>119</v>
      </c>
      <c r="B237" s="383" t="s">
        <v>254</v>
      </c>
      <c r="C237" s="383" t="s">
        <v>240</v>
      </c>
      <c r="D237" s="383" t="s">
        <v>249</v>
      </c>
      <c r="E237" s="383">
        <v>250</v>
      </c>
      <c r="F237" s="383" t="s">
        <v>250</v>
      </c>
      <c r="G237" s="380">
        <v>5600000</v>
      </c>
      <c r="H237" s="385" t="s">
        <v>31</v>
      </c>
      <c r="I237" s="383" t="s">
        <v>243</v>
      </c>
      <c r="J237" s="530">
        <v>144400000</v>
      </c>
    </row>
    <row r="238" spans="1:10" ht="51">
      <c r="A238" s="910" t="s">
        <v>119</v>
      </c>
      <c r="B238" s="383" t="s">
        <v>244</v>
      </c>
      <c r="C238" s="383" t="s">
        <v>240</v>
      </c>
      <c r="D238" s="383" t="s">
        <v>245</v>
      </c>
      <c r="E238" s="383">
        <v>250</v>
      </c>
      <c r="F238" s="383" t="s">
        <v>246</v>
      </c>
      <c r="G238" s="380">
        <v>4100000</v>
      </c>
      <c r="H238" s="385" t="s">
        <v>31</v>
      </c>
      <c r="I238" s="383" t="s">
        <v>243</v>
      </c>
      <c r="J238" s="530">
        <v>144400000</v>
      </c>
    </row>
    <row r="239" spans="1:10" ht="51">
      <c r="A239" s="910" t="s">
        <v>119</v>
      </c>
      <c r="B239" s="383" t="s">
        <v>141</v>
      </c>
      <c r="C239" s="383" t="s">
        <v>257</v>
      </c>
      <c r="D239" s="383" t="s">
        <v>258</v>
      </c>
      <c r="E239" s="383">
        <v>110</v>
      </c>
      <c r="F239" s="383" t="s">
        <v>259</v>
      </c>
      <c r="G239" s="380">
        <v>3200000</v>
      </c>
      <c r="H239" s="385" t="s">
        <v>31</v>
      </c>
      <c r="I239" s="383" t="s">
        <v>243</v>
      </c>
      <c r="J239" s="530">
        <v>63500000</v>
      </c>
    </row>
    <row r="240" spans="1:10" ht="38.25">
      <c r="A240" s="910" t="s">
        <v>119</v>
      </c>
      <c r="B240" s="383" t="s">
        <v>239</v>
      </c>
      <c r="C240" s="383" t="s">
        <v>240</v>
      </c>
      <c r="D240" s="383" t="s">
        <v>241</v>
      </c>
      <c r="E240" s="383">
        <v>275</v>
      </c>
      <c r="F240" s="383" t="s">
        <v>242</v>
      </c>
      <c r="G240" s="380">
        <v>4500000</v>
      </c>
      <c r="H240" s="385" t="s">
        <v>31</v>
      </c>
      <c r="I240" s="383" t="s">
        <v>243</v>
      </c>
      <c r="J240" s="530">
        <v>158900000</v>
      </c>
    </row>
    <row r="241" spans="1:10" ht="63.75">
      <c r="A241" s="910" t="s">
        <v>119</v>
      </c>
      <c r="B241" s="383" t="s">
        <v>255</v>
      </c>
      <c r="C241" s="383" t="s">
        <v>240</v>
      </c>
      <c r="D241" s="383" t="s">
        <v>241</v>
      </c>
      <c r="E241" s="383">
        <v>200</v>
      </c>
      <c r="F241" s="383" t="s">
        <v>256</v>
      </c>
      <c r="G241" s="380">
        <v>5800000</v>
      </c>
      <c r="H241" s="385" t="s">
        <v>31</v>
      </c>
      <c r="I241" s="383" t="s">
        <v>243</v>
      </c>
      <c r="J241" s="530">
        <v>115500000</v>
      </c>
    </row>
    <row r="242" spans="1:10" ht="51">
      <c r="A242" s="910" t="s">
        <v>260</v>
      </c>
      <c r="B242" s="383" t="s">
        <v>261</v>
      </c>
      <c r="C242" s="383" t="s">
        <v>262</v>
      </c>
      <c r="D242" s="383" t="s">
        <v>263</v>
      </c>
      <c r="E242" s="383">
        <v>200</v>
      </c>
      <c r="F242" s="383" t="s">
        <v>264</v>
      </c>
      <c r="G242" s="380">
        <v>7200000</v>
      </c>
      <c r="H242" s="385" t="s">
        <v>31</v>
      </c>
      <c r="I242" s="383" t="s">
        <v>243</v>
      </c>
      <c r="J242" s="530">
        <v>144400000</v>
      </c>
    </row>
    <row r="243" spans="1:10">
      <c r="A243" s="1084" t="s">
        <v>189</v>
      </c>
      <c r="B243" s="1085"/>
      <c r="C243" s="1085"/>
      <c r="D243" s="1085"/>
      <c r="E243" s="1085"/>
      <c r="F243" s="1085"/>
      <c r="G243" s="414">
        <f>SUM(G235:G242)</f>
        <v>66000000</v>
      </c>
      <c r="H243" s="415"/>
      <c r="I243" s="572"/>
      <c r="J243" s="926">
        <f>SUM(J235:J242)</f>
        <v>1031000000</v>
      </c>
    </row>
    <row r="244" spans="1:10">
      <c r="A244" s="1072" t="s">
        <v>7313</v>
      </c>
      <c r="B244" s="1073"/>
      <c r="C244" s="1073"/>
      <c r="D244" s="1073"/>
      <c r="E244" s="1073"/>
      <c r="F244" s="1073"/>
      <c r="G244" s="1073"/>
      <c r="H244" s="1073"/>
      <c r="I244" s="1073"/>
      <c r="J244" s="1077"/>
    </row>
    <row r="245" spans="1:10" ht="51">
      <c r="A245" s="907" t="s">
        <v>7271</v>
      </c>
      <c r="B245" s="40" t="s">
        <v>7679</v>
      </c>
      <c r="C245" s="40" t="s">
        <v>8514</v>
      </c>
      <c r="D245" s="40" t="s">
        <v>9051</v>
      </c>
      <c r="E245" s="40">
        <v>3800</v>
      </c>
      <c r="F245" s="40" t="s">
        <v>9052</v>
      </c>
      <c r="G245" s="380">
        <f>(20000000*5)+(25000000*3)+(4000*5*2000)</f>
        <v>215000000</v>
      </c>
      <c r="H245" s="52" t="s">
        <v>30</v>
      </c>
      <c r="I245" s="40" t="s">
        <v>9053</v>
      </c>
      <c r="J245" s="530">
        <f>24*3800*5000</f>
        <v>456000000</v>
      </c>
    </row>
    <row r="246" spans="1:10" ht="51">
      <c r="A246" s="907" t="s">
        <v>7271</v>
      </c>
      <c r="B246" s="40" t="s">
        <v>7679</v>
      </c>
      <c r="C246" s="40" t="s">
        <v>8319</v>
      </c>
      <c r="D246" s="40" t="s">
        <v>9062</v>
      </c>
      <c r="E246" s="40">
        <v>4000</v>
      </c>
      <c r="F246" s="40" t="s">
        <v>9063</v>
      </c>
      <c r="G246" s="380">
        <f>20000000+(1500*5*2000)+30000000+10000000</f>
        <v>75000000</v>
      </c>
      <c r="H246" s="52" t="s">
        <v>30</v>
      </c>
      <c r="I246" s="40" t="s">
        <v>9064</v>
      </c>
      <c r="J246" s="530">
        <f>(24*4000*5000)</f>
        <v>480000000</v>
      </c>
    </row>
    <row r="247" spans="1:10" ht="38.25">
      <c r="A247" s="907" t="s">
        <v>7296</v>
      </c>
      <c r="B247" s="40" t="s">
        <v>9065</v>
      </c>
      <c r="C247" s="40" t="s">
        <v>9066</v>
      </c>
      <c r="D247" s="40" t="s">
        <v>9067</v>
      </c>
      <c r="E247" s="40">
        <v>5000</v>
      </c>
      <c r="F247" s="40" t="s">
        <v>9068</v>
      </c>
      <c r="G247" s="380">
        <f>8000*12*2500</f>
        <v>240000000</v>
      </c>
      <c r="H247" s="52" t="s">
        <v>30</v>
      </c>
      <c r="I247" s="40" t="s">
        <v>9053</v>
      </c>
      <c r="J247" s="530">
        <f>(24*5000*5000)</f>
        <v>600000000</v>
      </c>
    </row>
    <row r="248" spans="1:10" ht="63.75">
      <c r="A248" s="907" t="s">
        <v>7300</v>
      </c>
      <c r="B248" s="40" t="s">
        <v>9073</v>
      </c>
      <c r="C248" s="40" t="s">
        <v>9074</v>
      </c>
      <c r="D248" s="40" t="s">
        <v>9075</v>
      </c>
      <c r="E248" s="40">
        <v>5200</v>
      </c>
      <c r="F248" s="40" t="s">
        <v>9076</v>
      </c>
      <c r="G248" s="380">
        <f>(2000*12*2500)+4000000+(4500*5*1500)</f>
        <v>97750000</v>
      </c>
      <c r="H248" s="52" t="s">
        <v>30</v>
      </c>
      <c r="I248" s="40" t="s">
        <v>9053</v>
      </c>
      <c r="J248" s="530">
        <f>(24*5200*5000)</f>
        <v>624000000</v>
      </c>
    </row>
    <row r="249" spans="1:10" s="339" customFormat="1" ht="38.25">
      <c r="A249" s="907" t="s">
        <v>7317</v>
      </c>
      <c r="B249" s="40" t="s">
        <v>9069</v>
      </c>
      <c r="C249" s="40" t="s">
        <v>9070</v>
      </c>
      <c r="D249" s="40" t="s">
        <v>9071</v>
      </c>
      <c r="E249" s="40">
        <v>2700</v>
      </c>
      <c r="F249" s="40" t="s">
        <v>9072</v>
      </c>
      <c r="G249" s="380">
        <f>(2000*12*2500)+200000000</f>
        <v>260000000</v>
      </c>
      <c r="H249" s="52" t="s">
        <v>30</v>
      </c>
      <c r="I249" s="40" t="s">
        <v>9053</v>
      </c>
      <c r="J249" s="530">
        <f>(24*2700*5000)</f>
        <v>324000000</v>
      </c>
    </row>
    <row r="250" spans="1:10" s="339" customFormat="1" ht="38.25">
      <c r="A250" s="907" t="s">
        <v>7317</v>
      </c>
      <c r="B250" s="40" t="s">
        <v>9069</v>
      </c>
      <c r="C250" s="40" t="s">
        <v>9070</v>
      </c>
      <c r="D250" s="40" t="s">
        <v>9071</v>
      </c>
      <c r="E250" s="40">
        <v>2700</v>
      </c>
      <c r="F250" s="40" t="s">
        <v>9072</v>
      </c>
      <c r="G250" s="380">
        <f>(2000*12*2500)+200000000</f>
        <v>260000000</v>
      </c>
      <c r="H250" s="52">
        <v>1</v>
      </c>
      <c r="I250" s="40" t="s">
        <v>10353</v>
      </c>
      <c r="J250" s="530">
        <v>120000000</v>
      </c>
    </row>
    <row r="251" spans="1:10" s="339" customFormat="1" ht="25.5">
      <c r="A251" s="907" t="s">
        <v>7286</v>
      </c>
      <c r="B251" s="40" t="s">
        <v>7378</v>
      </c>
      <c r="C251" s="40" t="s">
        <v>9077</v>
      </c>
      <c r="D251" s="40" t="s">
        <v>9078</v>
      </c>
      <c r="E251" s="40">
        <v>1200</v>
      </c>
      <c r="F251" s="40" t="s">
        <v>9079</v>
      </c>
      <c r="G251" s="380">
        <v>0</v>
      </c>
      <c r="H251" s="52" t="s">
        <v>18</v>
      </c>
      <c r="I251" s="40" t="s">
        <v>9080</v>
      </c>
      <c r="J251" s="530">
        <f>(300*80122)+(10*1200*5000)</f>
        <v>84036600</v>
      </c>
    </row>
    <row r="252" spans="1:10" s="339" customFormat="1" ht="51">
      <c r="A252" s="907" t="s">
        <v>7373</v>
      </c>
      <c r="B252" s="40" t="s">
        <v>9058</v>
      </c>
      <c r="C252" s="40" t="s">
        <v>8514</v>
      </c>
      <c r="D252" s="40" t="s">
        <v>9059</v>
      </c>
      <c r="E252" s="40">
        <v>8000</v>
      </c>
      <c r="F252" s="40" t="s">
        <v>9060</v>
      </c>
      <c r="G252" s="380">
        <f>92000000+1000000+200000000</f>
        <v>293000000</v>
      </c>
      <c r="H252" s="52" t="s">
        <v>30</v>
      </c>
      <c r="I252" s="40" t="s">
        <v>9061</v>
      </c>
      <c r="J252" s="530">
        <f>(24*8000*5000)+1200*80122</f>
        <v>1056146400</v>
      </c>
    </row>
    <row r="253" spans="1:10" ht="38.25">
      <c r="A253" s="907" t="s">
        <v>7373</v>
      </c>
      <c r="B253" s="40" t="s">
        <v>9054</v>
      </c>
      <c r="C253" s="40" t="s">
        <v>8514</v>
      </c>
      <c r="D253" s="40" t="s">
        <v>9055</v>
      </c>
      <c r="E253" s="40">
        <v>1000</v>
      </c>
      <c r="F253" s="40" t="s">
        <v>9056</v>
      </c>
      <c r="G253" s="380">
        <v>0</v>
      </c>
      <c r="H253" s="52" t="s">
        <v>30</v>
      </c>
      <c r="I253" s="40" t="s">
        <v>9057</v>
      </c>
      <c r="J253" s="530">
        <f>300*80122</f>
        <v>24036600</v>
      </c>
    </row>
    <row r="254" spans="1:10">
      <c r="A254" s="1084" t="s">
        <v>189</v>
      </c>
      <c r="B254" s="1085"/>
      <c r="C254" s="1085"/>
      <c r="D254" s="1085"/>
      <c r="E254" s="1085"/>
      <c r="F254" s="1085"/>
      <c r="G254" s="414">
        <f>SUM(G245:G253)</f>
        <v>1440750000</v>
      </c>
      <c r="H254" s="415"/>
      <c r="I254" s="572"/>
      <c r="J254" s="926">
        <f>SUM(J245:J253)</f>
        <v>3768219600</v>
      </c>
    </row>
    <row r="255" spans="1:10">
      <c r="A255" s="1072" t="s">
        <v>7682</v>
      </c>
      <c r="B255" s="1073"/>
      <c r="C255" s="1073"/>
      <c r="D255" s="1073"/>
      <c r="E255" s="1073"/>
      <c r="F255" s="1073"/>
      <c r="G255" s="1073"/>
      <c r="H255" s="1073"/>
      <c r="I255" s="1073"/>
      <c r="J255" s="1077"/>
    </row>
    <row r="256" spans="1:10" ht="51">
      <c r="A256" s="910" t="s">
        <v>8926</v>
      </c>
      <c r="B256" s="383" t="s">
        <v>9084</v>
      </c>
      <c r="C256" s="383" t="s">
        <v>10263</v>
      </c>
      <c r="D256" s="383" t="s">
        <v>10210</v>
      </c>
      <c r="E256" s="416">
        <v>4500</v>
      </c>
      <c r="F256" s="383" t="s">
        <v>9081</v>
      </c>
      <c r="G256" s="384" t="s">
        <v>10262</v>
      </c>
      <c r="H256" s="385" t="s">
        <v>6350</v>
      </c>
      <c r="I256" s="383" t="s">
        <v>9082</v>
      </c>
      <c r="J256" s="534">
        <v>350000000</v>
      </c>
    </row>
    <row r="257" spans="1:10" ht="51">
      <c r="A257" s="910" t="s">
        <v>8926</v>
      </c>
      <c r="B257" s="383" t="s">
        <v>9085</v>
      </c>
      <c r="C257" s="383" t="s">
        <v>10261</v>
      </c>
      <c r="D257" s="383" t="s">
        <v>10260</v>
      </c>
      <c r="E257" s="416">
        <v>4500</v>
      </c>
      <c r="F257" s="383" t="s">
        <v>10209</v>
      </c>
      <c r="G257" s="384" t="s">
        <v>10244</v>
      </c>
      <c r="H257" s="385" t="s">
        <v>6350</v>
      </c>
      <c r="I257" s="383" t="s">
        <v>9082</v>
      </c>
      <c r="J257" s="534">
        <v>160000000</v>
      </c>
    </row>
    <row r="258" spans="1:10" ht="38.25">
      <c r="A258" s="910" t="s">
        <v>9088</v>
      </c>
      <c r="B258" s="383" t="s">
        <v>9089</v>
      </c>
      <c r="C258" s="383" t="s">
        <v>10259</v>
      </c>
      <c r="D258" s="383" t="s">
        <v>10210</v>
      </c>
      <c r="E258" s="416">
        <v>7000</v>
      </c>
      <c r="F258" s="383" t="s">
        <v>10209</v>
      </c>
      <c r="G258" s="384" t="s">
        <v>10258</v>
      </c>
      <c r="H258" s="385" t="s">
        <v>6350</v>
      </c>
      <c r="I258" s="383" t="s">
        <v>9082</v>
      </c>
      <c r="J258" s="534">
        <v>790000000</v>
      </c>
    </row>
    <row r="259" spans="1:10" ht="51">
      <c r="A259" s="910" t="s">
        <v>9088</v>
      </c>
      <c r="B259" s="383" t="s">
        <v>4239</v>
      </c>
      <c r="C259" s="383" t="s">
        <v>10255</v>
      </c>
      <c r="D259" s="383" t="s">
        <v>10246</v>
      </c>
      <c r="E259" s="416">
        <v>4300</v>
      </c>
      <c r="F259" s="383" t="s">
        <v>10209</v>
      </c>
      <c r="G259" s="384" t="s">
        <v>10254</v>
      </c>
      <c r="H259" s="385" t="s">
        <v>6350</v>
      </c>
      <c r="I259" s="383" t="s">
        <v>9087</v>
      </c>
      <c r="J259" s="534">
        <v>80000000</v>
      </c>
    </row>
    <row r="260" spans="1:10" ht="51">
      <c r="A260" s="910" t="s">
        <v>9088</v>
      </c>
      <c r="B260" s="383" t="s">
        <v>9090</v>
      </c>
      <c r="C260" s="383" t="s">
        <v>10257</v>
      </c>
      <c r="D260" s="383" t="s">
        <v>10246</v>
      </c>
      <c r="E260" s="416">
        <v>2200</v>
      </c>
      <c r="F260" s="383" t="s">
        <v>10209</v>
      </c>
      <c r="G260" s="384" t="s">
        <v>10256</v>
      </c>
      <c r="H260" s="385" t="s">
        <v>6350</v>
      </c>
      <c r="I260" s="383" t="s">
        <v>9087</v>
      </c>
      <c r="J260" s="534">
        <v>70000000</v>
      </c>
    </row>
    <row r="261" spans="1:10" ht="76.5">
      <c r="A261" s="910" t="s">
        <v>3773</v>
      </c>
      <c r="B261" s="383" t="s">
        <v>9092</v>
      </c>
      <c r="C261" s="383" t="s">
        <v>10251</v>
      </c>
      <c r="D261" s="383" t="s">
        <v>9093</v>
      </c>
      <c r="E261" s="416">
        <v>4300</v>
      </c>
      <c r="F261" s="383" t="s">
        <v>10250</v>
      </c>
      <c r="G261" s="417">
        <v>80000000</v>
      </c>
      <c r="H261" s="385" t="s">
        <v>6350</v>
      </c>
      <c r="I261" s="383" t="s">
        <v>10249</v>
      </c>
      <c r="J261" s="534">
        <v>408500000</v>
      </c>
    </row>
    <row r="262" spans="1:10" ht="51">
      <c r="A262" s="910" t="s">
        <v>3773</v>
      </c>
      <c r="B262" s="383" t="s">
        <v>3907</v>
      </c>
      <c r="C262" s="383" t="s">
        <v>10248</v>
      </c>
      <c r="D262" s="383" t="s">
        <v>10210</v>
      </c>
      <c r="E262" s="416">
        <v>3100</v>
      </c>
      <c r="F262" s="383" t="s">
        <v>9081</v>
      </c>
      <c r="G262" s="384" t="s">
        <v>10247</v>
      </c>
      <c r="H262" s="385" t="s">
        <v>6350</v>
      </c>
      <c r="I262" s="383" t="s">
        <v>9082</v>
      </c>
      <c r="J262" s="534">
        <v>850000000</v>
      </c>
    </row>
    <row r="263" spans="1:10" s="339" customFormat="1" ht="76.5">
      <c r="A263" s="910" t="s">
        <v>3773</v>
      </c>
      <c r="B263" s="383" t="s">
        <v>9091</v>
      </c>
      <c r="C263" s="383" t="s">
        <v>10253</v>
      </c>
      <c r="D263" s="383" t="s">
        <v>10252</v>
      </c>
      <c r="E263" s="416">
        <v>11200</v>
      </c>
      <c r="F263" s="383" t="s">
        <v>10250</v>
      </c>
      <c r="G263" s="417">
        <v>690000000</v>
      </c>
      <c r="H263" s="385" t="s">
        <v>6350</v>
      </c>
      <c r="I263" s="383" t="s">
        <v>10249</v>
      </c>
      <c r="J263" s="534">
        <v>1064000000</v>
      </c>
    </row>
    <row r="264" spans="1:10" s="339" customFormat="1" ht="25.5">
      <c r="A264" s="907" t="s">
        <v>10243</v>
      </c>
      <c r="B264" s="40" t="s">
        <v>10242</v>
      </c>
      <c r="C264" s="40" t="s">
        <v>10241</v>
      </c>
      <c r="D264" s="40" t="s">
        <v>10240</v>
      </c>
      <c r="E264" s="40">
        <v>592</v>
      </c>
      <c r="F264" s="40" t="s">
        <v>10214</v>
      </c>
      <c r="G264" s="380">
        <v>53872000</v>
      </c>
      <c r="H264" s="52" t="s">
        <v>6350</v>
      </c>
      <c r="I264" s="40" t="s">
        <v>10213</v>
      </c>
      <c r="J264" s="530">
        <v>38480000</v>
      </c>
    </row>
    <row r="265" spans="1:10" s="339" customFormat="1" ht="63.75">
      <c r="A265" s="910" t="s">
        <v>3773</v>
      </c>
      <c r="B265" s="383" t="s">
        <v>8558</v>
      </c>
      <c r="C265" s="383" t="s">
        <v>9086</v>
      </c>
      <c r="D265" s="383" t="s">
        <v>10246</v>
      </c>
      <c r="E265" s="416">
        <v>2500</v>
      </c>
      <c r="F265" s="383" t="s">
        <v>9081</v>
      </c>
      <c r="G265" s="384" t="s">
        <v>10245</v>
      </c>
      <c r="H265" s="385" t="s">
        <v>6350</v>
      </c>
      <c r="I265" s="383" t="s">
        <v>9087</v>
      </c>
      <c r="J265" s="534">
        <v>85000000</v>
      </c>
    </row>
    <row r="266" spans="1:10" s="339" customFormat="1" ht="25.5">
      <c r="A266" s="907" t="s">
        <v>10229</v>
      </c>
      <c r="B266" s="40" t="s">
        <v>10234</v>
      </c>
      <c r="C266" s="40" t="s">
        <v>10233</v>
      </c>
      <c r="D266" s="40" t="s">
        <v>10232</v>
      </c>
      <c r="E266" s="40">
        <v>1785</v>
      </c>
      <c r="F266" s="40" t="s">
        <v>10231</v>
      </c>
      <c r="G266" s="380">
        <v>87465000</v>
      </c>
      <c r="H266" s="52" t="s">
        <v>6350</v>
      </c>
      <c r="I266" s="40" t="s">
        <v>10230</v>
      </c>
      <c r="J266" s="530">
        <v>62475000</v>
      </c>
    </row>
    <row r="267" spans="1:10" s="339" customFormat="1" ht="25.5">
      <c r="A267" s="907" t="s">
        <v>10229</v>
      </c>
      <c r="B267" s="40" t="s">
        <v>10228</v>
      </c>
      <c r="C267" s="40" t="s">
        <v>10227</v>
      </c>
      <c r="D267" s="40" t="s">
        <v>10215</v>
      </c>
      <c r="E267" s="40">
        <v>1578</v>
      </c>
      <c r="F267" s="40" t="s">
        <v>10214</v>
      </c>
      <c r="G267" s="380">
        <v>77322000</v>
      </c>
      <c r="H267" s="52" t="s">
        <v>6350</v>
      </c>
      <c r="I267" s="40" t="s">
        <v>10213</v>
      </c>
      <c r="J267" s="530">
        <v>55230000</v>
      </c>
    </row>
    <row r="268" spans="1:10" s="339" customFormat="1" ht="25.5">
      <c r="A268" s="907" t="s">
        <v>10229</v>
      </c>
      <c r="B268" s="40" t="s">
        <v>10228</v>
      </c>
      <c r="C268" s="40" t="s">
        <v>10239</v>
      </c>
      <c r="D268" s="40" t="s">
        <v>10236</v>
      </c>
      <c r="E268" s="40">
        <v>250</v>
      </c>
      <c r="F268" s="40" t="s">
        <v>10235</v>
      </c>
      <c r="G268" s="380">
        <v>26000000</v>
      </c>
      <c r="H268" s="52" t="s">
        <v>6350</v>
      </c>
      <c r="I268" s="40" t="s">
        <v>10230</v>
      </c>
      <c r="J268" s="530">
        <v>16250000</v>
      </c>
    </row>
    <row r="269" spans="1:10" s="339" customFormat="1" ht="25.5">
      <c r="A269" s="907" t="s">
        <v>10229</v>
      </c>
      <c r="B269" s="40" t="s">
        <v>10238</v>
      </c>
      <c r="C269" s="40" t="s">
        <v>10237</v>
      </c>
      <c r="D269" s="40" t="s">
        <v>10236</v>
      </c>
      <c r="E269" s="40">
        <v>120</v>
      </c>
      <c r="F269" s="40" t="s">
        <v>10235</v>
      </c>
      <c r="G269" s="380">
        <v>10560000</v>
      </c>
      <c r="H269" s="52" t="s">
        <v>6350</v>
      </c>
      <c r="I269" s="40" t="s">
        <v>10230</v>
      </c>
      <c r="J269" s="530">
        <v>6600000</v>
      </c>
    </row>
    <row r="270" spans="1:10" s="339" customFormat="1" ht="25.5">
      <c r="A270" s="913" t="s">
        <v>10223</v>
      </c>
      <c r="B270" s="391" t="s">
        <v>10222</v>
      </c>
      <c r="C270" s="40" t="s">
        <v>10221</v>
      </c>
      <c r="D270" s="40" t="s">
        <v>10220</v>
      </c>
      <c r="E270" s="40">
        <v>1000</v>
      </c>
      <c r="F270" s="40" t="s">
        <v>10219</v>
      </c>
      <c r="G270" s="380">
        <v>145600000</v>
      </c>
      <c r="H270" s="52" t="s">
        <v>6350</v>
      </c>
      <c r="I270" s="40" t="s">
        <v>10218</v>
      </c>
      <c r="J270" s="530">
        <v>104000000</v>
      </c>
    </row>
    <row r="271" spans="1:10" s="339" customFormat="1" ht="25.5">
      <c r="A271" s="913" t="s">
        <v>10223</v>
      </c>
      <c r="B271" s="391" t="s">
        <v>10222</v>
      </c>
      <c r="C271" s="40" t="s">
        <v>10226</v>
      </c>
      <c r="D271" s="40" t="s">
        <v>1633</v>
      </c>
      <c r="E271" s="40">
        <v>500</v>
      </c>
      <c r="F271" s="40" t="s">
        <v>10225</v>
      </c>
      <c r="G271" s="380">
        <v>72800000</v>
      </c>
      <c r="H271" s="52" t="s">
        <v>6350</v>
      </c>
      <c r="I271" s="40" t="s">
        <v>10224</v>
      </c>
      <c r="J271" s="530">
        <v>52000000</v>
      </c>
    </row>
    <row r="272" spans="1:10" s="339" customFormat="1" ht="25.5">
      <c r="A272" s="907" t="s">
        <v>10217</v>
      </c>
      <c r="B272" s="40" t="s">
        <v>742</v>
      </c>
      <c r="C272" s="40" t="s">
        <v>10216</v>
      </c>
      <c r="D272" s="40" t="s">
        <v>10215</v>
      </c>
      <c r="E272" s="40">
        <v>3219</v>
      </c>
      <c r="F272" s="40" t="s">
        <v>10214</v>
      </c>
      <c r="G272" s="380">
        <v>157731000</v>
      </c>
      <c r="H272" s="52" t="s">
        <v>6350</v>
      </c>
      <c r="I272" s="40" t="s">
        <v>10213</v>
      </c>
      <c r="J272" s="530">
        <v>112665000</v>
      </c>
    </row>
    <row r="273" spans="1:10" s="339" customFormat="1" ht="51">
      <c r="A273" s="910" t="s">
        <v>4950</v>
      </c>
      <c r="B273" s="383" t="s">
        <v>4950</v>
      </c>
      <c r="C273" s="383" t="s">
        <v>10211</v>
      </c>
      <c r="D273" s="383" t="s">
        <v>10210</v>
      </c>
      <c r="E273" s="416">
        <v>2600</v>
      </c>
      <c r="F273" s="383" t="s">
        <v>10209</v>
      </c>
      <c r="G273" s="384" t="s">
        <v>10208</v>
      </c>
      <c r="H273" s="385" t="s">
        <v>6350</v>
      </c>
      <c r="I273" s="383" t="s">
        <v>9083</v>
      </c>
      <c r="J273" s="534">
        <v>250000000</v>
      </c>
    </row>
    <row r="274" spans="1:10" s="339" customFormat="1" ht="38.25">
      <c r="A274" s="910" t="s">
        <v>4950</v>
      </c>
      <c r="B274" s="383" t="s">
        <v>4950</v>
      </c>
      <c r="C274" s="383" t="s">
        <v>10212</v>
      </c>
      <c r="D274" s="383" t="s">
        <v>10210</v>
      </c>
      <c r="E274" s="416">
        <v>1500</v>
      </c>
      <c r="F274" s="383" t="s">
        <v>10209</v>
      </c>
      <c r="G274" s="417">
        <v>140000000</v>
      </c>
      <c r="H274" s="385" t="s">
        <v>6350</v>
      </c>
      <c r="I274" s="383" t="s">
        <v>9082</v>
      </c>
      <c r="J274" s="534">
        <v>180000000</v>
      </c>
    </row>
    <row r="275" spans="1:10" s="339" customFormat="1" ht="12.75">
      <c r="A275" s="1084" t="s">
        <v>189</v>
      </c>
      <c r="B275" s="1085"/>
      <c r="C275" s="1085"/>
      <c r="D275" s="1085"/>
      <c r="E275" s="1085"/>
      <c r="F275" s="1085"/>
      <c r="G275" s="414">
        <f>SUM(G256:G274)</f>
        <v>1541350000</v>
      </c>
      <c r="H275" s="415"/>
      <c r="I275" s="572"/>
      <c r="J275" s="926">
        <f>SUM(J256:J274)</f>
        <v>4735200000</v>
      </c>
    </row>
    <row r="276" spans="1:10" s="339" customFormat="1" ht="12.75">
      <c r="A276" s="1072" t="s">
        <v>7778</v>
      </c>
      <c r="B276" s="1073"/>
      <c r="C276" s="1073"/>
      <c r="D276" s="1073"/>
      <c r="E276" s="1073"/>
      <c r="F276" s="1073"/>
      <c r="G276" s="1073"/>
      <c r="H276" s="1073"/>
      <c r="I276" s="1073"/>
      <c r="J276" s="1077"/>
    </row>
    <row r="277" spans="1:10" s="339" customFormat="1" ht="38.25">
      <c r="A277" s="913" t="s">
        <v>4849</v>
      </c>
      <c r="B277" s="391" t="s">
        <v>8634</v>
      </c>
      <c r="C277" s="391" t="s">
        <v>10383</v>
      </c>
      <c r="D277" s="418" t="s">
        <v>953</v>
      </c>
      <c r="E277" s="391" t="s">
        <v>10382</v>
      </c>
      <c r="F277" s="418" t="s">
        <v>8637</v>
      </c>
      <c r="G277" s="392">
        <v>63944999.999999993</v>
      </c>
      <c r="H277" s="52" t="s">
        <v>6350</v>
      </c>
      <c r="I277" s="40" t="s">
        <v>10381</v>
      </c>
      <c r="J277" s="530">
        <v>45675000</v>
      </c>
    </row>
    <row r="278" spans="1:10" s="339" customFormat="1" ht="25.5">
      <c r="A278" s="927" t="s">
        <v>4849</v>
      </c>
      <c r="B278" s="419" t="s">
        <v>9106</v>
      </c>
      <c r="C278" s="419" t="s">
        <v>9107</v>
      </c>
      <c r="D278" s="419" t="s">
        <v>9095</v>
      </c>
      <c r="E278" s="420" t="s">
        <v>9108</v>
      </c>
      <c r="F278" s="419" t="s">
        <v>9105</v>
      </c>
      <c r="G278" s="421">
        <v>160000000</v>
      </c>
      <c r="H278" s="422">
        <v>1</v>
      </c>
      <c r="I278" s="419" t="s">
        <v>9098</v>
      </c>
      <c r="J278" s="928">
        <v>160000000</v>
      </c>
    </row>
    <row r="279" spans="1:10" s="339" customFormat="1" ht="38.25">
      <c r="A279" s="913" t="s">
        <v>4849</v>
      </c>
      <c r="B279" s="391" t="s">
        <v>10199</v>
      </c>
      <c r="C279" s="391" t="s">
        <v>10378</v>
      </c>
      <c r="D279" s="418" t="s">
        <v>953</v>
      </c>
      <c r="E279" s="391" t="s">
        <v>10377</v>
      </c>
      <c r="F279" s="418" t="s">
        <v>8580</v>
      </c>
      <c r="G279" s="392">
        <v>125047999.99999999</v>
      </c>
      <c r="H279" s="52" t="s">
        <v>6350</v>
      </c>
      <c r="I279" s="40" t="s">
        <v>10372</v>
      </c>
      <c r="J279" s="530">
        <v>89320000</v>
      </c>
    </row>
    <row r="280" spans="1:10" s="339" customFormat="1" ht="38.25">
      <c r="A280" s="913" t="s">
        <v>4849</v>
      </c>
      <c r="B280" s="391" t="s">
        <v>10199</v>
      </c>
      <c r="C280" s="391" t="s">
        <v>10374</v>
      </c>
      <c r="D280" s="418" t="s">
        <v>953</v>
      </c>
      <c r="E280" s="391" t="s">
        <v>10373</v>
      </c>
      <c r="F280" s="418" t="s">
        <v>8580</v>
      </c>
      <c r="G280" s="392">
        <v>45472000</v>
      </c>
      <c r="H280" s="52" t="s">
        <v>6350</v>
      </c>
      <c r="I280" s="40" t="s">
        <v>10372</v>
      </c>
      <c r="J280" s="530">
        <v>32480000</v>
      </c>
    </row>
    <row r="281" spans="1:10" s="339" customFormat="1" ht="38.25">
      <c r="A281" s="913" t="s">
        <v>4849</v>
      </c>
      <c r="B281" s="391" t="s">
        <v>10199</v>
      </c>
      <c r="C281" s="391" t="s">
        <v>10376</v>
      </c>
      <c r="D281" s="418" t="s">
        <v>953</v>
      </c>
      <c r="E281" s="391" t="s">
        <v>10375</v>
      </c>
      <c r="F281" s="418" t="s">
        <v>8580</v>
      </c>
      <c r="G281" s="392">
        <v>63944999.999999993</v>
      </c>
      <c r="H281" s="52" t="s">
        <v>6350</v>
      </c>
      <c r="I281" s="40" t="s">
        <v>10372</v>
      </c>
      <c r="J281" s="530">
        <v>45675000</v>
      </c>
    </row>
    <row r="282" spans="1:10" s="339" customFormat="1" ht="38.25">
      <c r="A282" s="913" t="s">
        <v>4849</v>
      </c>
      <c r="B282" s="391" t="s">
        <v>7827</v>
      </c>
      <c r="C282" s="391" t="s">
        <v>10380</v>
      </c>
      <c r="D282" s="418" t="s">
        <v>953</v>
      </c>
      <c r="E282" s="391" t="s">
        <v>10379</v>
      </c>
      <c r="F282" s="418" t="s">
        <v>8580</v>
      </c>
      <c r="G282" s="392">
        <v>149205000</v>
      </c>
      <c r="H282" s="52" t="s">
        <v>6350</v>
      </c>
      <c r="I282" s="40" t="s">
        <v>10372</v>
      </c>
      <c r="J282" s="530">
        <v>106575000</v>
      </c>
    </row>
    <row r="283" spans="1:10" s="339" customFormat="1" ht="25.5">
      <c r="A283" s="913" t="s">
        <v>4848</v>
      </c>
      <c r="B283" s="391" t="s">
        <v>9099</v>
      </c>
      <c r="C283" s="391" t="s">
        <v>10367</v>
      </c>
      <c r="D283" s="418" t="s">
        <v>9095</v>
      </c>
      <c r="E283" s="391" t="s">
        <v>10366</v>
      </c>
      <c r="F283" s="418" t="s">
        <v>10354</v>
      </c>
      <c r="G283" s="392">
        <v>87360000</v>
      </c>
      <c r="H283" s="52" t="s">
        <v>6350</v>
      </c>
      <c r="I283" s="40" t="s">
        <v>6397</v>
      </c>
      <c r="J283" s="530">
        <v>62400000</v>
      </c>
    </row>
    <row r="284" spans="1:10" ht="25.5">
      <c r="A284" s="929" t="s">
        <v>4848</v>
      </c>
      <c r="B284" s="423" t="s">
        <v>7837</v>
      </c>
      <c r="C284" s="423" t="s">
        <v>9094</v>
      </c>
      <c r="D284" s="423" t="s">
        <v>9095</v>
      </c>
      <c r="E284" s="424" t="s">
        <v>9096</v>
      </c>
      <c r="F284" s="423" t="s">
        <v>9097</v>
      </c>
      <c r="G284" s="425">
        <v>123750000</v>
      </c>
      <c r="H284" s="329">
        <v>1</v>
      </c>
      <c r="I284" s="423" t="s">
        <v>9098</v>
      </c>
      <c r="J284" s="930">
        <v>123750000</v>
      </c>
    </row>
    <row r="285" spans="1:10" ht="25.5">
      <c r="A285" s="913" t="s">
        <v>4848</v>
      </c>
      <c r="B285" s="391" t="s">
        <v>10365</v>
      </c>
      <c r="C285" s="391" t="s">
        <v>10364</v>
      </c>
      <c r="D285" s="418" t="s">
        <v>9095</v>
      </c>
      <c r="E285" s="391" t="s">
        <v>10363</v>
      </c>
      <c r="F285" s="418" t="s">
        <v>10354</v>
      </c>
      <c r="G285" s="392">
        <v>174720000</v>
      </c>
      <c r="H285" s="52" t="s">
        <v>6350</v>
      </c>
      <c r="I285" s="40" t="s">
        <v>6397</v>
      </c>
      <c r="J285" s="530">
        <v>124800000</v>
      </c>
    </row>
    <row r="286" spans="1:10" ht="25.5">
      <c r="A286" s="913" t="s">
        <v>4848</v>
      </c>
      <c r="B286" s="391" t="s">
        <v>10371</v>
      </c>
      <c r="C286" s="391" t="s">
        <v>10370</v>
      </c>
      <c r="D286" s="418" t="s">
        <v>953</v>
      </c>
      <c r="E286" s="391" t="s">
        <v>10355</v>
      </c>
      <c r="F286" s="418" t="s">
        <v>10369</v>
      </c>
      <c r="G286" s="392">
        <v>106400000</v>
      </c>
      <c r="H286" s="52" t="s">
        <v>6350</v>
      </c>
      <c r="I286" s="40" t="s">
        <v>10368</v>
      </c>
      <c r="J286" s="530">
        <v>76000000</v>
      </c>
    </row>
    <row r="287" spans="1:10" ht="25.5">
      <c r="A287" s="913" t="s">
        <v>5326</v>
      </c>
      <c r="B287" s="391" t="s">
        <v>10359</v>
      </c>
      <c r="C287" s="391" t="s">
        <v>10358</v>
      </c>
      <c r="D287" s="418" t="s">
        <v>9095</v>
      </c>
      <c r="E287" s="391" t="s">
        <v>10357</v>
      </c>
      <c r="F287" s="418" t="s">
        <v>10354</v>
      </c>
      <c r="G287" s="392">
        <v>43680000</v>
      </c>
      <c r="H287" s="52" t="s">
        <v>6350</v>
      </c>
      <c r="I287" s="40" t="s">
        <v>6397</v>
      </c>
      <c r="J287" s="530">
        <v>31200000</v>
      </c>
    </row>
    <row r="288" spans="1:10" ht="25.5">
      <c r="A288" s="913" t="s">
        <v>5326</v>
      </c>
      <c r="B288" s="391" t="s">
        <v>9101</v>
      </c>
      <c r="C288" s="391" t="s">
        <v>10356</v>
      </c>
      <c r="D288" s="418" t="s">
        <v>9095</v>
      </c>
      <c r="E288" s="391" t="s">
        <v>10355</v>
      </c>
      <c r="F288" s="418" t="s">
        <v>10354</v>
      </c>
      <c r="G288" s="392">
        <v>58240000</v>
      </c>
      <c r="H288" s="52" t="s">
        <v>6350</v>
      </c>
      <c r="I288" s="40" t="s">
        <v>6397</v>
      </c>
      <c r="J288" s="530">
        <v>41600000</v>
      </c>
    </row>
    <row r="289" spans="1:10" ht="25.5">
      <c r="A289" s="927" t="s">
        <v>5326</v>
      </c>
      <c r="B289" s="419" t="s">
        <v>7790</v>
      </c>
      <c r="C289" s="419" t="s">
        <v>9103</v>
      </c>
      <c r="D289" s="419" t="s">
        <v>9095</v>
      </c>
      <c r="E289" s="420" t="s">
        <v>9104</v>
      </c>
      <c r="F289" s="419" t="s">
        <v>9105</v>
      </c>
      <c r="G289" s="421">
        <v>30000000</v>
      </c>
      <c r="H289" s="422">
        <v>1</v>
      </c>
      <c r="I289" s="419" t="s">
        <v>9098</v>
      </c>
      <c r="J289" s="928">
        <v>30000000</v>
      </c>
    </row>
    <row r="290" spans="1:10" ht="25.5">
      <c r="A290" s="927" t="s">
        <v>5326</v>
      </c>
      <c r="B290" s="419" t="s">
        <v>7786</v>
      </c>
      <c r="C290" s="419" t="s">
        <v>9102</v>
      </c>
      <c r="D290" s="419" t="s">
        <v>9095</v>
      </c>
      <c r="E290" s="420" t="s">
        <v>9096</v>
      </c>
      <c r="F290" s="419" t="s">
        <v>9100</v>
      </c>
      <c r="G290" s="421">
        <v>247500000</v>
      </c>
      <c r="H290" s="422">
        <v>1</v>
      </c>
      <c r="I290" s="419" t="s">
        <v>9098</v>
      </c>
      <c r="J290" s="928">
        <v>247500000</v>
      </c>
    </row>
    <row r="291" spans="1:10" ht="38.25">
      <c r="A291" s="913" t="s">
        <v>5326</v>
      </c>
      <c r="B291" s="391" t="s">
        <v>2969</v>
      </c>
      <c r="C291" s="391" t="s">
        <v>10362</v>
      </c>
      <c r="D291" s="418" t="s">
        <v>953</v>
      </c>
      <c r="E291" s="391" t="s">
        <v>10361</v>
      </c>
      <c r="F291" s="40" t="s">
        <v>8616</v>
      </c>
      <c r="G291" s="392">
        <v>76734000</v>
      </c>
      <c r="H291" s="52" t="s">
        <v>6350</v>
      </c>
      <c r="I291" s="40" t="s">
        <v>10360</v>
      </c>
      <c r="J291" s="530">
        <v>54810000</v>
      </c>
    </row>
    <row r="292" spans="1:10">
      <c r="A292" s="1084" t="s">
        <v>189</v>
      </c>
      <c r="B292" s="1085"/>
      <c r="C292" s="1085"/>
      <c r="D292" s="1085"/>
      <c r="E292" s="1085"/>
      <c r="F292" s="1085"/>
      <c r="G292" s="414">
        <f>SUM(G277:G291)</f>
        <v>1555999000</v>
      </c>
      <c r="H292" s="415"/>
      <c r="I292" s="572"/>
      <c r="J292" s="926">
        <f>SUM(J277:J291)</f>
        <v>1271785000</v>
      </c>
    </row>
    <row r="293" spans="1:10" ht="15" customHeight="1">
      <c r="A293" s="1072" t="s">
        <v>7856</v>
      </c>
      <c r="B293" s="1073"/>
      <c r="C293" s="1073"/>
      <c r="D293" s="1073"/>
      <c r="E293" s="1073"/>
      <c r="F293" s="1073"/>
      <c r="G293" s="1073"/>
      <c r="H293" s="1073"/>
      <c r="I293" s="1073"/>
      <c r="J293" s="1077"/>
    </row>
    <row r="294" spans="1:10" ht="38.25">
      <c r="A294" s="907" t="s">
        <v>7871</v>
      </c>
      <c r="B294" s="40" t="s">
        <v>7558</v>
      </c>
      <c r="C294" s="40" t="s">
        <v>9142</v>
      </c>
      <c r="D294" s="40" t="s">
        <v>9139</v>
      </c>
      <c r="E294" s="40" t="s">
        <v>9143</v>
      </c>
      <c r="F294" s="40" t="s">
        <v>9144</v>
      </c>
      <c r="G294" s="380">
        <v>25000000</v>
      </c>
      <c r="H294" s="52">
        <v>1</v>
      </c>
      <c r="I294" s="40" t="s">
        <v>9145</v>
      </c>
      <c r="J294" s="530">
        <v>18000000</v>
      </c>
    </row>
    <row r="295" spans="1:10" ht="38.25">
      <c r="A295" s="907" t="s">
        <v>7871</v>
      </c>
      <c r="B295" s="40" t="s">
        <v>9109</v>
      </c>
      <c r="C295" s="40" t="s">
        <v>9110</v>
      </c>
      <c r="D295" s="40" t="s">
        <v>9111</v>
      </c>
      <c r="E295" s="40" t="s">
        <v>9112</v>
      </c>
      <c r="F295" s="40" t="s">
        <v>9113</v>
      </c>
      <c r="G295" s="380">
        <v>30000000</v>
      </c>
      <c r="H295" s="52">
        <v>1</v>
      </c>
      <c r="I295" s="40" t="s">
        <v>9114</v>
      </c>
      <c r="J295" s="530">
        <v>18000000</v>
      </c>
    </row>
    <row r="296" spans="1:10" ht="38.25">
      <c r="A296" s="907" t="s">
        <v>7871</v>
      </c>
      <c r="B296" s="40" t="s">
        <v>1169</v>
      </c>
      <c r="C296" s="40" t="s">
        <v>9115</v>
      </c>
      <c r="D296" s="40" t="s">
        <v>9116</v>
      </c>
      <c r="E296" s="40" t="s">
        <v>9117</v>
      </c>
      <c r="F296" s="40" t="s">
        <v>9118</v>
      </c>
      <c r="G296" s="380">
        <v>15000000</v>
      </c>
      <c r="H296" s="52">
        <v>1</v>
      </c>
      <c r="I296" s="40" t="s">
        <v>9119</v>
      </c>
      <c r="J296" s="530">
        <v>13500000</v>
      </c>
    </row>
    <row r="297" spans="1:10" ht="38.25">
      <c r="A297" s="907" t="s">
        <v>7877</v>
      </c>
      <c r="B297" s="40" t="s">
        <v>9120</v>
      </c>
      <c r="C297" s="40" t="s">
        <v>8673</v>
      </c>
      <c r="D297" s="40" t="s">
        <v>9121</v>
      </c>
      <c r="E297" s="40" t="s">
        <v>9122</v>
      </c>
      <c r="F297" s="40" t="s">
        <v>9123</v>
      </c>
      <c r="G297" s="380">
        <v>12000000</v>
      </c>
      <c r="H297" s="52">
        <v>1</v>
      </c>
      <c r="I297" s="40" t="s">
        <v>9124</v>
      </c>
      <c r="J297" s="530">
        <v>9000000</v>
      </c>
    </row>
    <row r="298" spans="1:10" ht="25.5">
      <c r="A298" s="907" t="s">
        <v>7877</v>
      </c>
      <c r="B298" s="40" t="s">
        <v>9110</v>
      </c>
      <c r="C298" s="40" t="s">
        <v>9125</v>
      </c>
      <c r="D298" s="40" t="s">
        <v>9111</v>
      </c>
      <c r="E298" s="40" t="s">
        <v>9126</v>
      </c>
      <c r="F298" s="40" t="s">
        <v>9127</v>
      </c>
      <c r="G298" s="380">
        <v>8000000</v>
      </c>
      <c r="H298" s="52">
        <v>1</v>
      </c>
      <c r="I298" s="40" t="s">
        <v>9128</v>
      </c>
      <c r="J298" s="530">
        <v>6000000</v>
      </c>
    </row>
    <row r="299" spans="1:10" ht="38.25">
      <c r="A299" s="907" t="s">
        <v>7857</v>
      </c>
      <c r="B299" s="40" t="s">
        <v>8946</v>
      </c>
      <c r="C299" s="40" t="s">
        <v>9129</v>
      </c>
      <c r="D299" s="40" t="s">
        <v>9130</v>
      </c>
      <c r="E299" s="40" t="s">
        <v>9122</v>
      </c>
      <c r="F299" s="40" t="s">
        <v>9131</v>
      </c>
      <c r="G299" s="380">
        <v>8000000</v>
      </c>
      <c r="H299" s="52">
        <v>1</v>
      </c>
      <c r="I299" s="40" t="s">
        <v>9128</v>
      </c>
      <c r="J299" s="530">
        <v>13500000</v>
      </c>
    </row>
    <row r="300" spans="1:10" ht="38.25">
      <c r="A300" s="907" t="s">
        <v>7857</v>
      </c>
      <c r="B300" s="40" t="s">
        <v>1998</v>
      </c>
      <c r="C300" s="40" t="s">
        <v>9134</v>
      </c>
      <c r="D300" s="40" t="s">
        <v>9135</v>
      </c>
      <c r="E300" s="40" t="s">
        <v>9112</v>
      </c>
      <c r="F300" s="40" t="s">
        <v>9136</v>
      </c>
      <c r="G300" s="380">
        <v>25000000</v>
      </c>
      <c r="H300" s="52">
        <v>1</v>
      </c>
      <c r="I300" s="40" t="s">
        <v>9137</v>
      </c>
      <c r="J300" s="530">
        <v>25000000</v>
      </c>
    </row>
    <row r="301" spans="1:10" ht="51">
      <c r="A301" s="907" t="s">
        <v>7857</v>
      </c>
      <c r="B301" s="40" t="s">
        <v>1754</v>
      </c>
      <c r="C301" s="40" t="s">
        <v>9138</v>
      </c>
      <c r="D301" s="40" t="s">
        <v>9139</v>
      </c>
      <c r="E301" s="40" t="s">
        <v>9117</v>
      </c>
      <c r="F301" s="40" t="s">
        <v>9140</v>
      </c>
      <c r="G301" s="380">
        <v>19000000</v>
      </c>
      <c r="H301" s="52">
        <v>1</v>
      </c>
      <c r="I301" s="40" t="s">
        <v>9141</v>
      </c>
      <c r="J301" s="530">
        <v>22500000</v>
      </c>
    </row>
    <row r="302" spans="1:10" ht="51">
      <c r="A302" s="907" t="s">
        <v>7857</v>
      </c>
      <c r="B302" s="40" t="s">
        <v>8671</v>
      </c>
      <c r="C302" s="40" t="s">
        <v>8673</v>
      </c>
      <c r="D302" s="40" t="s">
        <v>9111</v>
      </c>
      <c r="E302" s="40" t="s">
        <v>9122</v>
      </c>
      <c r="F302" s="40" t="s">
        <v>9132</v>
      </c>
      <c r="G302" s="380">
        <v>15000000</v>
      </c>
      <c r="H302" s="52">
        <v>1</v>
      </c>
      <c r="I302" s="40" t="s">
        <v>9133</v>
      </c>
      <c r="J302" s="530">
        <v>13500000</v>
      </c>
    </row>
    <row r="303" spans="1:10">
      <c r="A303" s="1084" t="s">
        <v>189</v>
      </c>
      <c r="B303" s="1085"/>
      <c r="C303" s="1085"/>
      <c r="D303" s="1085"/>
      <c r="E303" s="1085"/>
      <c r="F303" s="1085"/>
      <c r="G303" s="414">
        <f>SUM(G294:G302)</f>
        <v>157000000</v>
      </c>
      <c r="H303" s="415"/>
      <c r="I303" s="572"/>
      <c r="J303" s="926">
        <f>SUM(J294:J302)</f>
        <v>139000000</v>
      </c>
    </row>
    <row r="304" spans="1:10">
      <c r="A304" s="1072" t="s">
        <v>7901</v>
      </c>
      <c r="B304" s="1073"/>
      <c r="C304" s="1073"/>
      <c r="D304" s="1073"/>
      <c r="E304" s="1073"/>
      <c r="F304" s="1073"/>
      <c r="G304" s="1073"/>
      <c r="H304" s="1073"/>
      <c r="I304" s="1073"/>
      <c r="J304" s="1077"/>
    </row>
    <row r="305" spans="1:10" ht="38.25">
      <c r="A305" s="907" t="s">
        <v>4738</v>
      </c>
      <c r="B305" s="84" t="s">
        <v>9160</v>
      </c>
      <c r="C305" s="40" t="s">
        <v>9161</v>
      </c>
      <c r="D305" s="84" t="s">
        <v>565</v>
      </c>
      <c r="E305" s="40">
        <v>1000</v>
      </c>
      <c r="F305" s="84" t="s">
        <v>9162</v>
      </c>
      <c r="G305" s="426">
        <v>15000000</v>
      </c>
      <c r="H305" s="84">
        <v>3</v>
      </c>
      <c r="I305" s="84" t="s">
        <v>9163</v>
      </c>
      <c r="J305" s="931">
        <v>25000000</v>
      </c>
    </row>
    <row r="306" spans="1:10" ht="38.25">
      <c r="A306" s="932" t="s">
        <v>9983</v>
      </c>
      <c r="B306" s="40" t="s">
        <v>10292</v>
      </c>
      <c r="C306" s="40" t="s">
        <v>10291</v>
      </c>
      <c r="D306" s="40" t="s">
        <v>10290</v>
      </c>
      <c r="E306" s="40">
        <v>800</v>
      </c>
      <c r="F306" s="40" t="s">
        <v>10289</v>
      </c>
      <c r="G306" s="380" t="s">
        <v>10288</v>
      </c>
      <c r="H306" s="52" t="s">
        <v>6350</v>
      </c>
      <c r="I306" s="40" t="s">
        <v>10287</v>
      </c>
      <c r="J306" s="530" t="s">
        <v>10286</v>
      </c>
    </row>
    <row r="307" spans="1:10" s="339" customFormat="1" ht="51">
      <c r="A307" s="907" t="s">
        <v>4738</v>
      </c>
      <c r="B307" s="40" t="s">
        <v>5264</v>
      </c>
      <c r="C307" s="40" t="s">
        <v>3287</v>
      </c>
      <c r="D307" s="40" t="s">
        <v>962</v>
      </c>
      <c r="E307" s="40" t="s">
        <v>23469</v>
      </c>
      <c r="F307" s="40" t="s">
        <v>9148</v>
      </c>
      <c r="G307" s="380">
        <v>0</v>
      </c>
      <c r="H307" s="427" t="s">
        <v>25229</v>
      </c>
      <c r="I307" s="40" t="s">
        <v>9149</v>
      </c>
      <c r="J307" s="530">
        <v>0</v>
      </c>
    </row>
    <row r="308" spans="1:10" s="339" customFormat="1" ht="25.5">
      <c r="A308" s="907" t="s">
        <v>9983</v>
      </c>
      <c r="B308" s="40" t="s">
        <v>10270</v>
      </c>
      <c r="C308" s="40" t="s">
        <v>10352</v>
      </c>
      <c r="D308" s="40" t="s">
        <v>10268</v>
      </c>
      <c r="E308" s="40">
        <v>200</v>
      </c>
      <c r="F308" s="40" t="s">
        <v>10351</v>
      </c>
      <c r="G308" s="380">
        <v>29120000</v>
      </c>
      <c r="H308" s="52" t="s">
        <v>6350</v>
      </c>
      <c r="I308" s="40" t="s">
        <v>10265</v>
      </c>
      <c r="J308" s="530">
        <v>20800000</v>
      </c>
    </row>
    <row r="309" spans="1:10" s="339" customFormat="1" ht="25.5">
      <c r="A309" s="932" t="s">
        <v>9983</v>
      </c>
      <c r="B309" s="40" t="s">
        <v>10270</v>
      </c>
      <c r="C309" s="40" t="s">
        <v>10269</v>
      </c>
      <c r="D309" s="40" t="s">
        <v>10268</v>
      </c>
      <c r="E309" s="40">
        <v>400</v>
      </c>
      <c r="F309" s="40" t="s">
        <v>10267</v>
      </c>
      <c r="G309" s="380" t="s">
        <v>10266</v>
      </c>
      <c r="H309" s="52" t="s">
        <v>6350</v>
      </c>
      <c r="I309" s="40" t="s">
        <v>10265</v>
      </c>
      <c r="J309" s="530" t="s">
        <v>10264</v>
      </c>
    </row>
    <row r="310" spans="1:10" s="339" customFormat="1" ht="25.5">
      <c r="A310" s="932" t="s">
        <v>9983</v>
      </c>
      <c r="B310" s="40" t="s">
        <v>10316</v>
      </c>
      <c r="C310" s="40" t="s">
        <v>10323</v>
      </c>
      <c r="D310" s="40" t="s">
        <v>1633</v>
      </c>
      <c r="E310" s="40">
        <v>120</v>
      </c>
      <c r="F310" s="40" t="s">
        <v>10295</v>
      </c>
      <c r="G310" s="380" t="s">
        <v>10322</v>
      </c>
      <c r="H310" s="52" t="s">
        <v>6350</v>
      </c>
      <c r="I310" s="40" t="s">
        <v>10294</v>
      </c>
      <c r="J310" s="530" t="s">
        <v>10321</v>
      </c>
    </row>
    <row r="311" spans="1:10" s="339" customFormat="1" ht="12.75" customHeight="1">
      <c r="A311" s="932" t="s">
        <v>9983</v>
      </c>
      <c r="B311" s="40" t="s">
        <v>10316</v>
      </c>
      <c r="C311" s="40" t="s">
        <v>10315</v>
      </c>
      <c r="D311" s="40" t="s">
        <v>1633</v>
      </c>
      <c r="E311" s="40">
        <v>100</v>
      </c>
      <c r="F311" s="40" t="s">
        <v>10295</v>
      </c>
      <c r="G311" s="380" t="s">
        <v>10314</v>
      </c>
      <c r="H311" s="52" t="s">
        <v>6350</v>
      </c>
      <c r="I311" s="40" t="s">
        <v>10294</v>
      </c>
      <c r="J311" s="530" t="s">
        <v>10313</v>
      </c>
    </row>
    <row r="312" spans="1:10" s="339" customFormat="1" ht="25.5">
      <c r="A312" s="932" t="s">
        <v>9983</v>
      </c>
      <c r="B312" s="40" t="s">
        <v>10316</v>
      </c>
      <c r="C312" s="40" t="s">
        <v>10324</v>
      </c>
      <c r="D312" s="40" t="s">
        <v>1633</v>
      </c>
      <c r="E312" s="40">
        <v>100</v>
      </c>
      <c r="F312" s="40" t="s">
        <v>10295</v>
      </c>
      <c r="G312" s="380" t="s">
        <v>10321</v>
      </c>
      <c r="H312" s="52" t="s">
        <v>6350</v>
      </c>
      <c r="I312" s="40" t="s">
        <v>10294</v>
      </c>
      <c r="J312" s="530" t="s">
        <v>10313</v>
      </c>
    </row>
    <row r="313" spans="1:10" s="339" customFormat="1" ht="25.5">
      <c r="A313" s="932" t="s">
        <v>9983</v>
      </c>
      <c r="B313" s="40" t="s">
        <v>10316</v>
      </c>
      <c r="C313" s="40" t="s">
        <v>10320</v>
      </c>
      <c r="D313" s="40" t="s">
        <v>1633</v>
      </c>
      <c r="E313" s="40">
        <v>300</v>
      </c>
      <c r="F313" s="40" t="s">
        <v>7225</v>
      </c>
      <c r="G313" s="380" t="s">
        <v>10319</v>
      </c>
      <c r="H313" s="52" t="s">
        <v>6350</v>
      </c>
      <c r="I313" s="40" t="s">
        <v>10318</v>
      </c>
      <c r="J313" s="530" t="s">
        <v>10317</v>
      </c>
    </row>
    <row r="314" spans="1:10" s="339" customFormat="1" ht="51">
      <c r="A314" s="907" t="s">
        <v>4738</v>
      </c>
      <c r="B314" s="40" t="s">
        <v>9151</v>
      </c>
      <c r="C314" s="40" t="s">
        <v>3287</v>
      </c>
      <c r="D314" s="40" t="s">
        <v>962</v>
      </c>
      <c r="E314" s="40" t="s">
        <v>23467</v>
      </c>
      <c r="F314" s="40" t="s">
        <v>9148</v>
      </c>
      <c r="G314" s="380">
        <v>0</v>
      </c>
      <c r="H314" s="427" t="s">
        <v>25229</v>
      </c>
      <c r="I314" s="40" t="s">
        <v>9149</v>
      </c>
      <c r="J314" s="530">
        <v>0</v>
      </c>
    </row>
    <row r="315" spans="1:10" s="339" customFormat="1" ht="51">
      <c r="A315" s="907" t="s">
        <v>4738</v>
      </c>
      <c r="B315" s="40" t="s">
        <v>1998</v>
      </c>
      <c r="C315" s="40" t="s">
        <v>3287</v>
      </c>
      <c r="D315" s="40" t="s">
        <v>962</v>
      </c>
      <c r="E315" s="40" t="s">
        <v>23473</v>
      </c>
      <c r="F315" s="40" t="s">
        <v>9148</v>
      </c>
      <c r="G315" s="380">
        <v>0</v>
      </c>
      <c r="H315" s="427" t="s">
        <v>25229</v>
      </c>
      <c r="I315" s="40" t="s">
        <v>9149</v>
      </c>
      <c r="J315" s="530">
        <v>0</v>
      </c>
    </row>
    <row r="316" spans="1:10" s="339" customFormat="1" ht="38.25">
      <c r="A316" s="907" t="s">
        <v>9983</v>
      </c>
      <c r="B316" s="40" t="s">
        <v>10329</v>
      </c>
      <c r="C316" s="40" t="s">
        <v>10328</v>
      </c>
      <c r="D316" s="40" t="s">
        <v>10325</v>
      </c>
      <c r="E316" s="40">
        <v>1200</v>
      </c>
      <c r="F316" s="40" t="s">
        <v>10289</v>
      </c>
      <c r="G316" s="380">
        <v>174720000</v>
      </c>
      <c r="H316" s="52" t="s">
        <v>6350</v>
      </c>
      <c r="I316" s="40" t="s">
        <v>10287</v>
      </c>
      <c r="J316" s="530">
        <v>124800000</v>
      </c>
    </row>
    <row r="317" spans="1:10" s="339" customFormat="1" ht="51">
      <c r="A317" s="907" t="s">
        <v>4738</v>
      </c>
      <c r="B317" s="40" t="s">
        <v>9153</v>
      </c>
      <c r="C317" s="40" t="s">
        <v>3287</v>
      </c>
      <c r="D317" s="40" t="s">
        <v>962</v>
      </c>
      <c r="E317" s="40" t="s">
        <v>23470</v>
      </c>
      <c r="F317" s="40" t="s">
        <v>9148</v>
      </c>
      <c r="G317" s="380">
        <v>0</v>
      </c>
      <c r="H317" s="427" t="s">
        <v>25229</v>
      </c>
      <c r="I317" s="40" t="s">
        <v>9149</v>
      </c>
      <c r="J317" s="530">
        <v>0</v>
      </c>
    </row>
    <row r="318" spans="1:10" s="339" customFormat="1" ht="25.5">
      <c r="A318" s="907" t="s">
        <v>9983</v>
      </c>
      <c r="B318" s="40" t="s">
        <v>10350</v>
      </c>
      <c r="C318" s="40" t="s">
        <v>10349</v>
      </c>
      <c r="D318" s="40" t="s">
        <v>10268</v>
      </c>
      <c r="E318" s="40">
        <v>250</v>
      </c>
      <c r="F318" s="40" t="s">
        <v>10346</v>
      </c>
      <c r="G318" s="380">
        <v>36400000</v>
      </c>
      <c r="H318" s="52" t="s">
        <v>6350</v>
      </c>
      <c r="I318" s="40" t="s">
        <v>10345</v>
      </c>
      <c r="J318" s="530">
        <v>26000000</v>
      </c>
    </row>
    <row r="319" spans="1:10" s="339" customFormat="1" ht="51">
      <c r="A319" s="907" t="s">
        <v>4738</v>
      </c>
      <c r="B319" s="40" t="s">
        <v>9150</v>
      </c>
      <c r="C319" s="40" t="s">
        <v>3287</v>
      </c>
      <c r="D319" s="40" t="s">
        <v>962</v>
      </c>
      <c r="E319" s="40" t="s">
        <v>23466</v>
      </c>
      <c r="F319" s="40" t="s">
        <v>9148</v>
      </c>
      <c r="G319" s="380">
        <v>0</v>
      </c>
      <c r="H319" s="427" t="s">
        <v>25229</v>
      </c>
      <c r="I319" s="40" t="s">
        <v>9149</v>
      </c>
      <c r="J319" s="530">
        <v>0</v>
      </c>
    </row>
    <row r="320" spans="1:10" s="339" customFormat="1" ht="51">
      <c r="A320" s="907" t="s">
        <v>4738</v>
      </c>
      <c r="B320" s="40" t="s">
        <v>9152</v>
      </c>
      <c r="C320" s="40" t="s">
        <v>3287</v>
      </c>
      <c r="D320" s="40" t="s">
        <v>962</v>
      </c>
      <c r="E320" s="40" t="s">
        <v>23468</v>
      </c>
      <c r="F320" s="40" t="s">
        <v>9148</v>
      </c>
      <c r="G320" s="380">
        <v>0</v>
      </c>
      <c r="H320" s="427" t="s">
        <v>25229</v>
      </c>
      <c r="I320" s="40" t="s">
        <v>9149</v>
      </c>
      <c r="J320" s="530">
        <v>0</v>
      </c>
    </row>
    <row r="321" spans="1:10" s="339" customFormat="1" ht="25.5">
      <c r="A321" s="907" t="s">
        <v>9983</v>
      </c>
      <c r="B321" s="40" t="s">
        <v>2323</v>
      </c>
      <c r="C321" s="40" t="s">
        <v>10333</v>
      </c>
      <c r="D321" s="40" t="s">
        <v>10330</v>
      </c>
      <c r="E321" s="40">
        <v>750</v>
      </c>
      <c r="F321" s="40" t="s">
        <v>10289</v>
      </c>
      <c r="G321" s="380">
        <v>109200000</v>
      </c>
      <c r="H321" s="52" t="s">
        <v>6350</v>
      </c>
      <c r="I321" s="40" t="s">
        <v>10287</v>
      </c>
      <c r="J321" s="530">
        <v>78000000</v>
      </c>
    </row>
    <row r="322" spans="1:10" s="339" customFormat="1" ht="51">
      <c r="A322" s="907" t="s">
        <v>4738</v>
      </c>
      <c r="B322" s="40" t="s">
        <v>3199</v>
      </c>
      <c r="C322" s="40" t="s">
        <v>9155</v>
      </c>
      <c r="D322" s="84" t="s">
        <v>9156</v>
      </c>
      <c r="E322" s="84" t="s">
        <v>9157</v>
      </c>
      <c r="F322" s="84" t="s">
        <v>9158</v>
      </c>
      <c r="G322" s="426">
        <v>20000000</v>
      </c>
      <c r="H322" s="84">
        <v>2</v>
      </c>
      <c r="I322" s="84" t="s">
        <v>9159</v>
      </c>
      <c r="J322" s="931">
        <v>55000000</v>
      </c>
    </row>
    <row r="323" spans="1:10" s="339" customFormat="1" ht="38.25">
      <c r="A323" s="907" t="s">
        <v>9983</v>
      </c>
      <c r="B323" s="40" t="s">
        <v>10335</v>
      </c>
      <c r="C323" s="40" t="s">
        <v>10334</v>
      </c>
      <c r="D323" s="40" t="s">
        <v>10325</v>
      </c>
      <c r="E323" s="40">
        <v>500</v>
      </c>
      <c r="F323" s="40" t="s">
        <v>10289</v>
      </c>
      <c r="G323" s="380">
        <v>72800000</v>
      </c>
      <c r="H323" s="52" t="s">
        <v>6350</v>
      </c>
      <c r="I323" s="40" t="s">
        <v>10287</v>
      </c>
      <c r="J323" s="530">
        <v>52000000</v>
      </c>
    </row>
    <row r="324" spans="1:10" s="339" customFormat="1" ht="38.25">
      <c r="A324" s="907" t="s">
        <v>9983</v>
      </c>
      <c r="B324" s="40" t="s">
        <v>10337</v>
      </c>
      <c r="C324" s="40" t="s">
        <v>10336</v>
      </c>
      <c r="D324" s="40" t="s">
        <v>10325</v>
      </c>
      <c r="E324" s="40">
        <v>400</v>
      </c>
      <c r="F324" s="40" t="s">
        <v>10289</v>
      </c>
      <c r="G324" s="380">
        <v>58240000</v>
      </c>
      <c r="H324" s="52" t="s">
        <v>6350</v>
      </c>
      <c r="I324" s="40" t="s">
        <v>10287</v>
      </c>
      <c r="J324" s="530">
        <v>41600000</v>
      </c>
    </row>
    <row r="325" spans="1:10" s="339" customFormat="1" ht="38.25">
      <c r="A325" s="907" t="s">
        <v>9983</v>
      </c>
      <c r="B325" s="40" t="s">
        <v>10337</v>
      </c>
      <c r="C325" s="40" t="s">
        <v>10338</v>
      </c>
      <c r="D325" s="40" t="s">
        <v>10325</v>
      </c>
      <c r="E325" s="40">
        <v>350</v>
      </c>
      <c r="F325" s="40" t="s">
        <v>10289</v>
      </c>
      <c r="G325" s="380">
        <v>50960000</v>
      </c>
      <c r="H325" s="52" t="s">
        <v>6350</v>
      </c>
      <c r="I325" s="40" t="s">
        <v>10287</v>
      </c>
      <c r="J325" s="530">
        <v>36400000</v>
      </c>
    </row>
    <row r="326" spans="1:10" s="339" customFormat="1" ht="63.75">
      <c r="A326" s="907" t="s">
        <v>9983</v>
      </c>
      <c r="B326" s="40" t="s">
        <v>10332</v>
      </c>
      <c r="C326" s="40" t="s">
        <v>10331</v>
      </c>
      <c r="D326" s="40" t="s">
        <v>10330</v>
      </c>
      <c r="E326" s="40">
        <v>300</v>
      </c>
      <c r="F326" s="40" t="s">
        <v>10289</v>
      </c>
      <c r="G326" s="380">
        <v>43680000</v>
      </c>
      <c r="H326" s="52" t="s">
        <v>6350</v>
      </c>
      <c r="I326" s="40" t="s">
        <v>10287</v>
      </c>
      <c r="J326" s="530">
        <v>31200000</v>
      </c>
    </row>
    <row r="327" spans="1:10" s="339" customFormat="1" ht="51">
      <c r="A327" s="907" t="s">
        <v>4738</v>
      </c>
      <c r="B327" s="40" t="s">
        <v>9154</v>
      </c>
      <c r="C327" s="40" t="s">
        <v>3287</v>
      </c>
      <c r="D327" s="40" t="s">
        <v>962</v>
      </c>
      <c r="E327" s="40" t="s">
        <v>23471</v>
      </c>
      <c r="F327" s="40" t="s">
        <v>9148</v>
      </c>
      <c r="G327" s="380">
        <v>0</v>
      </c>
      <c r="H327" s="427" t="s">
        <v>25229</v>
      </c>
      <c r="I327" s="40" t="s">
        <v>9149</v>
      </c>
      <c r="J327" s="530">
        <v>0</v>
      </c>
    </row>
    <row r="328" spans="1:10" s="339" customFormat="1" ht="25.5">
      <c r="A328" s="932" t="s">
        <v>9983</v>
      </c>
      <c r="B328" s="40" t="s">
        <v>10302</v>
      </c>
      <c r="C328" s="40" t="s">
        <v>10301</v>
      </c>
      <c r="D328" s="40" t="s">
        <v>1633</v>
      </c>
      <c r="E328" s="40">
        <v>200</v>
      </c>
      <c r="F328" s="40" t="s">
        <v>10300</v>
      </c>
      <c r="G328" s="380" t="s">
        <v>10299</v>
      </c>
      <c r="H328" s="52" t="s">
        <v>6350</v>
      </c>
      <c r="I328" s="40" t="s">
        <v>10298</v>
      </c>
      <c r="J328" s="530" t="s">
        <v>10293</v>
      </c>
    </row>
    <row r="329" spans="1:10" s="339" customFormat="1" ht="25.5">
      <c r="A329" s="932" t="s">
        <v>9983</v>
      </c>
      <c r="B329" s="40" t="s">
        <v>10312</v>
      </c>
      <c r="C329" s="40" t="s">
        <v>10311</v>
      </c>
      <c r="D329" s="40" t="s">
        <v>1633</v>
      </c>
      <c r="E329" s="40">
        <v>300</v>
      </c>
      <c r="F329" s="40" t="s">
        <v>10310</v>
      </c>
      <c r="G329" s="380" t="s">
        <v>10309</v>
      </c>
      <c r="H329" s="52" t="s">
        <v>6350</v>
      </c>
      <c r="I329" s="40" t="s">
        <v>10308</v>
      </c>
      <c r="J329" s="530" t="s">
        <v>10307</v>
      </c>
    </row>
    <row r="330" spans="1:10" s="339" customFormat="1" ht="25.5">
      <c r="A330" s="932" t="s">
        <v>9983</v>
      </c>
      <c r="B330" s="40" t="s">
        <v>10297</v>
      </c>
      <c r="C330" s="40" t="s">
        <v>10296</v>
      </c>
      <c r="D330" s="40" t="s">
        <v>1633</v>
      </c>
      <c r="E330" s="40">
        <v>200</v>
      </c>
      <c r="F330" s="40" t="s">
        <v>10295</v>
      </c>
      <c r="G330" s="380" t="s">
        <v>10271</v>
      </c>
      <c r="H330" s="52" t="s">
        <v>6350</v>
      </c>
      <c r="I330" s="40" t="s">
        <v>10294</v>
      </c>
      <c r="J330" s="530" t="s">
        <v>10293</v>
      </c>
    </row>
    <row r="331" spans="1:10" s="339" customFormat="1" ht="25.5">
      <c r="A331" s="907" t="s">
        <v>9983</v>
      </c>
      <c r="B331" s="40" t="s">
        <v>10348</v>
      </c>
      <c r="C331" s="40" t="s">
        <v>10347</v>
      </c>
      <c r="D331" s="40" t="s">
        <v>10268</v>
      </c>
      <c r="E331" s="40">
        <v>250</v>
      </c>
      <c r="F331" s="40" t="s">
        <v>10346</v>
      </c>
      <c r="G331" s="380">
        <v>36400000</v>
      </c>
      <c r="H331" s="52" t="s">
        <v>6350</v>
      </c>
      <c r="I331" s="40" t="s">
        <v>10345</v>
      </c>
      <c r="J331" s="530">
        <v>26000000</v>
      </c>
    </row>
    <row r="332" spans="1:10" ht="51">
      <c r="A332" s="932" t="s">
        <v>9983</v>
      </c>
      <c r="B332" s="40" t="s">
        <v>10285</v>
      </c>
      <c r="C332" s="40" t="s">
        <v>10284</v>
      </c>
      <c r="D332" s="40" t="s">
        <v>10283</v>
      </c>
      <c r="E332" s="40">
        <v>1000</v>
      </c>
      <c r="F332" s="40" t="s">
        <v>10282</v>
      </c>
      <c r="G332" s="380" t="s">
        <v>10281</v>
      </c>
      <c r="H332" s="52" t="s">
        <v>6350</v>
      </c>
      <c r="I332" s="40" t="s">
        <v>10280</v>
      </c>
      <c r="J332" s="530" t="s">
        <v>10279</v>
      </c>
    </row>
    <row r="333" spans="1:10" ht="51">
      <c r="A333" s="907" t="s">
        <v>4738</v>
      </c>
      <c r="B333" s="40" t="s">
        <v>137</v>
      </c>
      <c r="C333" s="40" t="s">
        <v>3287</v>
      </c>
      <c r="D333" s="40" t="s">
        <v>962</v>
      </c>
      <c r="E333" s="40" t="s">
        <v>23472</v>
      </c>
      <c r="F333" s="40" t="s">
        <v>9148</v>
      </c>
      <c r="G333" s="380">
        <v>0</v>
      </c>
      <c r="H333" s="427" t="s">
        <v>25229</v>
      </c>
      <c r="I333" s="40" t="s">
        <v>9149</v>
      </c>
      <c r="J333" s="530">
        <v>0</v>
      </c>
    </row>
    <row r="334" spans="1:10" ht="25.5">
      <c r="A334" s="932" t="s">
        <v>9983</v>
      </c>
      <c r="B334" s="40" t="s">
        <v>10306</v>
      </c>
      <c r="C334" s="40" t="s">
        <v>10305</v>
      </c>
      <c r="D334" s="40" t="s">
        <v>1633</v>
      </c>
      <c r="E334" s="40">
        <v>120</v>
      </c>
      <c r="F334" s="40" t="s">
        <v>10300</v>
      </c>
      <c r="G334" s="380" t="s">
        <v>10304</v>
      </c>
      <c r="H334" s="52" t="s">
        <v>6350</v>
      </c>
      <c r="I334" s="40" t="s">
        <v>10298</v>
      </c>
      <c r="J334" s="530" t="s">
        <v>10303</v>
      </c>
    </row>
    <row r="335" spans="1:10" ht="25.5">
      <c r="A335" s="907" t="s">
        <v>4738</v>
      </c>
      <c r="B335" s="428" t="s">
        <v>5252</v>
      </c>
      <c r="C335" s="40" t="s">
        <v>5252</v>
      </c>
      <c r="D335" s="428" t="s">
        <v>9164</v>
      </c>
      <c r="E335" s="40">
        <v>600</v>
      </c>
      <c r="F335" s="40" t="s">
        <v>9165</v>
      </c>
      <c r="G335" s="380">
        <v>10000000</v>
      </c>
      <c r="H335" s="52">
        <v>4</v>
      </c>
      <c r="I335" s="40" t="s">
        <v>9166</v>
      </c>
      <c r="J335" s="530">
        <v>10000000</v>
      </c>
    </row>
    <row r="336" spans="1:10" ht="38.25">
      <c r="A336" s="907" t="s">
        <v>9983</v>
      </c>
      <c r="B336" s="40" t="s">
        <v>10340</v>
      </c>
      <c r="C336" s="40" t="s">
        <v>10339</v>
      </c>
      <c r="D336" s="40" t="s">
        <v>10325</v>
      </c>
      <c r="E336" s="40">
        <v>250</v>
      </c>
      <c r="F336" s="40" t="s">
        <v>10289</v>
      </c>
      <c r="G336" s="380">
        <v>36400000</v>
      </c>
      <c r="H336" s="52" t="s">
        <v>6350</v>
      </c>
      <c r="I336" s="40" t="s">
        <v>10287</v>
      </c>
      <c r="J336" s="530">
        <v>26000000</v>
      </c>
    </row>
    <row r="337" spans="1:10" ht="25.5">
      <c r="A337" s="907" t="s">
        <v>9983</v>
      </c>
      <c r="B337" s="40" t="s">
        <v>10340</v>
      </c>
      <c r="C337" s="40" t="s">
        <v>10343</v>
      </c>
      <c r="D337" s="40" t="s">
        <v>10268</v>
      </c>
      <c r="E337" s="40">
        <v>600</v>
      </c>
      <c r="F337" s="40" t="s">
        <v>10342</v>
      </c>
      <c r="G337" s="380">
        <v>87360000</v>
      </c>
      <c r="H337" s="52" t="s">
        <v>6350</v>
      </c>
      <c r="I337" s="40" t="s">
        <v>10341</v>
      </c>
      <c r="J337" s="530">
        <v>62400000</v>
      </c>
    </row>
    <row r="338" spans="1:10" ht="25.5">
      <c r="A338" s="907" t="s">
        <v>9983</v>
      </c>
      <c r="B338" s="40" t="s">
        <v>10340</v>
      </c>
      <c r="C338" s="40" t="s">
        <v>10344</v>
      </c>
      <c r="D338" s="40" t="s">
        <v>10268</v>
      </c>
      <c r="E338" s="40">
        <v>850</v>
      </c>
      <c r="F338" s="40" t="s">
        <v>10342</v>
      </c>
      <c r="G338" s="380">
        <v>123759999.99999999</v>
      </c>
      <c r="H338" s="52" t="s">
        <v>6350</v>
      </c>
      <c r="I338" s="40" t="s">
        <v>10341</v>
      </c>
      <c r="J338" s="530">
        <v>88400000</v>
      </c>
    </row>
    <row r="339" spans="1:10" ht="51">
      <c r="A339" s="907" t="s">
        <v>4738</v>
      </c>
      <c r="B339" s="40" t="s">
        <v>9146</v>
      </c>
      <c r="C339" s="40" t="s">
        <v>3287</v>
      </c>
      <c r="D339" s="40" t="s">
        <v>962</v>
      </c>
      <c r="E339" s="40" t="s">
        <v>9147</v>
      </c>
      <c r="F339" s="40" t="s">
        <v>9148</v>
      </c>
      <c r="G339" s="380">
        <v>2000000000</v>
      </c>
      <c r="H339" s="52">
        <v>1</v>
      </c>
      <c r="I339" s="40" t="s">
        <v>9149</v>
      </c>
      <c r="J339" s="530">
        <v>3500000000</v>
      </c>
    </row>
    <row r="340" spans="1:10" ht="38.25">
      <c r="A340" s="907" t="s">
        <v>9983</v>
      </c>
      <c r="B340" s="40" t="s">
        <v>10327</v>
      </c>
      <c r="C340" s="40" t="s">
        <v>10326</v>
      </c>
      <c r="D340" s="40" t="s">
        <v>10325</v>
      </c>
      <c r="E340" s="40">
        <v>400</v>
      </c>
      <c r="F340" s="40" t="s">
        <v>10289</v>
      </c>
      <c r="G340" s="380">
        <v>58240000</v>
      </c>
      <c r="H340" s="52" t="s">
        <v>6350</v>
      </c>
      <c r="I340" s="40" t="s">
        <v>10287</v>
      </c>
      <c r="J340" s="530">
        <v>41600000</v>
      </c>
    </row>
    <row r="341" spans="1:10" ht="51">
      <c r="A341" s="932" t="s">
        <v>9983</v>
      </c>
      <c r="B341" s="40" t="s">
        <v>10278</v>
      </c>
      <c r="C341" s="40" t="s">
        <v>10277</v>
      </c>
      <c r="D341" s="40" t="s">
        <v>10276</v>
      </c>
      <c r="E341" s="40">
        <v>300</v>
      </c>
      <c r="F341" s="40" t="s">
        <v>10275</v>
      </c>
      <c r="G341" s="380" t="s">
        <v>10274</v>
      </c>
      <c r="H341" s="52" t="s">
        <v>10273</v>
      </c>
      <c r="I341" s="40" t="s">
        <v>10272</v>
      </c>
      <c r="J341" s="530" t="s">
        <v>10271</v>
      </c>
    </row>
    <row r="342" spans="1:10">
      <c r="A342" s="1084" t="s">
        <v>189</v>
      </c>
      <c r="B342" s="1085"/>
      <c r="C342" s="1085"/>
      <c r="D342" s="1085"/>
      <c r="E342" s="1085"/>
      <c r="F342" s="1085"/>
      <c r="G342" s="414">
        <f>SUM(G305:G341)</f>
        <v>2962280000</v>
      </c>
      <c r="H342" s="415"/>
      <c r="I342" s="572"/>
      <c r="J342" s="933">
        <f>SUM(J305:J341)</f>
        <v>4245200000</v>
      </c>
    </row>
    <row r="343" spans="1:10">
      <c r="A343" s="1072" t="s">
        <v>8184</v>
      </c>
      <c r="B343" s="1073"/>
      <c r="C343" s="1073"/>
      <c r="D343" s="1073"/>
      <c r="E343" s="1073"/>
      <c r="F343" s="1073"/>
      <c r="G343" s="1073"/>
      <c r="H343" s="1073"/>
      <c r="I343" s="1073"/>
      <c r="J343" s="1077"/>
    </row>
    <row r="344" spans="1:10" ht="242.25">
      <c r="A344" s="907" t="s">
        <v>8203</v>
      </c>
      <c r="B344" s="40" t="s">
        <v>9167</v>
      </c>
      <c r="C344" s="40" t="s">
        <v>9168</v>
      </c>
      <c r="D344" s="40" t="s">
        <v>9169</v>
      </c>
      <c r="E344" s="40" t="s">
        <v>9170</v>
      </c>
      <c r="F344" s="40" t="s">
        <v>9171</v>
      </c>
      <c r="G344" s="380">
        <v>650000000</v>
      </c>
      <c r="H344" s="52">
        <v>1</v>
      </c>
      <c r="I344" s="40" t="s">
        <v>9172</v>
      </c>
      <c r="J344" s="530">
        <v>650000000</v>
      </c>
    </row>
    <row r="345" spans="1:10" ht="242.25">
      <c r="A345" s="907" t="s">
        <v>8203</v>
      </c>
      <c r="B345" s="40" t="s">
        <v>8715</v>
      </c>
      <c r="C345" s="40" t="s">
        <v>9173</v>
      </c>
      <c r="D345" s="40" t="s">
        <v>9174</v>
      </c>
      <c r="E345" s="40" t="s">
        <v>9175</v>
      </c>
      <c r="F345" s="40" t="s">
        <v>9176</v>
      </c>
      <c r="G345" s="380">
        <v>550000000</v>
      </c>
      <c r="H345" s="52">
        <v>1</v>
      </c>
      <c r="I345" s="40" t="s">
        <v>9177</v>
      </c>
      <c r="J345" s="530">
        <v>550000000</v>
      </c>
    </row>
    <row r="346" spans="1:10" ht="242.25">
      <c r="A346" s="907" t="s">
        <v>9178</v>
      </c>
      <c r="B346" s="40" t="s">
        <v>9179</v>
      </c>
      <c r="C346" s="40" t="s">
        <v>9180</v>
      </c>
      <c r="D346" s="40" t="s">
        <v>9169</v>
      </c>
      <c r="E346" s="40" t="s">
        <v>9181</v>
      </c>
      <c r="F346" s="40" t="s">
        <v>9182</v>
      </c>
      <c r="G346" s="380">
        <v>575000000</v>
      </c>
      <c r="H346" s="52">
        <v>1</v>
      </c>
      <c r="I346" s="40" t="s">
        <v>9183</v>
      </c>
      <c r="J346" s="530">
        <v>575000000</v>
      </c>
    </row>
    <row r="347" spans="1:10" ht="153">
      <c r="A347" s="907" t="s">
        <v>9178</v>
      </c>
      <c r="B347" s="40" t="s">
        <v>6006</v>
      </c>
      <c r="C347" s="40" t="s">
        <v>9184</v>
      </c>
      <c r="D347" s="40" t="s">
        <v>9169</v>
      </c>
      <c r="E347" s="40" t="s">
        <v>9185</v>
      </c>
      <c r="F347" s="40" t="s">
        <v>9186</v>
      </c>
      <c r="G347" s="380">
        <v>450000000</v>
      </c>
      <c r="H347" s="52">
        <v>1</v>
      </c>
      <c r="I347" s="40" t="s">
        <v>9187</v>
      </c>
      <c r="J347" s="530">
        <v>450000000</v>
      </c>
    </row>
    <row r="348" spans="1:10" ht="178.5">
      <c r="A348" s="907" t="s">
        <v>9178</v>
      </c>
      <c r="B348" s="40" t="s">
        <v>6006</v>
      </c>
      <c r="C348" s="40" t="s">
        <v>9188</v>
      </c>
      <c r="D348" s="40" t="s">
        <v>9189</v>
      </c>
      <c r="E348" s="40" t="s">
        <v>9190</v>
      </c>
      <c r="F348" s="40" t="s">
        <v>9191</v>
      </c>
      <c r="G348" s="380">
        <v>375000000</v>
      </c>
      <c r="H348" s="52">
        <v>1</v>
      </c>
      <c r="I348" s="40" t="s">
        <v>9192</v>
      </c>
      <c r="J348" s="530">
        <v>375000000</v>
      </c>
    </row>
    <row r="349" spans="1:10" ht="76.5">
      <c r="A349" s="907" t="s">
        <v>9178</v>
      </c>
      <c r="B349" s="40" t="s">
        <v>6006</v>
      </c>
      <c r="C349" s="40" t="s">
        <v>9193</v>
      </c>
      <c r="D349" s="40" t="s">
        <v>9194</v>
      </c>
      <c r="E349" s="40" t="s">
        <v>9195</v>
      </c>
      <c r="F349" s="40" t="s">
        <v>9196</v>
      </c>
      <c r="G349" s="380">
        <f>+J349</f>
        <v>350000000</v>
      </c>
      <c r="H349" s="52">
        <v>3</v>
      </c>
      <c r="I349" s="40" t="s">
        <v>9197</v>
      </c>
      <c r="J349" s="530">
        <v>350000000</v>
      </c>
    </row>
    <row r="350" spans="1:10" ht="178.5">
      <c r="A350" s="907" t="s">
        <v>9178</v>
      </c>
      <c r="B350" s="40" t="s">
        <v>9179</v>
      </c>
      <c r="C350" s="40" t="s">
        <v>8698</v>
      </c>
      <c r="D350" s="40" t="s">
        <v>9189</v>
      </c>
      <c r="E350" s="40" t="s">
        <v>9198</v>
      </c>
      <c r="F350" s="40" t="s">
        <v>9199</v>
      </c>
      <c r="G350" s="380">
        <v>275000000</v>
      </c>
      <c r="H350" s="52">
        <v>1</v>
      </c>
      <c r="I350" s="40" t="s">
        <v>9200</v>
      </c>
      <c r="J350" s="530">
        <v>275000000</v>
      </c>
    </row>
    <row r="351" spans="1:10" ht="204">
      <c r="A351" s="907" t="s">
        <v>9178</v>
      </c>
      <c r="B351" s="40" t="s">
        <v>9179</v>
      </c>
      <c r="C351" s="40" t="s">
        <v>9201</v>
      </c>
      <c r="D351" s="40" t="s">
        <v>9189</v>
      </c>
      <c r="E351" s="40" t="s">
        <v>9112</v>
      </c>
      <c r="F351" s="40" t="s">
        <v>9199</v>
      </c>
      <c r="G351" s="380">
        <v>225000000</v>
      </c>
      <c r="H351" s="52">
        <v>1</v>
      </c>
      <c r="I351" s="40" t="s">
        <v>9202</v>
      </c>
      <c r="J351" s="530">
        <v>225000000</v>
      </c>
    </row>
    <row r="352" spans="1:10" ht="204">
      <c r="A352" s="907" t="s">
        <v>9178</v>
      </c>
      <c r="B352" s="40" t="s">
        <v>9179</v>
      </c>
      <c r="C352" s="40" t="s">
        <v>9180</v>
      </c>
      <c r="D352" s="40" t="s">
        <v>9189</v>
      </c>
      <c r="E352" s="40" t="s">
        <v>9203</v>
      </c>
      <c r="F352" s="40" t="s">
        <v>9199</v>
      </c>
      <c r="G352" s="380">
        <v>450000000</v>
      </c>
      <c r="H352" s="52">
        <v>1</v>
      </c>
      <c r="I352" s="40" t="s">
        <v>9204</v>
      </c>
      <c r="J352" s="530">
        <v>450000000</v>
      </c>
    </row>
    <row r="353" spans="1:10" ht="178.5">
      <c r="A353" s="907" t="s">
        <v>9178</v>
      </c>
      <c r="B353" s="40" t="s">
        <v>9205</v>
      </c>
      <c r="C353" s="40" t="s">
        <v>1858</v>
      </c>
      <c r="D353" s="40" t="s">
        <v>9189</v>
      </c>
      <c r="E353" s="40" t="s">
        <v>9117</v>
      </c>
      <c r="F353" s="40" t="s">
        <v>9199</v>
      </c>
      <c r="G353" s="380">
        <v>220000000</v>
      </c>
      <c r="H353" s="52">
        <v>1</v>
      </c>
      <c r="I353" s="40" t="s">
        <v>9206</v>
      </c>
      <c r="J353" s="530">
        <v>220000000</v>
      </c>
    </row>
    <row r="354" spans="1:10" ht="178.5">
      <c r="A354" s="907" t="s">
        <v>9178</v>
      </c>
      <c r="B354" s="40" t="s">
        <v>9179</v>
      </c>
      <c r="C354" s="40" t="s">
        <v>9207</v>
      </c>
      <c r="D354" s="40" t="s">
        <v>9189</v>
      </c>
      <c r="E354" s="40" t="s">
        <v>9208</v>
      </c>
      <c r="F354" s="40" t="s">
        <v>9199</v>
      </c>
      <c r="G354" s="380">
        <v>350000000</v>
      </c>
      <c r="H354" s="52">
        <v>1</v>
      </c>
      <c r="I354" s="40" t="s">
        <v>9209</v>
      </c>
      <c r="J354" s="530">
        <v>350000000</v>
      </c>
    </row>
    <row r="355" spans="1:10" ht="178.5">
      <c r="A355" s="907" t="s">
        <v>9178</v>
      </c>
      <c r="B355" s="40" t="s">
        <v>8975</v>
      </c>
      <c r="C355" s="40" t="s">
        <v>5252</v>
      </c>
      <c r="D355" s="40" t="s">
        <v>9189</v>
      </c>
      <c r="E355" s="40" t="s">
        <v>9210</v>
      </c>
      <c r="F355" s="40" t="s">
        <v>9199</v>
      </c>
      <c r="G355" s="380">
        <v>325000000</v>
      </c>
      <c r="H355" s="52">
        <v>1</v>
      </c>
      <c r="I355" s="40" t="s">
        <v>9211</v>
      </c>
      <c r="J355" s="530">
        <v>325000000</v>
      </c>
    </row>
    <row r="356" spans="1:10" ht="178.5">
      <c r="A356" s="907" t="s">
        <v>9178</v>
      </c>
      <c r="B356" s="40" t="s">
        <v>1607</v>
      </c>
      <c r="C356" s="40" t="s">
        <v>8728</v>
      </c>
      <c r="D356" s="40" t="s">
        <v>9189</v>
      </c>
      <c r="E356" s="40" t="s">
        <v>9212</v>
      </c>
      <c r="F356" s="40" t="s">
        <v>9199</v>
      </c>
      <c r="G356" s="380">
        <v>135000000</v>
      </c>
      <c r="H356" s="52">
        <v>1</v>
      </c>
      <c r="I356" s="40" t="s">
        <v>9200</v>
      </c>
      <c r="J356" s="530">
        <v>135000000</v>
      </c>
    </row>
    <row r="357" spans="1:10" ht="191.25">
      <c r="A357" s="907" t="s">
        <v>9178</v>
      </c>
      <c r="B357" s="40" t="s">
        <v>9179</v>
      </c>
      <c r="C357" s="40" t="s">
        <v>8722</v>
      </c>
      <c r="D357" s="40" t="s">
        <v>9189</v>
      </c>
      <c r="E357" s="40" t="s">
        <v>9208</v>
      </c>
      <c r="F357" s="40" t="s">
        <v>9199</v>
      </c>
      <c r="G357" s="380">
        <v>375000000</v>
      </c>
      <c r="H357" s="52">
        <v>1</v>
      </c>
      <c r="I357" s="40" t="s">
        <v>9213</v>
      </c>
      <c r="J357" s="530">
        <v>375000000</v>
      </c>
    </row>
    <row r="358" spans="1:10">
      <c r="A358" s="927"/>
      <c r="B358" s="419"/>
      <c r="C358" s="419"/>
      <c r="D358" s="419"/>
      <c r="E358" s="420"/>
      <c r="F358" s="419"/>
      <c r="G358" s="421"/>
      <c r="H358" s="422"/>
      <c r="I358" s="419"/>
      <c r="J358" s="928"/>
    </row>
    <row r="359" spans="1:10">
      <c r="A359" s="1084" t="s">
        <v>189</v>
      </c>
      <c r="B359" s="1085"/>
      <c r="C359" s="1085"/>
      <c r="D359" s="1085"/>
      <c r="E359" s="1085"/>
      <c r="F359" s="1085"/>
      <c r="G359" s="414">
        <f>SUM(G344:G358)</f>
        <v>5305000000</v>
      </c>
      <c r="H359" s="415"/>
      <c r="I359" s="572"/>
      <c r="J359" s="926">
        <f>SUM(J344:J358)</f>
        <v>5305000000</v>
      </c>
    </row>
    <row r="360" spans="1:10">
      <c r="A360" s="1072" t="s">
        <v>8259</v>
      </c>
      <c r="B360" s="1073"/>
      <c r="C360" s="1073"/>
      <c r="D360" s="1073"/>
      <c r="E360" s="1073"/>
      <c r="F360" s="1073"/>
      <c r="G360" s="1073"/>
      <c r="H360" s="1073"/>
      <c r="I360" s="1073"/>
      <c r="J360" s="1077"/>
    </row>
    <row r="361" spans="1:10" ht="63.75">
      <c r="A361" s="907" t="s">
        <v>8260</v>
      </c>
      <c r="B361" s="40" t="s">
        <v>8261</v>
      </c>
      <c r="C361" s="40" t="s">
        <v>9214</v>
      </c>
      <c r="D361" s="423" t="s">
        <v>9215</v>
      </c>
      <c r="E361" s="423" t="s">
        <v>9216</v>
      </c>
      <c r="F361" s="423" t="s">
        <v>9217</v>
      </c>
      <c r="G361" s="380">
        <v>2500000</v>
      </c>
      <c r="H361" s="52" t="s">
        <v>9218</v>
      </c>
      <c r="I361" s="423" t="s">
        <v>9219</v>
      </c>
      <c r="J361" s="934">
        <v>5250000</v>
      </c>
    </row>
    <row r="362" spans="1:10" ht="51">
      <c r="A362" s="907" t="s">
        <v>8260</v>
      </c>
      <c r="B362" s="40" t="s">
        <v>8261</v>
      </c>
      <c r="C362" s="40" t="s">
        <v>9220</v>
      </c>
      <c r="D362" s="40" t="s">
        <v>9221</v>
      </c>
      <c r="E362" s="40" t="s">
        <v>9222</v>
      </c>
      <c r="F362" s="40" t="s">
        <v>9223</v>
      </c>
      <c r="G362" s="380">
        <v>1000000</v>
      </c>
      <c r="H362" s="52" t="s">
        <v>9218</v>
      </c>
      <c r="I362" s="40" t="s">
        <v>9224</v>
      </c>
      <c r="J362" s="934">
        <v>2625000</v>
      </c>
    </row>
    <row r="363" spans="1:10" ht="51">
      <c r="A363" s="907" t="s">
        <v>8260</v>
      </c>
      <c r="B363" s="40" t="s">
        <v>8261</v>
      </c>
      <c r="C363" s="40" t="s">
        <v>9024</v>
      </c>
      <c r="D363" s="40" t="s">
        <v>9225</v>
      </c>
      <c r="E363" s="40" t="s">
        <v>9222</v>
      </c>
      <c r="F363" s="40" t="s">
        <v>25230</v>
      </c>
      <c r="G363" s="380">
        <v>2500000</v>
      </c>
      <c r="H363" s="52" t="s">
        <v>9218</v>
      </c>
      <c r="I363" s="423" t="s">
        <v>9226</v>
      </c>
      <c r="J363" s="934">
        <v>2625000</v>
      </c>
    </row>
    <row r="364" spans="1:10" ht="38.25">
      <c r="A364" s="907" t="s">
        <v>8260</v>
      </c>
      <c r="B364" s="40" t="s">
        <v>8272</v>
      </c>
      <c r="C364" s="40" t="s">
        <v>9227</v>
      </c>
      <c r="D364" s="40" t="s">
        <v>9228</v>
      </c>
      <c r="E364" s="40" t="s">
        <v>9229</v>
      </c>
      <c r="F364" s="40" t="s">
        <v>9230</v>
      </c>
      <c r="G364" s="380">
        <v>3000000</v>
      </c>
      <c r="H364" s="52" t="s">
        <v>9218</v>
      </c>
      <c r="I364" s="40" t="s">
        <v>9224</v>
      </c>
      <c r="J364" s="934">
        <v>2000000</v>
      </c>
    </row>
    <row r="365" spans="1:10" ht="25.5">
      <c r="A365" s="907" t="s">
        <v>7313</v>
      </c>
      <c r="B365" s="40" t="s">
        <v>8261</v>
      </c>
      <c r="C365" s="40" t="s">
        <v>9231</v>
      </c>
      <c r="D365" s="40" t="s">
        <v>9232</v>
      </c>
      <c r="E365" s="40" t="s">
        <v>9233</v>
      </c>
      <c r="F365" s="40" t="s">
        <v>9234</v>
      </c>
      <c r="G365" s="380">
        <v>2500000</v>
      </c>
      <c r="H365" s="52" t="s">
        <v>9218</v>
      </c>
      <c r="I365" s="40" t="s">
        <v>9224</v>
      </c>
      <c r="J365" s="934">
        <v>3937000</v>
      </c>
    </row>
    <row r="366" spans="1:10">
      <c r="A366" s="927"/>
      <c r="B366" s="419"/>
      <c r="C366" s="419"/>
      <c r="D366" s="419"/>
      <c r="E366" s="420"/>
      <c r="F366" s="419"/>
      <c r="G366" s="421"/>
      <c r="H366" s="422"/>
      <c r="I366" s="419"/>
      <c r="J366" s="928"/>
    </row>
    <row r="367" spans="1:10">
      <c r="A367" s="1084" t="s">
        <v>189</v>
      </c>
      <c r="B367" s="1085"/>
      <c r="C367" s="1085"/>
      <c r="D367" s="1085"/>
      <c r="E367" s="1085"/>
      <c r="F367" s="1085"/>
      <c r="G367" s="414">
        <f>SUM(G361:G366)</f>
        <v>11500000</v>
      </c>
      <c r="H367" s="415"/>
      <c r="I367" s="572"/>
      <c r="J367" s="926">
        <f>SUM(J361:J366)</f>
        <v>16437000</v>
      </c>
    </row>
    <row r="368" spans="1:10">
      <c r="A368" s="1072" t="s">
        <v>8281</v>
      </c>
      <c r="B368" s="1073"/>
      <c r="C368" s="1073"/>
      <c r="D368" s="1073"/>
      <c r="E368" s="1073"/>
      <c r="F368" s="1073"/>
      <c r="G368" s="1073"/>
      <c r="H368" s="1073"/>
      <c r="I368" s="1073"/>
      <c r="J368" s="1077"/>
    </row>
    <row r="369" spans="1:10" ht="51">
      <c r="A369" s="907" t="s">
        <v>700</v>
      </c>
      <c r="B369" s="40" t="s">
        <v>9243</v>
      </c>
      <c r="C369" s="40" t="s">
        <v>9244</v>
      </c>
      <c r="D369" s="40" t="s">
        <v>9245</v>
      </c>
      <c r="E369" s="40">
        <v>300</v>
      </c>
      <c r="F369" s="40" t="s">
        <v>9246</v>
      </c>
      <c r="G369" s="380">
        <v>50000000</v>
      </c>
      <c r="H369" s="52">
        <v>3</v>
      </c>
      <c r="I369" s="40" t="s">
        <v>9239</v>
      </c>
      <c r="J369" s="530">
        <v>80000000</v>
      </c>
    </row>
    <row r="370" spans="1:10" ht="38.25">
      <c r="A370" s="907" t="s">
        <v>700</v>
      </c>
      <c r="B370" s="40" t="s">
        <v>9258</v>
      </c>
      <c r="C370" s="40" t="s">
        <v>8783</v>
      </c>
      <c r="D370" s="40" t="s">
        <v>9259</v>
      </c>
      <c r="E370" s="40">
        <v>100</v>
      </c>
      <c r="F370" s="40" t="s">
        <v>9238</v>
      </c>
      <c r="G370" s="380">
        <v>45000000</v>
      </c>
      <c r="H370" s="52">
        <v>9</v>
      </c>
      <c r="I370" s="40" t="s">
        <v>9260</v>
      </c>
      <c r="J370" s="530">
        <v>90000000</v>
      </c>
    </row>
    <row r="371" spans="1:10" ht="51">
      <c r="A371" s="907" t="s">
        <v>700</v>
      </c>
      <c r="B371" s="40" t="s">
        <v>9251</v>
      </c>
      <c r="C371" s="40" t="s">
        <v>9252</v>
      </c>
      <c r="D371" s="40" t="s">
        <v>9253</v>
      </c>
      <c r="E371" s="40">
        <v>100</v>
      </c>
      <c r="F371" s="40" t="s">
        <v>9238</v>
      </c>
      <c r="G371" s="380">
        <v>25000000</v>
      </c>
      <c r="H371" s="52">
        <v>6</v>
      </c>
      <c r="I371" s="40" t="s">
        <v>9248</v>
      </c>
      <c r="J371" s="530">
        <v>50000000</v>
      </c>
    </row>
    <row r="372" spans="1:10" ht="38.25">
      <c r="A372" s="907" t="s">
        <v>700</v>
      </c>
      <c r="B372" s="40" t="s">
        <v>9266</v>
      </c>
      <c r="C372" s="40" t="s">
        <v>9267</v>
      </c>
      <c r="D372" s="40" t="s">
        <v>9268</v>
      </c>
      <c r="E372" s="40">
        <v>100</v>
      </c>
      <c r="F372" s="40" t="s">
        <v>9238</v>
      </c>
      <c r="G372" s="380">
        <v>15000000</v>
      </c>
      <c r="H372" s="52">
        <v>11</v>
      </c>
      <c r="I372" s="40" t="s">
        <v>9265</v>
      </c>
      <c r="J372" s="530">
        <v>35000000</v>
      </c>
    </row>
    <row r="373" spans="1:10" ht="178.5">
      <c r="A373" s="907" t="s">
        <v>700</v>
      </c>
      <c r="B373" s="40" t="s">
        <v>9261</v>
      </c>
      <c r="C373" s="40" t="s">
        <v>8801</v>
      </c>
      <c r="D373" s="40" t="s">
        <v>9262</v>
      </c>
      <c r="E373" s="40">
        <v>100</v>
      </c>
      <c r="F373" s="40" t="s">
        <v>9238</v>
      </c>
      <c r="G373" s="380">
        <v>100000000</v>
      </c>
      <c r="H373" s="52">
        <v>10</v>
      </c>
      <c r="I373" s="40" t="s">
        <v>9260</v>
      </c>
      <c r="J373" s="530">
        <v>250000000</v>
      </c>
    </row>
    <row r="374" spans="1:10" ht="76.5">
      <c r="A374" s="907" t="s">
        <v>700</v>
      </c>
      <c r="B374" s="40" t="s">
        <v>9254</v>
      </c>
      <c r="C374" s="40" t="s">
        <v>9255</v>
      </c>
      <c r="D374" s="40" t="s">
        <v>9256</v>
      </c>
      <c r="E374" s="40">
        <v>100</v>
      </c>
      <c r="F374" s="40" t="s">
        <v>9238</v>
      </c>
      <c r="G374" s="380">
        <v>25000000</v>
      </c>
      <c r="H374" s="52">
        <v>7</v>
      </c>
      <c r="I374" s="40" t="s">
        <v>9248</v>
      </c>
      <c r="J374" s="530">
        <v>50000000</v>
      </c>
    </row>
    <row r="375" spans="1:10" ht="127.5">
      <c r="A375" s="907" t="s">
        <v>700</v>
      </c>
      <c r="B375" s="40" t="s">
        <v>9240</v>
      </c>
      <c r="C375" s="40" t="s">
        <v>9241</v>
      </c>
      <c r="D375" s="40" t="s">
        <v>9242</v>
      </c>
      <c r="E375" s="40">
        <v>150</v>
      </c>
      <c r="F375" s="40" t="s">
        <v>9238</v>
      </c>
      <c r="G375" s="380">
        <v>20000000</v>
      </c>
      <c r="H375" s="52">
        <v>2</v>
      </c>
      <c r="I375" s="40" t="s">
        <v>9239</v>
      </c>
      <c r="J375" s="530">
        <v>50000000</v>
      </c>
    </row>
    <row r="376" spans="1:10" ht="51">
      <c r="A376" s="907" t="s">
        <v>700</v>
      </c>
      <c r="B376" s="40" t="s">
        <v>9263</v>
      </c>
      <c r="C376" s="40" t="s">
        <v>8783</v>
      </c>
      <c r="D376" s="40" t="s">
        <v>9264</v>
      </c>
      <c r="E376" s="40">
        <v>100</v>
      </c>
      <c r="F376" s="40" t="s">
        <v>9238</v>
      </c>
      <c r="G376" s="380">
        <v>25000000</v>
      </c>
      <c r="H376" s="52">
        <v>11</v>
      </c>
      <c r="I376" s="40" t="s">
        <v>9265</v>
      </c>
      <c r="J376" s="530">
        <v>40000000</v>
      </c>
    </row>
    <row r="377" spans="1:10" ht="51">
      <c r="A377" s="907" t="s">
        <v>700</v>
      </c>
      <c r="B377" s="40" t="s">
        <v>1670</v>
      </c>
      <c r="C377" s="40" t="s">
        <v>9244</v>
      </c>
      <c r="D377" s="40" t="s">
        <v>9247</v>
      </c>
      <c r="E377" s="40">
        <v>150</v>
      </c>
      <c r="F377" s="40" t="s">
        <v>9238</v>
      </c>
      <c r="G377" s="380">
        <v>20000000</v>
      </c>
      <c r="H377" s="52">
        <v>4</v>
      </c>
      <c r="I377" s="40" t="s">
        <v>9248</v>
      </c>
      <c r="J377" s="530">
        <v>40000000</v>
      </c>
    </row>
    <row r="378" spans="1:10" ht="89.25">
      <c r="A378" s="907" t="s">
        <v>700</v>
      </c>
      <c r="B378" s="40" t="s">
        <v>8798</v>
      </c>
      <c r="C378" s="40" t="s">
        <v>8799</v>
      </c>
      <c r="D378" s="40" t="s">
        <v>9257</v>
      </c>
      <c r="E378" s="40">
        <v>150</v>
      </c>
      <c r="F378" s="40" t="s">
        <v>9238</v>
      </c>
      <c r="G378" s="380">
        <v>20000000</v>
      </c>
      <c r="H378" s="52">
        <v>8</v>
      </c>
      <c r="I378" s="40" t="s">
        <v>9248</v>
      </c>
      <c r="J378" s="530">
        <v>55000000</v>
      </c>
    </row>
    <row r="379" spans="1:10" ht="114.75">
      <c r="A379" s="907" t="s">
        <v>700</v>
      </c>
      <c r="B379" s="40" t="s">
        <v>9249</v>
      </c>
      <c r="C379" s="40" t="s">
        <v>5220</v>
      </c>
      <c r="D379" s="40" t="s">
        <v>9250</v>
      </c>
      <c r="E379" s="40">
        <v>100</v>
      </c>
      <c r="F379" s="40" t="s">
        <v>9238</v>
      </c>
      <c r="G379" s="380">
        <v>25000000</v>
      </c>
      <c r="H379" s="52">
        <v>5</v>
      </c>
      <c r="I379" s="40" t="s">
        <v>9248</v>
      </c>
      <c r="J379" s="530">
        <v>45000000</v>
      </c>
    </row>
    <row r="380" spans="1:10" ht="38.25">
      <c r="A380" s="907" t="s">
        <v>700</v>
      </c>
      <c r="B380" s="40" t="s">
        <v>9235</v>
      </c>
      <c r="C380" s="40" t="s">
        <v>9236</v>
      </c>
      <c r="D380" s="40" t="s">
        <v>9237</v>
      </c>
      <c r="E380" s="40">
        <v>200</v>
      </c>
      <c r="F380" s="40" t="s">
        <v>9238</v>
      </c>
      <c r="G380" s="380">
        <v>30000000</v>
      </c>
      <c r="H380" s="52">
        <v>1</v>
      </c>
      <c r="I380" s="40" t="s">
        <v>9239</v>
      </c>
      <c r="J380" s="530">
        <v>60000000</v>
      </c>
    </row>
    <row r="381" spans="1:10">
      <c r="A381" s="1084" t="s">
        <v>189</v>
      </c>
      <c r="B381" s="1085"/>
      <c r="C381" s="1085"/>
      <c r="D381" s="1085"/>
      <c r="E381" s="1085"/>
      <c r="F381" s="1085"/>
      <c r="G381" s="414">
        <f>SUM(G369:G380)</f>
        <v>400000000</v>
      </c>
      <c r="H381" s="415"/>
      <c r="I381" s="572"/>
      <c r="J381" s="926">
        <f>SUM(J369:J380)</f>
        <v>845000000</v>
      </c>
    </row>
    <row r="382" spans="1:10">
      <c r="A382" s="1072"/>
      <c r="B382" s="1073"/>
      <c r="C382" s="1073"/>
      <c r="D382" s="1073"/>
      <c r="E382" s="1073"/>
      <c r="F382" s="1073"/>
      <c r="G382" s="1073"/>
      <c r="H382" s="1073"/>
      <c r="I382" s="1073"/>
      <c r="J382" s="1077"/>
    </row>
    <row r="383" spans="1:10">
      <c r="A383" s="935"/>
      <c r="B383" s="81"/>
      <c r="C383" s="81"/>
      <c r="D383" s="905"/>
      <c r="E383" s="905"/>
      <c r="F383" s="81"/>
      <c r="G383" s="551"/>
      <c r="H383" s="81"/>
      <c r="I383" s="81"/>
      <c r="J383" s="508"/>
    </row>
    <row r="384" spans="1:10" ht="15.75" thickBot="1">
      <c r="A384" s="1065" t="s">
        <v>189</v>
      </c>
      <c r="B384" s="1066"/>
      <c r="C384" s="1066"/>
      <c r="D384" s="1066"/>
      <c r="E384" s="1066"/>
      <c r="F384" s="1066"/>
      <c r="G384" s="858">
        <f>+G46+G49+G61+G64+G84+G92+G96+G151+G155+G158+G167+G170+G176+G193+G202+G221+G233+G243+G254+G275+G292+G303+G342+G359+G367+G381</f>
        <v>35881430500</v>
      </c>
      <c r="H384" s="858"/>
      <c r="I384" s="858"/>
      <c r="J384" s="936">
        <f>+J46+J49+J61+J64+J84+J92+J96+J151+J155+J158+J167+J170+J176+J193+J202+J221+J233+J243+J254+J275+J292+J303+J342+J359+J367+J381</f>
        <v>35226839963</v>
      </c>
    </row>
  </sheetData>
  <mergeCells count="63">
    <mergeCell ref="A360:J360"/>
    <mergeCell ref="A367:F367"/>
    <mergeCell ref="A368:J368"/>
    <mergeCell ref="A381:F381"/>
    <mergeCell ref="A382:J382"/>
    <mergeCell ref="A359:F359"/>
    <mergeCell ref="A244:J244"/>
    <mergeCell ref="A254:F254"/>
    <mergeCell ref="A255:J255"/>
    <mergeCell ref="A275:F275"/>
    <mergeCell ref="A276:J276"/>
    <mergeCell ref="A292:F292"/>
    <mergeCell ref="A293:J293"/>
    <mergeCell ref="A303:F303"/>
    <mergeCell ref="A304:J304"/>
    <mergeCell ref="A342:F342"/>
    <mergeCell ref="A343:J343"/>
    <mergeCell ref="A243:F243"/>
    <mergeCell ref="A171:J171"/>
    <mergeCell ref="A176:F176"/>
    <mergeCell ref="A177:J177"/>
    <mergeCell ref="A193:F193"/>
    <mergeCell ref="A194:J194"/>
    <mergeCell ref="A202:F202"/>
    <mergeCell ref="A203:J203"/>
    <mergeCell ref="A221:F221"/>
    <mergeCell ref="A222:J222"/>
    <mergeCell ref="A233:F233"/>
    <mergeCell ref="A234:J234"/>
    <mergeCell ref="A85:J85"/>
    <mergeCell ref="A170:F170"/>
    <mergeCell ref="A93:J93"/>
    <mergeCell ref="A96:F96"/>
    <mergeCell ref="A97:J97"/>
    <mergeCell ref="A151:F151"/>
    <mergeCell ref="A152:J152"/>
    <mergeCell ref="A155:F155"/>
    <mergeCell ref="A156:J156"/>
    <mergeCell ref="A158:F158"/>
    <mergeCell ref="A159:J159"/>
    <mergeCell ref="A167:F167"/>
    <mergeCell ref="A168:J168"/>
    <mergeCell ref="A61:F61"/>
    <mergeCell ref="A62:J62"/>
    <mergeCell ref="A64:F64"/>
    <mergeCell ref="A65:J65"/>
    <mergeCell ref="A84:F84"/>
    <mergeCell ref="A384:F384"/>
    <mergeCell ref="A1:J1"/>
    <mergeCell ref="A2:J2"/>
    <mergeCell ref="A3:J3"/>
    <mergeCell ref="A4:A5"/>
    <mergeCell ref="B4:C4"/>
    <mergeCell ref="D4:D5"/>
    <mergeCell ref="E4:E5"/>
    <mergeCell ref="F4:G4"/>
    <mergeCell ref="H4:J4"/>
    <mergeCell ref="A92:F92"/>
    <mergeCell ref="A6:J6"/>
    <mergeCell ref="A46:F46"/>
    <mergeCell ref="A47:J47"/>
    <mergeCell ref="A49:F49"/>
    <mergeCell ref="A50:J50"/>
  </mergeCells>
  <printOptions horizontalCentered="1" verticalCentered="1"/>
  <pageMargins left="0.23622047244094491" right="0.23622047244094491" top="0.74803149606299213" bottom="0.74803149606299213" header="0.31496062992125984" footer="0.31496062992125984"/>
  <pageSetup scale="43" fitToHeight="0" orientation="landscape" r:id="rId1"/>
  <headerFooter>
    <oddFooter>&amp;C&amp;P de &amp;N</oddFooter>
  </headerFooter>
  <ignoredErrors>
    <ignoredError sqref="J69 J73 J75 J77 J80"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pageSetUpPr fitToPage="1"/>
  </sheetPr>
  <dimension ref="A1:J185"/>
  <sheetViews>
    <sheetView topLeftCell="A172" zoomScale="75" zoomScaleNormal="75" workbookViewId="0">
      <selection activeCell="F10" sqref="F10"/>
    </sheetView>
  </sheetViews>
  <sheetFormatPr baseColWidth="10" defaultColWidth="11.42578125" defaultRowHeight="15"/>
  <cols>
    <col min="1" max="1" width="13.85546875" customWidth="1"/>
    <col min="2" max="2" width="13.28515625" customWidth="1"/>
    <col min="3" max="3" width="14.7109375" customWidth="1"/>
    <col min="4" max="4" width="14.85546875" customWidth="1"/>
    <col min="5" max="5" width="13.28515625" customWidth="1"/>
    <col min="6" max="6" width="40.28515625" customWidth="1"/>
    <col min="7" max="7" width="22.140625" style="431" customWidth="1"/>
    <col min="9" max="9" width="36.7109375" customWidth="1"/>
    <col min="10" max="10" width="23.140625" style="431" customWidth="1"/>
  </cols>
  <sheetData>
    <row r="1" spans="1:10" ht="15" customHeight="1">
      <c r="A1" s="1099" t="s">
        <v>0</v>
      </c>
      <c r="B1" s="1099"/>
      <c r="C1" s="1099"/>
      <c r="D1" s="1099"/>
      <c r="E1" s="1099"/>
      <c r="F1" s="1099"/>
      <c r="G1" s="1099"/>
      <c r="H1" s="1099"/>
      <c r="I1" s="1099"/>
      <c r="J1" s="1099"/>
    </row>
    <row r="2" spans="1:10" ht="15" customHeight="1">
      <c r="A2" s="1099" t="s">
        <v>116</v>
      </c>
      <c r="B2" s="1099"/>
      <c r="C2" s="1099"/>
      <c r="D2" s="1099"/>
      <c r="E2" s="1099"/>
      <c r="F2" s="1099"/>
      <c r="G2" s="1099"/>
      <c r="H2" s="1099"/>
      <c r="I2" s="1099"/>
      <c r="J2" s="1099"/>
    </row>
    <row r="3" spans="1:10" ht="15" customHeight="1" thickBot="1">
      <c r="A3" s="1099" t="s">
        <v>75</v>
      </c>
      <c r="B3" s="1099"/>
      <c r="C3" s="1099"/>
      <c r="D3" s="1099"/>
      <c r="E3" s="1099"/>
      <c r="F3" s="1099"/>
      <c r="G3" s="1099"/>
      <c r="H3" s="1099"/>
      <c r="I3" s="1099"/>
      <c r="J3" s="1099"/>
    </row>
    <row r="4" spans="1:10" ht="15.75" customHeight="1">
      <c r="A4" s="1046" t="s">
        <v>1</v>
      </c>
      <c r="B4" s="1048" t="s">
        <v>2</v>
      </c>
      <c r="C4" s="1048"/>
      <c r="D4" s="1048" t="s">
        <v>117</v>
      </c>
      <c r="E4" s="1048" t="s">
        <v>76</v>
      </c>
      <c r="F4" s="1048" t="s">
        <v>22</v>
      </c>
      <c r="G4" s="1048"/>
      <c r="H4" s="1048" t="s">
        <v>7</v>
      </c>
      <c r="I4" s="1048"/>
      <c r="J4" s="1050"/>
    </row>
    <row r="5" spans="1:10" ht="63.75" thickBot="1">
      <c r="A5" s="1047"/>
      <c r="B5" s="835" t="s">
        <v>3</v>
      </c>
      <c r="C5" s="835" t="s">
        <v>77</v>
      </c>
      <c r="D5" s="1049"/>
      <c r="E5" s="1049"/>
      <c r="F5" s="835" t="s">
        <v>78</v>
      </c>
      <c r="G5" s="887" t="s">
        <v>11</v>
      </c>
      <c r="H5" s="835" t="s">
        <v>12</v>
      </c>
      <c r="I5" s="835" t="s">
        <v>13</v>
      </c>
      <c r="J5" s="888" t="s">
        <v>14</v>
      </c>
    </row>
    <row r="6" spans="1:10" ht="15.75">
      <c r="A6" s="889" t="s">
        <v>2784</v>
      </c>
      <c r="B6" s="568"/>
      <c r="C6" s="568"/>
      <c r="D6" s="568"/>
      <c r="E6" s="568"/>
      <c r="F6" s="568"/>
      <c r="G6" s="886"/>
      <c r="H6" s="568"/>
      <c r="I6" s="568"/>
      <c r="J6" s="890"/>
    </row>
    <row r="7" spans="1:10" ht="28.5">
      <c r="A7" s="102" t="s">
        <v>2505</v>
      </c>
      <c r="B7" s="62" t="s">
        <v>3179</v>
      </c>
      <c r="C7" s="264" t="s">
        <v>2243</v>
      </c>
      <c r="D7" s="264" t="s">
        <v>3297</v>
      </c>
      <c r="E7" s="69">
        <v>50</v>
      </c>
      <c r="F7" s="264" t="s">
        <v>3298</v>
      </c>
      <c r="G7" s="878">
        <v>60000000</v>
      </c>
      <c r="H7" s="69">
        <v>1</v>
      </c>
      <c r="I7" s="264" t="s">
        <v>3299</v>
      </c>
      <c r="J7" s="490">
        <v>60000000</v>
      </c>
    </row>
    <row r="8" spans="1:10" ht="28.5">
      <c r="A8" s="102" t="s">
        <v>2505</v>
      </c>
      <c r="B8" s="62" t="s">
        <v>3300</v>
      </c>
      <c r="C8" s="264" t="s">
        <v>2243</v>
      </c>
      <c r="D8" s="264" t="s">
        <v>3297</v>
      </c>
      <c r="E8" s="69">
        <v>30</v>
      </c>
      <c r="F8" s="264" t="s">
        <v>3298</v>
      </c>
      <c r="G8" s="878">
        <v>35000000</v>
      </c>
      <c r="H8" s="69">
        <v>1</v>
      </c>
      <c r="I8" s="264" t="s">
        <v>3301</v>
      </c>
      <c r="J8" s="490">
        <f>+G8</f>
        <v>35000000</v>
      </c>
    </row>
    <row r="9" spans="1:10" ht="28.5">
      <c r="A9" s="102" t="s">
        <v>2505</v>
      </c>
      <c r="B9" s="62" t="s">
        <v>3302</v>
      </c>
      <c r="C9" s="264" t="s">
        <v>3303</v>
      </c>
      <c r="D9" s="264" t="s">
        <v>3297</v>
      </c>
      <c r="E9" s="69">
        <v>25</v>
      </c>
      <c r="F9" s="264" t="s">
        <v>3304</v>
      </c>
      <c r="G9" s="878">
        <v>35000000</v>
      </c>
      <c r="H9" s="69">
        <v>1</v>
      </c>
      <c r="I9" s="264" t="s">
        <v>3301</v>
      </c>
      <c r="J9" s="490">
        <f>+G9</f>
        <v>35000000</v>
      </c>
    </row>
    <row r="10" spans="1:10" ht="28.5">
      <c r="A10" s="102" t="s">
        <v>2505</v>
      </c>
      <c r="B10" s="62" t="s">
        <v>3305</v>
      </c>
      <c r="C10" s="264" t="s">
        <v>3306</v>
      </c>
      <c r="D10" s="264" t="s">
        <v>3297</v>
      </c>
      <c r="E10" s="69">
        <v>40</v>
      </c>
      <c r="F10" s="264" t="s">
        <v>3304</v>
      </c>
      <c r="G10" s="878">
        <v>50000000</v>
      </c>
      <c r="H10" s="69">
        <v>1</v>
      </c>
      <c r="I10" s="264" t="s">
        <v>3301</v>
      </c>
      <c r="J10" s="490">
        <v>50000000</v>
      </c>
    </row>
    <row r="11" spans="1:10" ht="28.5">
      <c r="A11" s="102" t="s">
        <v>2505</v>
      </c>
      <c r="B11" s="62" t="s">
        <v>2506</v>
      </c>
      <c r="C11" s="69" t="s">
        <v>3307</v>
      </c>
      <c r="D11" s="264" t="s">
        <v>3308</v>
      </c>
      <c r="E11" s="69">
        <v>50</v>
      </c>
      <c r="F11" s="264" t="s">
        <v>3309</v>
      </c>
      <c r="G11" s="494">
        <v>60000000</v>
      </c>
      <c r="H11" s="69">
        <v>1</v>
      </c>
      <c r="I11" s="264" t="s">
        <v>3299</v>
      </c>
      <c r="J11" s="490">
        <f>+G11</f>
        <v>60000000</v>
      </c>
    </row>
    <row r="12" spans="1:10" ht="28.5">
      <c r="A12" s="102" t="s">
        <v>2505</v>
      </c>
      <c r="B12" s="62" t="s">
        <v>3310</v>
      </c>
      <c r="C12" s="62" t="s">
        <v>2095</v>
      </c>
      <c r="D12" s="264" t="s">
        <v>3311</v>
      </c>
      <c r="E12" s="69">
        <v>30</v>
      </c>
      <c r="F12" s="264" t="s">
        <v>3312</v>
      </c>
      <c r="G12" s="494">
        <v>50000000</v>
      </c>
      <c r="H12" s="69">
        <v>1</v>
      </c>
      <c r="I12" s="264" t="s">
        <v>3299</v>
      </c>
      <c r="J12" s="490">
        <v>40000000</v>
      </c>
    </row>
    <row r="13" spans="1:10" ht="15.75" customHeight="1">
      <c r="A13" s="102" t="s">
        <v>2595</v>
      </c>
      <c r="B13" s="62" t="s">
        <v>126</v>
      </c>
      <c r="C13" s="264" t="s">
        <v>3313</v>
      </c>
      <c r="D13" s="264" t="s">
        <v>3308</v>
      </c>
      <c r="E13" s="69">
        <v>20</v>
      </c>
      <c r="F13" s="264" t="s">
        <v>3314</v>
      </c>
      <c r="G13" s="494">
        <v>25000000</v>
      </c>
      <c r="H13" s="69">
        <v>1</v>
      </c>
      <c r="I13" s="264" t="s">
        <v>3301</v>
      </c>
      <c r="J13" s="490">
        <f>+G13</f>
        <v>25000000</v>
      </c>
    </row>
    <row r="14" spans="1:10" ht="16.5" customHeight="1">
      <c r="A14" s="102" t="s">
        <v>2509</v>
      </c>
      <c r="B14" s="62" t="s">
        <v>58</v>
      </c>
      <c r="C14" s="69" t="s">
        <v>3307</v>
      </c>
      <c r="D14" s="264" t="s">
        <v>3308</v>
      </c>
      <c r="E14" s="69">
        <v>20</v>
      </c>
      <c r="F14" s="62" t="s">
        <v>3315</v>
      </c>
      <c r="G14" s="494">
        <v>25000000</v>
      </c>
      <c r="H14" s="69">
        <v>1</v>
      </c>
      <c r="I14" s="264" t="s">
        <v>3301</v>
      </c>
      <c r="J14" s="490">
        <f>+G14</f>
        <v>25000000</v>
      </c>
    </row>
    <row r="15" spans="1:10" ht="28.5">
      <c r="A15" s="102" t="s">
        <v>2509</v>
      </c>
      <c r="B15" s="62" t="s">
        <v>3316</v>
      </c>
      <c r="C15" s="69" t="s">
        <v>3307</v>
      </c>
      <c r="D15" s="264" t="s">
        <v>3308</v>
      </c>
      <c r="E15" s="69">
        <v>25</v>
      </c>
      <c r="F15" s="264" t="s">
        <v>3309</v>
      </c>
      <c r="G15" s="494">
        <v>30000000</v>
      </c>
      <c r="H15" s="69">
        <v>1</v>
      </c>
      <c r="I15" s="264" t="s">
        <v>3299</v>
      </c>
      <c r="J15" s="490">
        <v>40000000</v>
      </c>
    </row>
    <row r="16" spans="1:10" ht="42.75">
      <c r="A16" s="102" t="s">
        <v>2509</v>
      </c>
      <c r="B16" s="62" t="s">
        <v>3242</v>
      </c>
      <c r="C16" s="69" t="s">
        <v>3307</v>
      </c>
      <c r="D16" s="264" t="s">
        <v>3317</v>
      </c>
      <c r="E16" s="69">
        <v>20</v>
      </c>
      <c r="F16" s="62" t="s">
        <v>3315</v>
      </c>
      <c r="G16" s="494">
        <v>30000000</v>
      </c>
      <c r="H16" s="69">
        <v>1</v>
      </c>
      <c r="I16" s="264" t="s">
        <v>3301</v>
      </c>
      <c r="J16" s="490">
        <f>+G16</f>
        <v>30000000</v>
      </c>
    </row>
    <row r="17" spans="1:10" ht="28.5">
      <c r="A17" s="102" t="s">
        <v>2505</v>
      </c>
      <c r="B17" s="62" t="s">
        <v>2506</v>
      </c>
      <c r="C17" s="69" t="s">
        <v>3307</v>
      </c>
      <c r="D17" s="264" t="s">
        <v>3308</v>
      </c>
      <c r="E17" s="69">
        <v>15</v>
      </c>
      <c r="F17" s="62" t="s">
        <v>3315</v>
      </c>
      <c r="G17" s="494">
        <v>15000000</v>
      </c>
      <c r="H17" s="69">
        <v>2</v>
      </c>
      <c r="I17" s="264" t="s">
        <v>3301</v>
      </c>
      <c r="J17" s="490">
        <v>15000000</v>
      </c>
    </row>
    <row r="18" spans="1:10" ht="28.5">
      <c r="A18" s="102" t="s">
        <v>2595</v>
      </c>
      <c r="B18" s="62" t="s">
        <v>3187</v>
      </c>
      <c r="C18" s="69" t="s">
        <v>3307</v>
      </c>
      <c r="D18" s="264" t="s">
        <v>3308</v>
      </c>
      <c r="E18" s="69">
        <v>15</v>
      </c>
      <c r="F18" s="62" t="s">
        <v>3315</v>
      </c>
      <c r="G18" s="494">
        <v>15000000</v>
      </c>
      <c r="H18" s="69">
        <v>2</v>
      </c>
      <c r="I18" s="264" t="s">
        <v>3301</v>
      </c>
      <c r="J18" s="490">
        <f>+G18</f>
        <v>15000000</v>
      </c>
    </row>
    <row r="19" spans="1:10" ht="28.5">
      <c r="A19" s="102" t="s">
        <v>2525</v>
      </c>
      <c r="B19" s="62" t="s">
        <v>3318</v>
      </c>
      <c r="C19" s="69" t="s">
        <v>3307</v>
      </c>
      <c r="D19" s="264" t="s">
        <v>3308</v>
      </c>
      <c r="E19" s="69">
        <v>23</v>
      </c>
      <c r="F19" s="264" t="s">
        <v>3309</v>
      </c>
      <c r="G19" s="494">
        <v>25000000</v>
      </c>
      <c r="H19" s="69">
        <v>1</v>
      </c>
      <c r="I19" s="264" t="s">
        <v>3301</v>
      </c>
      <c r="J19" s="490">
        <f>+G19</f>
        <v>25000000</v>
      </c>
    </row>
    <row r="20" spans="1:10" ht="42.75">
      <c r="A20" s="102" t="s">
        <v>2509</v>
      </c>
      <c r="B20" s="62" t="s">
        <v>3319</v>
      </c>
      <c r="C20" s="69" t="s">
        <v>3307</v>
      </c>
      <c r="D20" s="264" t="s">
        <v>3308</v>
      </c>
      <c r="E20" s="69">
        <v>30</v>
      </c>
      <c r="F20" s="62" t="s">
        <v>3320</v>
      </c>
      <c r="G20" s="494">
        <v>30000000</v>
      </c>
      <c r="H20" s="69">
        <v>2</v>
      </c>
      <c r="I20" s="264" t="s">
        <v>3301</v>
      </c>
      <c r="J20" s="490">
        <f>+G20</f>
        <v>30000000</v>
      </c>
    </row>
    <row r="21" spans="1:10" ht="42.75">
      <c r="A21" s="102" t="s">
        <v>2505</v>
      </c>
      <c r="B21" s="62" t="s">
        <v>2506</v>
      </c>
      <c r="C21" s="69" t="s">
        <v>3307</v>
      </c>
      <c r="D21" s="264" t="s">
        <v>3308</v>
      </c>
      <c r="E21" s="69">
        <v>40</v>
      </c>
      <c r="F21" s="62" t="s">
        <v>3320</v>
      </c>
      <c r="G21" s="494">
        <v>50000000</v>
      </c>
      <c r="H21" s="69">
        <v>1</v>
      </c>
      <c r="I21" s="264" t="s">
        <v>3301</v>
      </c>
      <c r="J21" s="490">
        <f>+G21</f>
        <v>50000000</v>
      </c>
    </row>
    <row r="22" spans="1:10" ht="42.75">
      <c r="A22" s="102" t="s">
        <v>2509</v>
      </c>
      <c r="B22" s="62" t="s">
        <v>3242</v>
      </c>
      <c r="C22" s="69" t="s">
        <v>3307</v>
      </c>
      <c r="D22" s="264" t="s">
        <v>3308</v>
      </c>
      <c r="E22" s="69">
        <v>30</v>
      </c>
      <c r="F22" s="62" t="s">
        <v>3320</v>
      </c>
      <c r="G22" s="494">
        <v>30000000</v>
      </c>
      <c r="H22" s="69">
        <v>2</v>
      </c>
      <c r="I22" s="264" t="s">
        <v>3321</v>
      </c>
      <c r="J22" s="490">
        <f>+G22</f>
        <v>30000000</v>
      </c>
    </row>
    <row r="23" spans="1:10" ht="42.75">
      <c r="A23" s="102" t="s">
        <v>2509</v>
      </c>
      <c r="B23" s="62" t="s">
        <v>3242</v>
      </c>
      <c r="C23" s="69" t="s">
        <v>3307</v>
      </c>
      <c r="D23" s="264" t="s">
        <v>3308</v>
      </c>
      <c r="E23" s="69">
        <v>20</v>
      </c>
      <c r="F23" s="62" t="s">
        <v>3320</v>
      </c>
      <c r="G23" s="494">
        <v>30000000</v>
      </c>
      <c r="H23" s="69">
        <v>2</v>
      </c>
      <c r="I23" s="264" t="s">
        <v>3321</v>
      </c>
      <c r="J23" s="490">
        <v>25000000</v>
      </c>
    </row>
    <row r="24" spans="1:10" ht="42.75">
      <c r="A24" s="102" t="s">
        <v>2509</v>
      </c>
      <c r="B24" s="62" t="s">
        <v>2509</v>
      </c>
      <c r="C24" s="69" t="s">
        <v>3307</v>
      </c>
      <c r="D24" s="264" t="s">
        <v>3322</v>
      </c>
      <c r="E24" s="69">
        <v>70</v>
      </c>
      <c r="F24" s="62" t="s">
        <v>3323</v>
      </c>
      <c r="G24" s="494">
        <v>100000000</v>
      </c>
      <c r="H24" s="69">
        <v>1</v>
      </c>
      <c r="I24" s="264" t="s">
        <v>3324</v>
      </c>
      <c r="J24" s="490">
        <f>+G24</f>
        <v>100000000</v>
      </c>
    </row>
    <row r="25" spans="1:10" ht="42.75">
      <c r="A25" s="102" t="s">
        <v>2509</v>
      </c>
      <c r="B25" s="62" t="s">
        <v>2509</v>
      </c>
      <c r="C25" s="69" t="s">
        <v>3307</v>
      </c>
      <c r="D25" s="264" t="s">
        <v>3322</v>
      </c>
      <c r="E25" s="69">
        <v>20</v>
      </c>
      <c r="F25" s="62" t="s">
        <v>3323</v>
      </c>
      <c r="G25" s="494">
        <v>35000000</v>
      </c>
      <c r="H25" s="69">
        <v>1</v>
      </c>
      <c r="I25" s="264" t="s">
        <v>3324</v>
      </c>
      <c r="J25" s="490">
        <v>35000000</v>
      </c>
    </row>
    <row r="26" spans="1:10" ht="15.75" customHeight="1">
      <c r="A26" s="102" t="s">
        <v>2509</v>
      </c>
      <c r="B26" s="62" t="s">
        <v>2509</v>
      </c>
      <c r="C26" s="69" t="s">
        <v>3307</v>
      </c>
      <c r="D26" s="264" t="s">
        <v>3322</v>
      </c>
      <c r="E26" s="69">
        <v>25</v>
      </c>
      <c r="F26" s="62" t="s">
        <v>3323</v>
      </c>
      <c r="G26" s="494">
        <v>40000000</v>
      </c>
      <c r="H26" s="69">
        <v>1</v>
      </c>
      <c r="I26" s="264" t="s">
        <v>3324</v>
      </c>
      <c r="J26" s="490">
        <f>+G26</f>
        <v>40000000</v>
      </c>
    </row>
    <row r="27" spans="1:10" ht="42.75">
      <c r="A27" s="102" t="s">
        <v>2509</v>
      </c>
      <c r="B27" s="62" t="s">
        <v>2509</v>
      </c>
      <c r="C27" s="69" t="s">
        <v>3307</v>
      </c>
      <c r="D27" s="264" t="s">
        <v>3308</v>
      </c>
      <c r="E27" s="69">
        <v>25</v>
      </c>
      <c r="F27" s="62" t="s">
        <v>3320</v>
      </c>
      <c r="G27" s="494">
        <v>30000000</v>
      </c>
      <c r="H27" s="69">
        <v>1</v>
      </c>
      <c r="I27" s="264" t="s">
        <v>3324</v>
      </c>
      <c r="J27" s="490">
        <f>+G27</f>
        <v>30000000</v>
      </c>
    </row>
    <row r="28" spans="1:10" ht="42.75">
      <c r="A28" s="102" t="s">
        <v>2505</v>
      </c>
      <c r="B28" s="62" t="s">
        <v>3246</v>
      </c>
      <c r="C28" s="69" t="s">
        <v>3307</v>
      </c>
      <c r="D28" s="264" t="s">
        <v>3308</v>
      </c>
      <c r="E28" s="69">
        <v>10</v>
      </c>
      <c r="F28" s="62" t="s">
        <v>3320</v>
      </c>
      <c r="G28" s="494">
        <v>25000000</v>
      </c>
      <c r="H28" s="69">
        <v>2</v>
      </c>
      <c r="I28" s="264" t="s">
        <v>3299</v>
      </c>
      <c r="J28" s="490">
        <f>+G28</f>
        <v>25000000</v>
      </c>
    </row>
    <row r="29" spans="1:10" ht="42.75">
      <c r="A29" s="102" t="s">
        <v>2505</v>
      </c>
      <c r="B29" s="62" t="s">
        <v>3246</v>
      </c>
      <c r="C29" s="69" t="s">
        <v>3307</v>
      </c>
      <c r="D29" s="264" t="s">
        <v>3308</v>
      </c>
      <c r="E29" s="69">
        <v>15</v>
      </c>
      <c r="F29" s="62" t="s">
        <v>3320</v>
      </c>
      <c r="G29" s="494">
        <v>15000000</v>
      </c>
      <c r="H29" s="69">
        <v>2</v>
      </c>
      <c r="I29" s="264" t="s">
        <v>3299</v>
      </c>
      <c r="J29" s="490">
        <v>20000000</v>
      </c>
    </row>
    <row r="30" spans="1:10" ht="42.75">
      <c r="A30" s="102" t="s">
        <v>2505</v>
      </c>
      <c r="B30" s="62" t="s">
        <v>3246</v>
      </c>
      <c r="C30" s="69" t="s">
        <v>3307</v>
      </c>
      <c r="D30" s="264" t="s">
        <v>3308</v>
      </c>
      <c r="E30" s="69">
        <v>15</v>
      </c>
      <c r="F30" s="62" t="s">
        <v>3320</v>
      </c>
      <c r="G30" s="494">
        <v>15000000</v>
      </c>
      <c r="H30" s="69">
        <v>2</v>
      </c>
      <c r="I30" s="264" t="s">
        <v>3299</v>
      </c>
      <c r="J30" s="490">
        <f>+G30</f>
        <v>15000000</v>
      </c>
    </row>
    <row r="31" spans="1:10" ht="28.5">
      <c r="A31" s="102" t="s">
        <v>2595</v>
      </c>
      <c r="B31" s="62" t="s">
        <v>3325</v>
      </c>
      <c r="C31" s="69" t="s">
        <v>3307</v>
      </c>
      <c r="D31" s="264" t="s">
        <v>3308</v>
      </c>
      <c r="E31" s="69">
        <v>30</v>
      </c>
      <c r="F31" s="62" t="s">
        <v>3315</v>
      </c>
      <c r="G31" s="494">
        <v>25000000</v>
      </c>
      <c r="H31" s="69">
        <v>1</v>
      </c>
      <c r="I31" s="264" t="s">
        <v>3301</v>
      </c>
      <c r="J31" s="490">
        <f>+G31</f>
        <v>25000000</v>
      </c>
    </row>
    <row r="32" spans="1:10" ht="28.5">
      <c r="A32" s="102" t="s">
        <v>2509</v>
      </c>
      <c r="B32" s="62" t="s">
        <v>3242</v>
      </c>
      <c r="C32" s="69" t="s">
        <v>3307</v>
      </c>
      <c r="D32" s="264" t="s">
        <v>3308</v>
      </c>
      <c r="E32" s="69">
        <v>40</v>
      </c>
      <c r="F32" s="62" t="s">
        <v>3315</v>
      </c>
      <c r="G32" s="494">
        <v>30000000</v>
      </c>
      <c r="H32" s="69">
        <v>1</v>
      </c>
      <c r="I32" s="264" t="s">
        <v>3301</v>
      </c>
      <c r="J32" s="490">
        <v>40000000</v>
      </c>
    </row>
    <row r="33" spans="1:10" ht="42.75">
      <c r="A33" s="102" t="s">
        <v>2505</v>
      </c>
      <c r="B33" s="62" t="s">
        <v>2512</v>
      </c>
      <c r="C33" s="69" t="s">
        <v>3326</v>
      </c>
      <c r="D33" s="264" t="s">
        <v>3327</v>
      </c>
      <c r="E33" s="69">
        <v>20</v>
      </c>
      <c r="F33" s="62" t="s">
        <v>3328</v>
      </c>
      <c r="G33" s="494">
        <v>30000000</v>
      </c>
      <c r="H33" s="69">
        <v>1</v>
      </c>
      <c r="I33" s="264" t="s">
        <v>3301</v>
      </c>
      <c r="J33" s="490">
        <f>+G33</f>
        <v>30000000</v>
      </c>
    </row>
    <row r="34" spans="1:10" ht="28.5">
      <c r="A34" s="102" t="s">
        <v>2505</v>
      </c>
      <c r="B34" s="62" t="s">
        <v>2506</v>
      </c>
      <c r="C34" s="69" t="s">
        <v>3307</v>
      </c>
      <c r="D34" s="264" t="s">
        <v>3308</v>
      </c>
      <c r="E34" s="69">
        <v>20</v>
      </c>
      <c r="F34" s="62" t="s">
        <v>3315</v>
      </c>
      <c r="G34" s="494">
        <v>30000000</v>
      </c>
      <c r="H34" s="69">
        <v>1</v>
      </c>
      <c r="I34" s="264" t="s">
        <v>3301</v>
      </c>
      <c r="J34" s="490">
        <f>+G34</f>
        <v>30000000</v>
      </c>
    </row>
    <row r="35" spans="1:10">
      <c r="A35" s="891" t="s">
        <v>189</v>
      </c>
      <c r="B35" s="879"/>
      <c r="C35" s="880"/>
      <c r="D35" s="881"/>
      <c r="E35" s="880"/>
      <c r="F35" s="879"/>
      <c r="G35" s="882">
        <f>SUM(G7:G34)</f>
        <v>970000000</v>
      </c>
      <c r="H35" s="880"/>
      <c r="I35" s="881"/>
      <c r="J35" s="892">
        <f>SUM(J7:J34)</f>
        <v>980000000</v>
      </c>
    </row>
    <row r="36" spans="1:10">
      <c r="A36" s="891" t="s">
        <v>3335</v>
      </c>
      <c r="B36" s="879"/>
      <c r="C36" s="880"/>
      <c r="D36" s="881"/>
      <c r="E36" s="880"/>
      <c r="F36" s="879"/>
      <c r="G36" s="882"/>
      <c r="H36" s="880"/>
      <c r="I36" s="881"/>
      <c r="J36" s="892"/>
    </row>
    <row r="37" spans="1:10" ht="57">
      <c r="A37" s="101" t="s">
        <v>1846</v>
      </c>
      <c r="B37" s="264" t="s">
        <v>3336</v>
      </c>
      <c r="C37" s="264" t="s">
        <v>3337</v>
      </c>
      <c r="D37" s="264" t="s">
        <v>3338</v>
      </c>
      <c r="E37" s="264">
        <v>100</v>
      </c>
      <c r="F37" s="62" t="s">
        <v>3339</v>
      </c>
      <c r="G37" s="494">
        <v>45000000</v>
      </c>
      <c r="H37" s="264" t="s">
        <v>1711</v>
      </c>
      <c r="I37" s="264" t="s">
        <v>3340</v>
      </c>
      <c r="J37" s="490">
        <v>100000000</v>
      </c>
    </row>
    <row r="38" spans="1:10" ht="15.75">
      <c r="A38" s="893" t="s">
        <v>189</v>
      </c>
      <c r="B38" s="14"/>
      <c r="C38" s="14"/>
      <c r="D38" s="14"/>
      <c r="E38" s="14"/>
      <c r="F38" s="14"/>
      <c r="G38" s="488">
        <f>SUM(G37)</f>
        <v>45000000</v>
      </c>
      <c r="H38" s="14"/>
      <c r="I38" s="14"/>
      <c r="J38" s="894">
        <f>SUM(J37)</f>
        <v>100000000</v>
      </c>
    </row>
    <row r="39" spans="1:10" ht="15.75">
      <c r="A39" s="1103" t="s">
        <v>3133</v>
      </c>
      <c r="B39" s="1104"/>
      <c r="C39" s="1104"/>
      <c r="D39" s="1104"/>
      <c r="E39" s="1104"/>
      <c r="F39" s="1104"/>
      <c r="G39" s="1104"/>
      <c r="H39" s="1104"/>
      <c r="I39" s="1104"/>
      <c r="J39" s="1105"/>
    </row>
    <row r="40" spans="1:10" ht="28.5">
      <c r="A40" s="855" t="s">
        <v>3084</v>
      </c>
      <c r="B40" s="44" t="s">
        <v>5855</v>
      </c>
      <c r="C40" s="264" t="s">
        <v>5856</v>
      </c>
      <c r="D40" s="264" t="s">
        <v>51</v>
      </c>
      <c r="E40" s="264">
        <f>20*20/10000</f>
        <v>0.04</v>
      </c>
      <c r="F40" s="264" t="s">
        <v>387</v>
      </c>
      <c r="G40" s="491" t="s">
        <v>5857</v>
      </c>
      <c r="H40" s="264" t="s">
        <v>5858</v>
      </c>
      <c r="I40" s="264" t="s">
        <v>5859</v>
      </c>
      <c r="J40" s="545">
        <f>1000000000*E40/4</f>
        <v>10000000</v>
      </c>
    </row>
    <row r="41" spans="1:10" ht="28.5">
      <c r="A41" s="855" t="s">
        <v>1137</v>
      </c>
      <c r="B41" s="44" t="s">
        <v>5860</v>
      </c>
      <c r="C41" s="264" t="s">
        <v>2016</v>
      </c>
      <c r="D41" s="264" t="s">
        <v>51</v>
      </c>
      <c r="E41" s="264">
        <f t="shared" ref="E41:E52" si="0">20*20/10000</f>
        <v>0.04</v>
      </c>
      <c r="F41" s="264" t="s">
        <v>387</v>
      </c>
      <c r="G41" s="491" t="s">
        <v>5857</v>
      </c>
      <c r="H41" s="264" t="s">
        <v>5858</v>
      </c>
      <c r="I41" s="264" t="s">
        <v>5859</v>
      </c>
      <c r="J41" s="545">
        <f t="shared" ref="J41:J61" si="1">1000000000*E41/4</f>
        <v>10000000</v>
      </c>
    </row>
    <row r="42" spans="1:10" ht="28.5">
      <c r="A42" s="855" t="s">
        <v>1137</v>
      </c>
      <c r="B42" s="44" t="s">
        <v>3709</v>
      </c>
      <c r="C42" s="264" t="s">
        <v>5861</v>
      </c>
      <c r="D42" s="264" t="s">
        <v>51</v>
      </c>
      <c r="E42" s="264">
        <f>100*15/10000</f>
        <v>0.15</v>
      </c>
      <c r="F42" s="264" t="s">
        <v>387</v>
      </c>
      <c r="G42" s="491" t="s">
        <v>5857</v>
      </c>
      <c r="H42" s="264" t="s">
        <v>5858</v>
      </c>
      <c r="I42" s="264" t="s">
        <v>5859</v>
      </c>
      <c r="J42" s="545">
        <f t="shared" si="1"/>
        <v>37500000</v>
      </c>
    </row>
    <row r="43" spans="1:10" ht="28.5">
      <c r="A43" s="855" t="s">
        <v>1137</v>
      </c>
      <c r="B43" s="44" t="s">
        <v>2803</v>
      </c>
      <c r="C43" s="264" t="s">
        <v>5861</v>
      </c>
      <c r="D43" s="264" t="s">
        <v>51</v>
      </c>
      <c r="E43" s="264">
        <f t="shared" si="0"/>
        <v>0.04</v>
      </c>
      <c r="F43" s="264" t="s">
        <v>387</v>
      </c>
      <c r="G43" s="491" t="s">
        <v>5857</v>
      </c>
      <c r="H43" s="264" t="s">
        <v>5858</v>
      </c>
      <c r="I43" s="264" t="s">
        <v>5859</v>
      </c>
      <c r="J43" s="545">
        <f t="shared" si="1"/>
        <v>10000000</v>
      </c>
    </row>
    <row r="44" spans="1:10" ht="28.5">
      <c r="A44" s="855" t="s">
        <v>1137</v>
      </c>
      <c r="B44" s="44" t="s">
        <v>5862</v>
      </c>
      <c r="C44" s="264" t="s">
        <v>2016</v>
      </c>
      <c r="D44" s="264" t="s">
        <v>51</v>
      </c>
      <c r="E44" s="264">
        <f t="shared" si="0"/>
        <v>0.04</v>
      </c>
      <c r="F44" s="264" t="s">
        <v>387</v>
      </c>
      <c r="G44" s="491" t="s">
        <v>5857</v>
      </c>
      <c r="H44" s="264" t="s">
        <v>5858</v>
      </c>
      <c r="I44" s="264" t="s">
        <v>5859</v>
      </c>
      <c r="J44" s="545">
        <f t="shared" si="1"/>
        <v>10000000</v>
      </c>
    </row>
    <row r="45" spans="1:10" ht="38.25">
      <c r="A45" s="855" t="s">
        <v>1137</v>
      </c>
      <c r="B45" s="44" t="s">
        <v>5863</v>
      </c>
      <c r="C45" s="264" t="s">
        <v>2016</v>
      </c>
      <c r="D45" s="264" t="s">
        <v>51</v>
      </c>
      <c r="E45" s="264">
        <f t="shared" si="0"/>
        <v>0.04</v>
      </c>
      <c r="F45" s="264" t="s">
        <v>387</v>
      </c>
      <c r="G45" s="491" t="s">
        <v>5857</v>
      </c>
      <c r="H45" s="264" t="s">
        <v>5858</v>
      </c>
      <c r="I45" s="264" t="s">
        <v>5859</v>
      </c>
      <c r="J45" s="545">
        <f t="shared" si="1"/>
        <v>10000000</v>
      </c>
    </row>
    <row r="46" spans="1:10" ht="28.5">
      <c r="A46" s="855" t="s">
        <v>3080</v>
      </c>
      <c r="B46" s="44" t="s">
        <v>5864</v>
      </c>
      <c r="C46" s="264" t="s">
        <v>2016</v>
      </c>
      <c r="D46" s="264" t="s">
        <v>51</v>
      </c>
      <c r="E46" s="264">
        <f>100*15/10000</f>
        <v>0.15</v>
      </c>
      <c r="F46" s="264" t="s">
        <v>387</v>
      </c>
      <c r="G46" s="491" t="s">
        <v>5857</v>
      </c>
      <c r="H46" s="264" t="s">
        <v>5858</v>
      </c>
      <c r="I46" s="264" t="s">
        <v>5859</v>
      </c>
      <c r="J46" s="545">
        <f t="shared" si="1"/>
        <v>37500000</v>
      </c>
    </row>
    <row r="47" spans="1:10" ht="28.5">
      <c r="A47" s="855" t="s">
        <v>1137</v>
      </c>
      <c r="B47" s="44" t="s">
        <v>5865</v>
      </c>
      <c r="C47" s="264" t="s">
        <v>5861</v>
      </c>
      <c r="D47" s="264" t="s">
        <v>51</v>
      </c>
      <c r="E47" s="264">
        <f>20*25/10000</f>
        <v>0.05</v>
      </c>
      <c r="F47" s="264" t="s">
        <v>387</v>
      </c>
      <c r="G47" s="491" t="s">
        <v>5857</v>
      </c>
      <c r="H47" s="264" t="s">
        <v>5858</v>
      </c>
      <c r="I47" s="264" t="s">
        <v>5859</v>
      </c>
      <c r="J47" s="545">
        <f t="shared" si="1"/>
        <v>12500000</v>
      </c>
    </row>
    <row r="48" spans="1:10" ht="28.5">
      <c r="A48" s="855" t="s">
        <v>2931</v>
      </c>
      <c r="B48" s="44" t="s">
        <v>5866</v>
      </c>
      <c r="C48" s="264" t="s">
        <v>130</v>
      </c>
      <c r="D48" s="264" t="s">
        <v>51</v>
      </c>
      <c r="E48" s="264">
        <f>15*15/10000</f>
        <v>2.2499999999999999E-2</v>
      </c>
      <c r="F48" s="264" t="s">
        <v>387</v>
      </c>
      <c r="G48" s="491" t="s">
        <v>5857</v>
      </c>
      <c r="H48" s="264" t="s">
        <v>5858</v>
      </c>
      <c r="I48" s="264" t="s">
        <v>5859</v>
      </c>
      <c r="J48" s="545">
        <f t="shared" si="1"/>
        <v>5625000</v>
      </c>
    </row>
    <row r="49" spans="1:10" ht="28.5">
      <c r="A49" s="855" t="s">
        <v>2826</v>
      </c>
      <c r="B49" s="44" t="s">
        <v>5867</v>
      </c>
      <c r="C49" s="264" t="s">
        <v>4431</v>
      </c>
      <c r="D49" s="264" t="s">
        <v>51</v>
      </c>
      <c r="E49" s="264">
        <f>20*25/10000</f>
        <v>0.05</v>
      </c>
      <c r="F49" s="264" t="s">
        <v>387</v>
      </c>
      <c r="G49" s="491" t="s">
        <v>5857</v>
      </c>
      <c r="H49" s="264" t="s">
        <v>5858</v>
      </c>
      <c r="I49" s="264" t="s">
        <v>5859</v>
      </c>
      <c r="J49" s="545">
        <f t="shared" si="1"/>
        <v>12500000</v>
      </c>
    </row>
    <row r="50" spans="1:10" ht="28.5">
      <c r="A50" s="855" t="s">
        <v>2826</v>
      </c>
      <c r="B50" s="44" t="s">
        <v>5868</v>
      </c>
      <c r="C50" s="264" t="s">
        <v>4098</v>
      </c>
      <c r="D50" s="264" t="s">
        <v>51</v>
      </c>
      <c r="E50" s="264">
        <f>15*60/10000</f>
        <v>0.09</v>
      </c>
      <c r="F50" s="264" t="s">
        <v>387</v>
      </c>
      <c r="G50" s="491" t="s">
        <v>5857</v>
      </c>
      <c r="H50" s="264" t="s">
        <v>5858</v>
      </c>
      <c r="I50" s="264" t="s">
        <v>5859</v>
      </c>
      <c r="J50" s="545">
        <f t="shared" si="1"/>
        <v>22500000</v>
      </c>
    </row>
    <row r="51" spans="1:10" ht="28.5">
      <c r="A51" s="855" t="s">
        <v>4071</v>
      </c>
      <c r="B51" s="44" t="s">
        <v>2916</v>
      </c>
      <c r="C51" s="264" t="s">
        <v>4431</v>
      </c>
      <c r="D51" s="264" t="s">
        <v>51</v>
      </c>
      <c r="E51" s="264">
        <f t="shared" si="0"/>
        <v>0.04</v>
      </c>
      <c r="F51" s="264" t="s">
        <v>387</v>
      </c>
      <c r="G51" s="491" t="s">
        <v>5857</v>
      </c>
      <c r="H51" s="264" t="s">
        <v>5858</v>
      </c>
      <c r="I51" s="264" t="s">
        <v>5859</v>
      </c>
      <c r="J51" s="545">
        <f t="shared" si="1"/>
        <v>10000000</v>
      </c>
    </row>
    <row r="52" spans="1:10" ht="28.5">
      <c r="A52" s="855" t="s">
        <v>2952</v>
      </c>
      <c r="B52" s="44" t="s">
        <v>5869</v>
      </c>
      <c r="C52" s="264" t="s">
        <v>3135</v>
      </c>
      <c r="D52" s="264" t="s">
        <v>51</v>
      </c>
      <c r="E52" s="264">
        <f t="shared" si="0"/>
        <v>0.04</v>
      </c>
      <c r="F52" s="264" t="s">
        <v>387</v>
      </c>
      <c r="G52" s="491" t="s">
        <v>5857</v>
      </c>
      <c r="H52" s="264" t="s">
        <v>5858</v>
      </c>
      <c r="I52" s="264" t="s">
        <v>5859</v>
      </c>
      <c r="J52" s="545">
        <f t="shared" si="1"/>
        <v>10000000</v>
      </c>
    </row>
    <row r="53" spans="1:10" ht="28.5">
      <c r="A53" s="855" t="s">
        <v>2952</v>
      </c>
      <c r="B53" s="44" t="s">
        <v>5870</v>
      </c>
      <c r="C53" s="264" t="s">
        <v>3135</v>
      </c>
      <c r="D53" s="264" t="s">
        <v>51</v>
      </c>
      <c r="E53" s="264">
        <v>0.75</v>
      </c>
      <c r="F53" s="264" t="s">
        <v>387</v>
      </c>
      <c r="G53" s="491" t="s">
        <v>5857</v>
      </c>
      <c r="H53" s="264" t="s">
        <v>5858</v>
      </c>
      <c r="I53" s="264" t="s">
        <v>5859</v>
      </c>
      <c r="J53" s="545">
        <f t="shared" si="1"/>
        <v>187500000</v>
      </c>
    </row>
    <row r="54" spans="1:10" ht="28.5">
      <c r="A54" s="855" t="s">
        <v>3115</v>
      </c>
      <c r="B54" s="44" t="s">
        <v>2863</v>
      </c>
      <c r="C54" s="264" t="s">
        <v>4098</v>
      </c>
      <c r="D54" s="264" t="s">
        <v>51</v>
      </c>
      <c r="E54" s="264">
        <f>100*10/10000</f>
        <v>0.1</v>
      </c>
      <c r="F54" s="264" t="s">
        <v>387</v>
      </c>
      <c r="G54" s="491" t="s">
        <v>5857</v>
      </c>
      <c r="H54" s="264" t="s">
        <v>5858</v>
      </c>
      <c r="I54" s="264" t="s">
        <v>5859</v>
      </c>
      <c r="J54" s="545">
        <f t="shared" si="1"/>
        <v>25000000</v>
      </c>
    </row>
    <row r="55" spans="1:10" ht="28.5">
      <c r="A55" s="855" t="s">
        <v>5871</v>
      </c>
      <c r="B55" s="44" t="s">
        <v>5872</v>
      </c>
      <c r="C55" s="264" t="s">
        <v>5861</v>
      </c>
      <c r="D55" s="264" t="s">
        <v>51</v>
      </c>
      <c r="E55" s="264">
        <f>100*15/10000</f>
        <v>0.15</v>
      </c>
      <c r="F55" s="264" t="s">
        <v>387</v>
      </c>
      <c r="G55" s="491" t="s">
        <v>5857</v>
      </c>
      <c r="H55" s="264" t="s">
        <v>5858</v>
      </c>
      <c r="I55" s="264" t="s">
        <v>5859</v>
      </c>
      <c r="J55" s="545">
        <f t="shared" si="1"/>
        <v>37500000</v>
      </c>
    </row>
    <row r="56" spans="1:10" ht="28.5">
      <c r="A56" s="855" t="s">
        <v>2807</v>
      </c>
      <c r="B56" s="44" t="s">
        <v>5873</v>
      </c>
      <c r="C56" s="264" t="s">
        <v>5861</v>
      </c>
      <c r="D56" s="264" t="s">
        <v>51</v>
      </c>
      <c r="E56" s="264">
        <f>110*50/10000</f>
        <v>0.55000000000000004</v>
      </c>
      <c r="F56" s="264" t="s">
        <v>387</v>
      </c>
      <c r="G56" s="491" t="s">
        <v>5857</v>
      </c>
      <c r="H56" s="264" t="s">
        <v>5858</v>
      </c>
      <c r="I56" s="264" t="s">
        <v>5859</v>
      </c>
      <c r="J56" s="545">
        <f t="shared" si="1"/>
        <v>137500000</v>
      </c>
    </row>
    <row r="57" spans="1:10" ht="28.5">
      <c r="A57" s="855" t="s">
        <v>2807</v>
      </c>
      <c r="B57" s="44" t="s">
        <v>5874</v>
      </c>
      <c r="C57" s="264" t="s">
        <v>5861</v>
      </c>
      <c r="D57" s="264" t="s">
        <v>51</v>
      </c>
      <c r="E57" s="264">
        <v>4</v>
      </c>
      <c r="F57" s="264" t="s">
        <v>387</v>
      </c>
      <c r="G57" s="491" t="s">
        <v>5857</v>
      </c>
      <c r="H57" s="264" t="s">
        <v>5858</v>
      </c>
      <c r="I57" s="264" t="s">
        <v>5859</v>
      </c>
      <c r="J57" s="545">
        <f t="shared" si="1"/>
        <v>1000000000</v>
      </c>
    </row>
    <row r="58" spans="1:10" ht="28.5">
      <c r="A58" s="855" t="s">
        <v>3135</v>
      </c>
      <c r="B58" s="44" t="s">
        <v>5875</v>
      </c>
      <c r="C58" s="264" t="s">
        <v>3135</v>
      </c>
      <c r="D58" s="264" t="s">
        <v>51</v>
      </c>
      <c r="E58" s="264">
        <f>10*5/10000</f>
        <v>5.0000000000000001E-3</v>
      </c>
      <c r="F58" s="264" t="s">
        <v>387</v>
      </c>
      <c r="G58" s="491" t="s">
        <v>5857</v>
      </c>
      <c r="H58" s="264" t="s">
        <v>5858</v>
      </c>
      <c r="I58" s="264" t="s">
        <v>5859</v>
      </c>
      <c r="J58" s="545">
        <f t="shared" si="1"/>
        <v>1250000</v>
      </c>
    </row>
    <row r="59" spans="1:10" ht="28.5">
      <c r="A59" s="855" t="s">
        <v>5876</v>
      </c>
      <c r="B59" s="44" t="s">
        <v>5877</v>
      </c>
      <c r="C59" s="264" t="s">
        <v>5878</v>
      </c>
      <c r="D59" s="264" t="s">
        <v>51</v>
      </c>
      <c r="E59" s="264">
        <v>4</v>
      </c>
      <c r="F59" s="264" t="s">
        <v>387</v>
      </c>
      <c r="G59" s="491" t="s">
        <v>5857</v>
      </c>
      <c r="H59" s="264" t="s">
        <v>5858</v>
      </c>
      <c r="I59" s="264" t="s">
        <v>5859</v>
      </c>
      <c r="J59" s="545">
        <f t="shared" si="1"/>
        <v>1000000000</v>
      </c>
    </row>
    <row r="60" spans="1:10" ht="28.5">
      <c r="A60" s="855" t="s">
        <v>5876</v>
      </c>
      <c r="B60" s="44" t="s">
        <v>5879</v>
      </c>
      <c r="C60" s="264" t="s">
        <v>5878</v>
      </c>
      <c r="D60" s="264" t="s">
        <v>51</v>
      </c>
      <c r="E60" s="264">
        <f>10*5/10000</f>
        <v>5.0000000000000001E-3</v>
      </c>
      <c r="F60" s="264" t="s">
        <v>387</v>
      </c>
      <c r="G60" s="491" t="s">
        <v>5857</v>
      </c>
      <c r="H60" s="264" t="s">
        <v>5858</v>
      </c>
      <c r="I60" s="264" t="s">
        <v>5859</v>
      </c>
      <c r="J60" s="545">
        <f t="shared" si="1"/>
        <v>1250000</v>
      </c>
    </row>
    <row r="61" spans="1:10" ht="28.5">
      <c r="A61" s="855" t="s">
        <v>5876</v>
      </c>
      <c r="B61" s="44" t="s">
        <v>5880</v>
      </c>
      <c r="C61" s="264" t="s">
        <v>2016</v>
      </c>
      <c r="D61" s="264" t="s">
        <v>51</v>
      </c>
      <c r="E61" s="264">
        <v>2</v>
      </c>
      <c r="F61" s="264" t="s">
        <v>387</v>
      </c>
      <c r="G61" s="491" t="s">
        <v>5857</v>
      </c>
      <c r="H61" s="264" t="s">
        <v>1725</v>
      </c>
      <c r="I61" s="264" t="s">
        <v>5859</v>
      </c>
      <c r="J61" s="545">
        <f t="shared" si="1"/>
        <v>500000000</v>
      </c>
    </row>
    <row r="62" spans="1:10" ht="28.5">
      <c r="A62" s="855" t="s">
        <v>2885</v>
      </c>
      <c r="B62" s="44" t="s">
        <v>5881</v>
      </c>
      <c r="C62" s="264" t="s">
        <v>4098</v>
      </c>
      <c r="D62" s="264" t="s">
        <v>5882</v>
      </c>
      <c r="E62" s="264">
        <v>73</v>
      </c>
      <c r="F62" s="264" t="s">
        <v>387</v>
      </c>
      <c r="G62" s="491">
        <v>50000000</v>
      </c>
      <c r="H62" s="264" t="s">
        <v>5858</v>
      </c>
      <c r="I62" s="264" t="s">
        <v>5883</v>
      </c>
      <c r="J62" s="545">
        <v>50000000</v>
      </c>
    </row>
    <row r="63" spans="1:10" ht="15.75">
      <c r="A63" s="893" t="s">
        <v>189</v>
      </c>
      <c r="B63" s="14"/>
      <c r="C63" s="14"/>
      <c r="D63" s="14"/>
      <c r="E63" s="14"/>
      <c r="F63" s="14"/>
      <c r="G63" s="488">
        <f>SUM(G40:G62)</f>
        <v>50000000</v>
      </c>
      <c r="H63" s="14"/>
      <c r="I63" s="14"/>
      <c r="J63" s="894">
        <f>SUM(J40:J62)</f>
        <v>3138125000</v>
      </c>
    </row>
    <row r="64" spans="1:10" ht="15.75">
      <c r="A64" s="1103" t="s">
        <v>6415</v>
      </c>
      <c r="B64" s="1104"/>
      <c r="C64" s="1104"/>
      <c r="D64" s="1104"/>
      <c r="E64" s="1104"/>
      <c r="F64" s="1104"/>
      <c r="G64" s="1104"/>
      <c r="H64" s="1104"/>
      <c r="I64" s="1104"/>
      <c r="J64" s="1105"/>
    </row>
    <row r="65" spans="1:10" ht="28.5">
      <c r="A65" s="895" t="s">
        <v>4113</v>
      </c>
      <c r="B65" s="270" t="s">
        <v>4113</v>
      </c>
      <c r="C65" s="271" t="s">
        <v>6408</v>
      </c>
      <c r="D65" s="270" t="s">
        <v>6409</v>
      </c>
      <c r="E65" s="270">
        <v>7.0888999999999998</v>
      </c>
      <c r="F65" s="270" t="s">
        <v>6410</v>
      </c>
      <c r="G65" s="495" t="s">
        <v>6411</v>
      </c>
      <c r="H65" s="270" t="s">
        <v>18</v>
      </c>
      <c r="I65" s="270" t="s">
        <v>6412</v>
      </c>
      <c r="J65" s="496">
        <f>+E65*10000*300</f>
        <v>21266700</v>
      </c>
    </row>
    <row r="66" spans="1:10" ht="28.5">
      <c r="A66" s="895" t="s">
        <v>4113</v>
      </c>
      <c r="B66" s="270" t="s">
        <v>4113</v>
      </c>
      <c r="C66" s="271" t="s">
        <v>6408</v>
      </c>
      <c r="D66" s="270" t="s">
        <v>6409</v>
      </c>
      <c r="E66" s="270">
        <v>9.5595999999999997</v>
      </c>
      <c r="F66" s="270" t="s">
        <v>6410</v>
      </c>
      <c r="G66" s="495" t="s">
        <v>6411</v>
      </c>
      <c r="H66" s="270" t="s">
        <v>18</v>
      </c>
      <c r="I66" s="270" t="s">
        <v>6412</v>
      </c>
      <c r="J66" s="496">
        <f t="shared" ref="J66:J112" si="2">+E66*10000*300</f>
        <v>28678800</v>
      </c>
    </row>
    <row r="67" spans="1:10" ht="28.5">
      <c r="A67" s="895" t="s">
        <v>6413</v>
      </c>
      <c r="B67" s="270" t="s">
        <v>6413</v>
      </c>
      <c r="C67" s="271" t="s">
        <v>6408</v>
      </c>
      <c r="D67" s="270" t="s">
        <v>6409</v>
      </c>
      <c r="E67" s="270">
        <v>7.1291000000000002</v>
      </c>
      <c r="F67" s="270" t="s">
        <v>6410</v>
      </c>
      <c r="G67" s="495" t="s">
        <v>6411</v>
      </c>
      <c r="H67" s="270" t="s">
        <v>30</v>
      </c>
      <c r="I67" s="270" t="s">
        <v>6412</v>
      </c>
      <c r="J67" s="496">
        <f t="shared" si="2"/>
        <v>21387300</v>
      </c>
    </row>
    <row r="68" spans="1:10" ht="28.5">
      <c r="A68" s="895" t="s">
        <v>4113</v>
      </c>
      <c r="B68" s="270" t="s">
        <v>4113</v>
      </c>
      <c r="C68" s="271" t="s">
        <v>6408</v>
      </c>
      <c r="D68" s="270" t="s">
        <v>6409</v>
      </c>
      <c r="E68" s="270">
        <v>0.127</v>
      </c>
      <c r="F68" s="270" t="s">
        <v>6410</v>
      </c>
      <c r="G68" s="495" t="s">
        <v>6411</v>
      </c>
      <c r="H68" s="270" t="s">
        <v>18</v>
      </c>
      <c r="I68" s="270" t="s">
        <v>6412</v>
      </c>
      <c r="J68" s="496">
        <f t="shared" si="2"/>
        <v>381000</v>
      </c>
    </row>
    <row r="69" spans="1:10" ht="28.5">
      <c r="A69" s="895" t="s">
        <v>4113</v>
      </c>
      <c r="B69" s="270" t="s">
        <v>4113</v>
      </c>
      <c r="C69" s="271" t="s">
        <v>6408</v>
      </c>
      <c r="D69" s="270" t="s">
        <v>6409</v>
      </c>
      <c r="E69" s="270">
        <v>2.2574000000000001</v>
      </c>
      <c r="F69" s="270" t="s">
        <v>6410</v>
      </c>
      <c r="G69" s="495" t="s">
        <v>6411</v>
      </c>
      <c r="H69" s="270" t="s">
        <v>18</v>
      </c>
      <c r="I69" s="270" t="s">
        <v>6412</v>
      </c>
      <c r="J69" s="496">
        <f t="shared" si="2"/>
        <v>6772200</v>
      </c>
    </row>
    <row r="70" spans="1:10" ht="28.5">
      <c r="A70" s="895" t="s">
        <v>4113</v>
      </c>
      <c r="B70" s="270" t="s">
        <v>4113</v>
      </c>
      <c r="C70" s="271" t="s">
        <v>6408</v>
      </c>
      <c r="D70" s="270" t="s">
        <v>6409</v>
      </c>
      <c r="E70" s="270">
        <v>8.4756999999999998</v>
      </c>
      <c r="F70" s="270" t="s">
        <v>6410</v>
      </c>
      <c r="G70" s="495" t="s">
        <v>6411</v>
      </c>
      <c r="H70" s="270" t="s">
        <v>18</v>
      </c>
      <c r="I70" s="270" t="s">
        <v>6412</v>
      </c>
      <c r="J70" s="496">
        <f t="shared" si="2"/>
        <v>25427100</v>
      </c>
    </row>
    <row r="71" spans="1:10" ht="28.5">
      <c r="A71" s="895" t="s">
        <v>4113</v>
      </c>
      <c r="B71" s="270" t="s">
        <v>4113</v>
      </c>
      <c r="C71" s="271" t="s">
        <v>6408</v>
      </c>
      <c r="D71" s="270" t="s">
        <v>6409</v>
      </c>
      <c r="E71" s="270">
        <v>3.2599999999999997E-2</v>
      </c>
      <c r="F71" s="270" t="s">
        <v>6410</v>
      </c>
      <c r="G71" s="495" t="s">
        <v>6411</v>
      </c>
      <c r="H71" s="270" t="s">
        <v>18</v>
      </c>
      <c r="I71" s="270" t="s">
        <v>6412</v>
      </c>
      <c r="J71" s="496">
        <f t="shared" si="2"/>
        <v>97799.999999999985</v>
      </c>
    </row>
    <row r="72" spans="1:10" ht="28.5">
      <c r="A72" s="895" t="s">
        <v>4113</v>
      </c>
      <c r="B72" s="270" t="s">
        <v>4113</v>
      </c>
      <c r="C72" s="271" t="s">
        <v>6408</v>
      </c>
      <c r="D72" s="270" t="s">
        <v>6409</v>
      </c>
      <c r="E72" s="270">
        <v>3.1399999999999997E-2</v>
      </c>
      <c r="F72" s="270" t="s">
        <v>6410</v>
      </c>
      <c r="G72" s="495" t="s">
        <v>6411</v>
      </c>
      <c r="H72" s="270" t="s">
        <v>18</v>
      </c>
      <c r="I72" s="270" t="s">
        <v>6412</v>
      </c>
      <c r="J72" s="496">
        <f t="shared" si="2"/>
        <v>94200</v>
      </c>
    </row>
    <row r="73" spans="1:10" ht="28.5">
      <c r="A73" s="895" t="s">
        <v>4113</v>
      </c>
      <c r="B73" s="270" t="s">
        <v>4113</v>
      </c>
      <c r="C73" s="271" t="s">
        <v>6408</v>
      </c>
      <c r="D73" s="270" t="s">
        <v>6409</v>
      </c>
      <c r="E73" s="270">
        <v>3.3399999999999999E-2</v>
      </c>
      <c r="F73" s="270" t="s">
        <v>6410</v>
      </c>
      <c r="G73" s="495" t="s">
        <v>6411</v>
      </c>
      <c r="H73" s="270" t="s">
        <v>18</v>
      </c>
      <c r="I73" s="270" t="s">
        <v>6412</v>
      </c>
      <c r="J73" s="496">
        <f t="shared" si="2"/>
        <v>100200</v>
      </c>
    </row>
    <row r="74" spans="1:10" ht="28.5">
      <c r="A74" s="895" t="s">
        <v>6414</v>
      </c>
      <c r="B74" s="270" t="s">
        <v>6414</v>
      </c>
      <c r="C74" s="271" t="s">
        <v>6408</v>
      </c>
      <c r="D74" s="270" t="s">
        <v>6409</v>
      </c>
      <c r="E74" s="270">
        <v>1.1093999999999999</v>
      </c>
      <c r="F74" s="270" t="s">
        <v>6410</v>
      </c>
      <c r="G74" s="495" t="s">
        <v>6411</v>
      </c>
      <c r="H74" s="270" t="s">
        <v>18</v>
      </c>
      <c r="I74" s="270" t="s">
        <v>6412</v>
      </c>
      <c r="J74" s="496">
        <f t="shared" si="2"/>
        <v>3328200</v>
      </c>
    </row>
    <row r="75" spans="1:10" ht="28.5">
      <c r="A75" s="895" t="s">
        <v>4113</v>
      </c>
      <c r="B75" s="270" t="s">
        <v>4113</v>
      </c>
      <c r="C75" s="271" t="s">
        <v>6408</v>
      </c>
      <c r="D75" s="270" t="s">
        <v>6409</v>
      </c>
      <c r="E75" s="270">
        <v>3.1399999999999997E-2</v>
      </c>
      <c r="F75" s="270" t="s">
        <v>6410</v>
      </c>
      <c r="G75" s="495" t="s">
        <v>6411</v>
      </c>
      <c r="H75" s="270" t="s">
        <v>18</v>
      </c>
      <c r="I75" s="270" t="s">
        <v>6412</v>
      </c>
      <c r="J75" s="496">
        <f t="shared" si="2"/>
        <v>94200</v>
      </c>
    </row>
    <row r="76" spans="1:10" ht="28.5">
      <c r="A76" s="895" t="s">
        <v>6413</v>
      </c>
      <c r="B76" s="270" t="s">
        <v>6413</v>
      </c>
      <c r="C76" s="271" t="s">
        <v>6408</v>
      </c>
      <c r="D76" s="270" t="s">
        <v>6409</v>
      </c>
      <c r="E76" s="270">
        <v>9.4899999999999998E-2</v>
      </c>
      <c r="F76" s="270" t="s">
        <v>6410</v>
      </c>
      <c r="G76" s="495" t="s">
        <v>6411</v>
      </c>
      <c r="H76" s="270" t="s">
        <v>30</v>
      </c>
      <c r="I76" s="270" t="s">
        <v>6412</v>
      </c>
      <c r="J76" s="496">
        <f t="shared" si="2"/>
        <v>284700</v>
      </c>
    </row>
    <row r="77" spans="1:10" ht="28.5">
      <c r="A77" s="895" t="s">
        <v>6413</v>
      </c>
      <c r="B77" s="270" t="s">
        <v>6413</v>
      </c>
      <c r="C77" s="271" t="s">
        <v>6408</v>
      </c>
      <c r="D77" s="270" t="s">
        <v>6409</v>
      </c>
      <c r="E77" s="270">
        <v>0.15870000000000001</v>
      </c>
      <c r="F77" s="270" t="s">
        <v>6410</v>
      </c>
      <c r="G77" s="495" t="s">
        <v>6411</v>
      </c>
      <c r="H77" s="270" t="s">
        <v>30</v>
      </c>
      <c r="I77" s="270" t="s">
        <v>6412</v>
      </c>
      <c r="J77" s="496">
        <f t="shared" si="2"/>
        <v>476100</v>
      </c>
    </row>
    <row r="78" spans="1:10" ht="28.5">
      <c r="A78" s="895" t="s">
        <v>6413</v>
      </c>
      <c r="B78" s="270" t="s">
        <v>6413</v>
      </c>
      <c r="C78" s="271" t="s">
        <v>6408</v>
      </c>
      <c r="D78" s="270" t="s">
        <v>6409</v>
      </c>
      <c r="E78" s="270">
        <v>2.8212999999999999</v>
      </c>
      <c r="F78" s="270" t="s">
        <v>6410</v>
      </c>
      <c r="G78" s="495" t="s">
        <v>6411</v>
      </c>
      <c r="H78" s="270" t="s">
        <v>30</v>
      </c>
      <c r="I78" s="270" t="s">
        <v>6412</v>
      </c>
      <c r="J78" s="496">
        <f t="shared" si="2"/>
        <v>8463900</v>
      </c>
    </row>
    <row r="79" spans="1:10" ht="28.5">
      <c r="A79" s="895" t="s">
        <v>6413</v>
      </c>
      <c r="B79" s="270" t="s">
        <v>6413</v>
      </c>
      <c r="C79" s="271" t="s">
        <v>6408</v>
      </c>
      <c r="D79" s="270" t="s">
        <v>6409</v>
      </c>
      <c r="E79" s="270">
        <v>1.4039999999999999</v>
      </c>
      <c r="F79" s="270" t="s">
        <v>6410</v>
      </c>
      <c r="G79" s="495" t="s">
        <v>6411</v>
      </c>
      <c r="H79" s="270" t="s">
        <v>30</v>
      </c>
      <c r="I79" s="270" t="s">
        <v>6412</v>
      </c>
      <c r="J79" s="496">
        <f t="shared" si="2"/>
        <v>4212000</v>
      </c>
    </row>
    <row r="80" spans="1:10" ht="28.5">
      <c r="A80" s="895" t="s">
        <v>4113</v>
      </c>
      <c r="B80" s="270" t="s">
        <v>4113</v>
      </c>
      <c r="C80" s="271" t="s">
        <v>6408</v>
      </c>
      <c r="D80" s="270" t="s">
        <v>6409</v>
      </c>
      <c r="E80" s="270">
        <v>0.1167</v>
      </c>
      <c r="F80" s="270" t="s">
        <v>6410</v>
      </c>
      <c r="G80" s="495" t="s">
        <v>6411</v>
      </c>
      <c r="H80" s="270" t="s">
        <v>18</v>
      </c>
      <c r="I80" s="270" t="s">
        <v>6412</v>
      </c>
      <c r="J80" s="496">
        <f t="shared" si="2"/>
        <v>350100</v>
      </c>
    </row>
    <row r="81" spans="1:10" ht="28.5">
      <c r="A81" s="895" t="s">
        <v>4113</v>
      </c>
      <c r="B81" s="270" t="s">
        <v>4113</v>
      </c>
      <c r="C81" s="271" t="s">
        <v>6408</v>
      </c>
      <c r="D81" s="270" t="s">
        <v>6409</v>
      </c>
      <c r="E81" s="270">
        <v>1.0583</v>
      </c>
      <c r="F81" s="270" t="s">
        <v>6410</v>
      </c>
      <c r="G81" s="495" t="s">
        <v>6411</v>
      </c>
      <c r="H81" s="270" t="s">
        <v>18</v>
      </c>
      <c r="I81" s="270" t="s">
        <v>6412</v>
      </c>
      <c r="J81" s="496">
        <f t="shared" si="2"/>
        <v>3174900</v>
      </c>
    </row>
    <row r="82" spans="1:10" ht="28.5">
      <c r="A82" s="895" t="s">
        <v>6414</v>
      </c>
      <c r="B82" s="270" t="s">
        <v>6414</v>
      </c>
      <c r="C82" s="271" t="s">
        <v>6408</v>
      </c>
      <c r="D82" s="270" t="s">
        <v>6409</v>
      </c>
      <c r="E82" s="270">
        <v>1.0615000000000001</v>
      </c>
      <c r="F82" s="270" t="s">
        <v>6410</v>
      </c>
      <c r="G82" s="495" t="s">
        <v>6411</v>
      </c>
      <c r="H82" s="270" t="s">
        <v>18</v>
      </c>
      <c r="I82" s="270" t="s">
        <v>6412</v>
      </c>
      <c r="J82" s="496">
        <f t="shared" si="2"/>
        <v>3184500.0000000005</v>
      </c>
    </row>
    <row r="83" spans="1:10" ht="28.5">
      <c r="A83" s="895" t="s">
        <v>4113</v>
      </c>
      <c r="B83" s="270" t="s">
        <v>4113</v>
      </c>
      <c r="C83" s="271" t="s">
        <v>6408</v>
      </c>
      <c r="D83" s="270" t="s">
        <v>6409</v>
      </c>
      <c r="E83" s="270">
        <v>0.99580000000000002</v>
      </c>
      <c r="F83" s="270" t="s">
        <v>6410</v>
      </c>
      <c r="G83" s="495" t="s">
        <v>6411</v>
      </c>
      <c r="H83" s="270" t="s">
        <v>18</v>
      </c>
      <c r="I83" s="270" t="s">
        <v>6412</v>
      </c>
      <c r="J83" s="496">
        <f t="shared" si="2"/>
        <v>2987400</v>
      </c>
    </row>
    <row r="84" spans="1:10" ht="28.5">
      <c r="A84" s="895" t="s">
        <v>4113</v>
      </c>
      <c r="B84" s="270" t="s">
        <v>4113</v>
      </c>
      <c r="C84" s="271" t="s">
        <v>6408</v>
      </c>
      <c r="D84" s="270" t="s">
        <v>6409</v>
      </c>
      <c r="E84" s="270">
        <v>3.2599999999999997E-2</v>
      </c>
      <c r="F84" s="270" t="s">
        <v>6410</v>
      </c>
      <c r="G84" s="495" t="s">
        <v>6411</v>
      </c>
      <c r="H84" s="270" t="s">
        <v>18</v>
      </c>
      <c r="I84" s="270" t="s">
        <v>6412</v>
      </c>
      <c r="J84" s="496">
        <f t="shared" si="2"/>
        <v>97799.999999999985</v>
      </c>
    </row>
    <row r="85" spans="1:10" ht="28.5">
      <c r="A85" s="895" t="s">
        <v>4113</v>
      </c>
      <c r="B85" s="270" t="s">
        <v>4113</v>
      </c>
      <c r="C85" s="271" t="s">
        <v>6408</v>
      </c>
      <c r="D85" s="270" t="s">
        <v>6409</v>
      </c>
      <c r="E85" s="270">
        <v>0.4622</v>
      </c>
      <c r="F85" s="270" t="s">
        <v>6410</v>
      </c>
      <c r="G85" s="495" t="s">
        <v>6411</v>
      </c>
      <c r="H85" s="270" t="s">
        <v>18</v>
      </c>
      <c r="I85" s="270" t="s">
        <v>6412</v>
      </c>
      <c r="J85" s="496">
        <f t="shared" si="2"/>
        <v>1386600</v>
      </c>
    </row>
    <row r="86" spans="1:10" ht="28.5">
      <c r="A86" s="895" t="s">
        <v>4113</v>
      </c>
      <c r="B86" s="270" t="s">
        <v>4113</v>
      </c>
      <c r="C86" s="271" t="s">
        <v>6408</v>
      </c>
      <c r="D86" s="270" t="s">
        <v>6409</v>
      </c>
      <c r="E86" s="270">
        <v>1.4277</v>
      </c>
      <c r="F86" s="270" t="s">
        <v>6410</v>
      </c>
      <c r="G86" s="495" t="s">
        <v>6411</v>
      </c>
      <c r="H86" s="270" t="s">
        <v>18</v>
      </c>
      <c r="I86" s="270" t="s">
        <v>6412</v>
      </c>
      <c r="J86" s="496">
        <f t="shared" si="2"/>
        <v>4283100</v>
      </c>
    </row>
    <row r="87" spans="1:10" ht="28.5">
      <c r="A87" s="895" t="s">
        <v>4113</v>
      </c>
      <c r="B87" s="270" t="s">
        <v>4113</v>
      </c>
      <c r="C87" s="271" t="s">
        <v>6408</v>
      </c>
      <c r="D87" s="270" t="s">
        <v>6409</v>
      </c>
      <c r="E87" s="270">
        <v>1.9718</v>
      </c>
      <c r="F87" s="270" t="s">
        <v>6410</v>
      </c>
      <c r="G87" s="495" t="s">
        <v>6411</v>
      </c>
      <c r="H87" s="270" t="s">
        <v>18</v>
      </c>
      <c r="I87" s="270" t="s">
        <v>6412</v>
      </c>
      <c r="J87" s="496">
        <f t="shared" si="2"/>
        <v>5915400</v>
      </c>
    </row>
    <row r="88" spans="1:10" ht="28.5">
      <c r="A88" s="895" t="s">
        <v>4113</v>
      </c>
      <c r="B88" s="270" t="s">
        <v>4113</v>
      </c>
      <c r="C88" s="271" t="s">
        <v>6408</v>
      </c>
      <c r="D88" s="270" t="s">
        <v>6409</v>
      </c>
      <c r="E88" s="270">
        <v>1.0421</v>
      </c>
      <c r="F88" s="270" t="s">
        <v>6410</v>
      </c>
      <c r="G88" s="495" t="s">
        <v>6411</v>
      </c>
      <c r="H88" s="270" t="s">
        <v>18</v>
      </c>
      <c r="I88" s="270" t="s">
        <v>6412</v>
      </c>
      <c r="J88" s="496">
        <f t="shared" si="2"/>
        <v>3126300</v>
      </c>
    </row>
    <row r="89" spans="1:10" ht="28.5">
      <c r="A89" s="895" t="s">
        <v>6413</v>
      </c>
      <c r="B89" s="270" t="s">
        <v>6413</v>
      </c>
      <c r="C89" s="271" t="s">
        <v>6408</v>
      </c>
      <c r="D89" s="270" t="s">
        <v>6409</v>
      </c>
      <c r="E89" s="270">
        <v>1.6619999999999999</v>
      </c>
      <c r="F89" s="270" t="s">
        <v>6410</v>
      </c>
      <c r="G89" s="495" t="s">
        <v>6411</v>
      </c>
      <c r="H89" s="270" t="s">
        <v>18</v>
      </c>
      <c r="I89" s="270" t="s">
        <v>6412</v>
      </c>
      <c r="J89" s="496">
        <f t="shared" si="2"/>
        <v>4986000</v>
      </c>
    </row>
    <row r="90" spans="1:10" ht="28.5">
      <c r="A90" s="895" t="s">
        <v>6413</v>
      </c>
      <c r="B90" s="270" t="s">
        <v>6413</v>
      </c>
      <c r="C90" s="271" t="s">
        <v>6408</v>
      </c>
      <c r="D90" s="270" t="s">
        <v>6409</v>
      </c>
      <c r="E90" s="270">
        <v>1.9988999999999999</v>
      </c>
      <c r="F90" s="270" t="s">
        <v>6410</v>
      </c>
      <c r="G90" s="495" t="s">
        <v>6411</v>
      </c>
      <c r="H90" s="270" t="s">
        <v>18</v>
      </c>
      <c r="I90" s="270" t="s">
        <v>6412</v>
      </c>
      <c r="J90" s="496">
        <f t="shared" si="2"/>
        <v>5996700</v>
      </c>
    </row>
    <row r="91" spans="1:10" ht="28.5">
      <c r="A91" s="895" t="s">
        <v>6414</v>
      </c>
      <c r="B91" s="270" t="s">
        <v>6414</v>
      </c>
      <c r="C91" s="271" t="s">
        <v>6408</v>
      </c>
      <c r="D91" s="270" t="s">
        <v>6409</v>
      </c>
      <c r="E91" s="270">
        <v>6.4325999999999999</v>
      </c>
      <c r="F91" s="270" t="s">
        <v>6410</v>
      </c>
      <c r="G91" s="495" t="s">
        <v>6411</v>
      </c>
      <c r="H91" s="270" t="s">
        <v>18</v>
      </c>
      <c r="I91" s="270" t="s">
        <v>6412</v>
      </c>
      <c r="J91" s="496">
        <f t="shared" si="2"/>
        <v>19297800</v>
      </c>
    </row>
    <row r="92" spans="1:10" ht="28.5">
      <c r="A92" s="895" t="s">
        <v>4113</v>
      </c>
      <c r="B92" s="270" t="s">
        <v>4113</v>
      </c>
      <c r="C92" s="271" t="s">
        <v>6408</v>
      </c>
      <c r="D92" s="270" t="s">
        <v>6409</v>
      </c>
      <c r="E92" s="270">
        <v>1.6659999999999999</v>
      </c>
      <c r="F92" s="270" t="s">
        <v>6410</v>
      </c>
      <c r="G92" s="495" t="s">
        <v>6411</v>
      </c>
      <c r="H92" s="270" t="s">
        <v>18</v>
      </c>
      <c r="I92" s="270" t="s">
        <v>6412</v>
      </c>
      <c r="J92" s="496">
        <f t="shared" si="2"/>
        <v>4998000</v>
      </c>
    </row>
    <row r="93" spans="1:10" ht="28.5">
      <c r="A93" s="895" t="s">
        <v>6413</v>
      </c>
      <c r="B93" s="270" t="s">
        <v>6413</v>
      </c>
      <c r="C93" s="271" t="s">
        <v>6408</v>
      </c>
      <c r="D93" s="270" t="s">
        <v>6409</v>
      </c>
      <c r="E93" s="270">
        <v>0.69620000000000004</v>
      </c>
      <c r="F93" s="270" t="s">
        <v>6410</v>
      </c>
      <c r="G93" s="495" t="s">
        <v>6411</v>
      </c>
      <c r="H93" s="270" t="s">
        <v>30</v>
      </c>
      <c r="I93" s="270" t="s">
        <v>6412</v>
      </c>
      <c r="J93" s="496">
        <f t="shared" si="2"/>
        <v>2088600</v>
      </c>
    </row>
    <row r="94" spans="1:10" ht="28.5">
      <c r="A94" s="895" t="s">
        <v>6413</v>
      </c>
      <c r="B94" s="270" t="s">
        <v>6413</v>
      </c>
      <c r="C94" s="271" t="s">
        <v>6408</v>
      </c>
      <c r="D94" s="270" t="s">
        <v>6409</v>
      </c>
      <c r="E94" s="270">
        <v>0.3503</v>
      </c>
      <c r="F94" s="270" t="s">
        <v>6410</v>
      </c>
      <c r="G94" s="495" t="s">
        <v>6411</v>
      </c>
      <c r="H94" s="270" t="s">
        <v>18</v>
      </c>
      <c r="I94" s="270" t="s">
        <v>6412</v>
      </c>
      <c r="J94" s="496">
        <f t="shared" si="2"/>
        <v>1050900</v>
      </c>
    </row>
    <row r="95" spans="1:10" ht="28.5">
      <c r="A95" s="895" t="s">
        <v>4113</v>
      </c>
      <c r="B95" s="270" t="s">
        <v>4113</v>
      </c>
      <c r="C95" s="271" t="s">
        <v>6408</v>
      </c>
      <c r="D95" s="270" t="s">
        <v>6409</v>
      </c>
      <c r="E95" s="270">
        <v>2.7928000000000002</v>
      </c>
      <c r="F95" s="270" t="s">
        <v>6410</v>
      </c>
      <c r="G95" s="495" t="s">
        <v>6411</v>
      </c>
      <c r="H95" s="270" t="s">
        <v>18</v>
      </c>
      <c r="I95" s="270" t="s">
        <v>6412</v>
      </c>
      <c r="J95" s="496">
        <f t="shared" si="2"/>
        <v>8378400</v>
      </c>
    </row>
    <row r="96" spans="1:10" ht="28.5">
      <c r="A96" s="895" t="s">
        <v>4113</v>
      </c>
      <c r="B96" s="270" t="s">
        <v>4113</v>
      </c>
      <c r="C96" s="271" t="s">
        <v>6408</v>
      </c>
      <c r="D96" s="270" t="s">
        <v>6409</v>
      </c>
      <c r="E96" s="270">
        <v>2.3332000000000002</v>
      </c>
      <c r="F96" s="270" t="s">
        <v>6410</v>
      </c>
      <c r="G96" s="495" t="s">
        <v>6411</v>
      </c>
      <c r="H96" s="270" t="s">
        <v>18</v>
      </c>
      <c r="I96" s="270" t="s">
        <v>6412</v>
      </c>
      <c r="J96" s="496">
        <f t="shared" si="2"/>
        <v>6999600</v>
      </c>
    </row>
    <row r="97" spans="1:10" ht="28.5">
      <c r="A97" s="895" t="s">
        <v>6413</v>
      </c>
      <c r="B97" s="270" t="s">
        <v>6413</v>
      </c>
      <c r="C97" s="271" t="s">
        <v>6408</v>
      </c>
      <c r="D97" s="270" t="s">
        <v>6409</v>
      </c>
      <c r="E97" s="270">
        <v>3.8138000000000001</v>
      </c>
      <c r="F97" s="270" t="s">
        <v>6410</v>
      </c>
      <c r="G97" s="495" t="s">
        <v>6411</v>
      </c>
      <c r="H97" s="270" t="s">
        <v>18</v>
      </c>
      <c r="I97" s="270" t="s">
        <v>6412</v>
      </c>
      <c r="J97" s="496">
        <f t="shared" si="2"/>
        <v>11441400</v>
      </c>
    </row>
    <row r="98" spans="1:10" ht="28.5">
      <c r="A98" s="895" t="s">
        <v>6414</v>
      </c>
      <c r="B98" s="270" t="s">
        <v>6414</v>
      </c>
      <c r="C98" s="271" t="s">
        <v>6408</v>
      </c>
      <c r="D98" s="270" t="s">
        <v>6409</v>
      </c>
      <c r="E98" s="270">
        <v>1.2254</v>
      </c>
      <c r="F98" s="270" t="s">
        <v>6410</v>
      </c>
      <c r="G98" s="495" t="s">
        <v>6411</v>
      </c>
      <c r="H98" s="270" t="s">
        <v>18</v>
      </c>
      <c r="I98" s="270" t="s">
        <v>6412</v>
      </c>
      <c r="J98" s="496">
        <f t="shared" si="2"/>
        <v>3676200</v>
      </c>
    </row>
    <row r="99" spans="1:10" ht="28.5">
      <c r="A99" s="895" t="s">
        <v>4113</v>
      </c>
      <c r="B99" s="270" t="s">
        <v>4113</v>
      </c>
      <c r="C99" s="271" t="s">
        <v>6408</v>
      </c>
      <c r="D99" s="270" t="s">
        <v>6409</v>
      </c>
      <c r="E99" s="270">
        <v>0.50570000000000004</v>
      </c>
      <c r="F99" s="270" t="s">
        <v>6410</v>
      </c>
      <c r="G99" s="495" t="s">
        <v>6411</v>
      </c>
      <c r="H99" s="270" t="s">
        <v>18</v>
      </c>
      <c r="I99" s="270" t="s">
        <v>6412</v>
      </c>
      <c r="J99" s="496">
        <f t="shared" si="2"/>
        <v>1517100</v>
      </c>
    </row>
    <row r="100" spans="1:10" ht="28.5">
      <c r="A100" s="895" t="s">
        <v>4113</v>
      </c>
      <c r="B100" s="270" t="s">
        <v>4113</v>
      </c>
      <c r="C100" s="271" t="s">
        <v>6408</v>
      </c>
      <c r="D100" s="270" t="s">
        <v>6409</v>
      </c>
      <c r="E100" s="270">
        <v>3.2145000000000001</v>
      </c>
      <c r="F100" s="270" t="s">
        <v>6410</v>
      </c>
      <c r="G100" s="495" t="s">
        <v>6411</v>
      </c>
      <c r="H100" s="270" t="s">
        <v>18</v>
      </c>
      <c r="I100" s="270" t="s">
        <v>6412</v>
      </c>
      <c r="J100" s="496">
        <f t="shared" si="2"/>
        <v>9643500</v>
      </c>
    </row>
    <row r="101" spans="1:10" ht="28.5">
      <c r="A101" s="895" t="s">
        <v>4113</v>
      </c>
      <c r="B101" s="270" t="s">
        <v>4113</v>
      </c>
      <c r="C101" s="271" t="s">
        <v>6408</v>
      </c>
      <c r="D101" s="270" t="s">
        <v>6409</v>
      </c>
      <c r="E101" s="270">
        <v>2.7056</v>
      </c>
      <c r="F101" s="270" t="s">
        <v>6410</v>
      </c>
      <c r="G101" s="495" t="s">
        <v>6411</v>
      </c>
      <c r="H101" s="270" t="s">
        <v>18</v>
      </c>
      <c r="I101" s="270" t="s">
        <v>6412</v>
      </c>
      <c r="J101" s="496">
        <f t="shared" si="2"/>
        <v>8116800</v>
      </c>
    </row>
    <row r="102" spans="1:10" ht="28.5">
      <c r="A102" s="895" t="s">
        <v>4113</v>
      </c>
      <c r="B102" s="270" t="s">
        <v>4113</v>
      </c>
      <c r="C102" s="271" t="s">
        <v>6408</v>
      </c>
      <c r="D102" s="270" t="s">
        <v>6409</v>
      </c>
      <c r="E102" s="270">
        <v>2.7056</v>
      </c>
      <c r="F102" s="270" t="s">
        <v>6410</v>
      </c>
      <c r="G102" s="495" t="s">
        <v>6411</v>
      </c>
      <c r="H102" s="270" t="s">
        <v>18</v>
      </c>
      <c r="I102" s="270" t="s">
        <v>6412</v>
      </c>
      <c r="J102" s="496">
        <f t="shared" si="2"/>
        <v>8116800</v>
      </c>
    </row>
    <row r="103" spans="1:10" ht="28.5">
      <c r="A103" s="895" t="s">
        <v>4113</v>
      </c>
      <c r="B103" s="270" t="s">
        <v>4113</v>
      </c>
      <c r="C103" s="271" t="s">
        <v>6408</v>
      </c>
      <c r="D103" s="270" t="s">
        <v>6409</v>
      </c>
      <c r="E103" s="270">
        <v>0.87290000000000001</v>
      </c>
      <c r="F103" s="270" t="s">
        <v>6410</v>
      </c>
      <c r="G103" s="495" t="s">
        <v>6411</v>
      </c>
      <c r="H103" s="270" t="s">
        <v>18</v>
      </c>
      <c r="I103" s="270" t="s">
        <v>6412</v>
      </c>
      <c r="J103" s="496">
        <f t="shared" si="2"/>
        <v>2618700</v>
      </c>
    </row>
    <row r="104" spans="1:10" ht="28.5">
      <c r="A104" s="895" t="s">
        <v>4113</v>
      </c>
      <c r="B104" s="270" t="s">
        <v>4113</v>
      </c>
      <c r="C104" s="271" t="s">
        <v>6408</v>
      </c>
      <c r="D104" s="270" t="s">
        <v>6409</v>
      </c>
      <c r="E104" s="270">
        <v>1.7999000000000001</v>
      </c>
      <c r="F104" s="270" t="s">
        <v>6410</v>
      </c>
      <c r="G104" s="495" t="s">
        <v>6411</v>
      </c>
      <c r="H104" s="270" t="s">
        <v>18</v>
      </c>
      <c r="I104" s="270" t="s">
        <v>6412</v>
      </c>
      <c r="J104" s="496">
        <f t="shared" si="2"/>
        <v>5399700</v>
      </c>
    </row>
    <row r="105" spans="1:10" ht="28.5">
      <c r="A105" s="895" t="s">
        <v>6413</v>
      </c>
      <c r="B105" s="270" t="s">
        <v>6413</v>
      </c>
      <c r="C105" s="271" t="s">
        <v>6408</v>
      </c>
      <c r="D105" s="270" t="s">
        <v>6409</v>
      </c>
      <c r="E105" s="270">
        <v>1.8794</v>
      </c>
      <c r="F105" s="270" t="s">
        <v>6410</v>
      </c>
      <c r="G105" s="495" t="s">
        <v>6411</v>
      </c>
      <c r="H105" s="270" t="s">
        <v>18</v>
      </c>
      <c r="I105" s="270" t="s">
        <v>6412</v>
      </c>
      <c r="J105" s="496">
        <f t="shared" si="2"/>
        <v>5638200</v>
      </c>
    </row>
    <row r="106" spans="1:10" ht="28.5">
      <c r="A106" s="895" t="s">
        <v>6413</v>
      </c>
      <c r="B106" s="270" t="s">
        <v>6413</v>
      </c>
      <c r="C106" s="271" t="s">
        <v>6408</v>
      </c>
      <c r="D106" s="270" t="s">
        <v>6409</v>
      </c>
      <c r="E106" s="270">
        <v>1.6715</v>
      </c>
      <c r="F106" s="270" t="s">
        <v>6410</v>
      </c>
      <c r="G106" s="495" t="s">
        <v>6411</v>
      </c>
      <c r="H106" s="270" t="s">
        <v>30</v>
      </c>
      <c r="I106" s="270" t="s">
        <v>6412</v>
      </c>
      <c r="J106" s="496">
        <f t="shared" si="2"/>
        <v>5014500</v>
      </c>
    </row>
    <row r="107" spans="1:10" ht="28.5">
      <c r="A107" s="895" t="s">
        <v>6413</v>
      </c>
      <c r="B107" s="270" t="s">
        <v>6413</v>
      </c>
      <c r="C107" s="271" t="s">
        <v>6408</v>
      </c>
      <c r="D107" s="270" t="s">
        <v>6409</v>
      </c>
      <c r="E107" s="270">
        <v>2.2774000000000001</v>
      </c>
      <c r="F107" s="270" t="s">
        <v>6410</v>
      </c>
      <c r="G107" s="495" t="s">
        <v>6411</v>
      </c>
      <c r="H107" s="270" t="s">
        <v>30</v>
      </c>
      <c r="I107" s="270" t="s">
        <v>6412</v>
      </c>
      <c r="J107" s="496">
        <f t="shared" si="2"/>
        <v>6832200</v>
      </c>
    </row>
    <row r="108" spans="1:10" ht="28.5">
      <c r="A108" s="895" t="s">
        <v>6413</v>
      </c>
      <c r="B108" s="270" t="s">
        <v>6413</v>
      </c>
      <c r="C108" s="271" t="s">
        <v>6408</v>
      </c>
      <c r="D108" s="270" t="s">
        <v>6409</v>
      </c>
      <c r="E108" s="270">
        <v>7.9062999999999999</v>
      </c>
      <c r="F108" s="270" t="s">
        <v>6410</v>
      </c>
      <c r="G108" s="495" t="s">
        <v>6411</v>
      </c>
      <c r="H108" s="270" t="s">
        <v>30</v>
      </c>
      <c r="I108" s="270" t="s">
        <v>6412</v>
      </c>
      <c r="J108" s="496">
        <f t="shared" si="2"/>
        <v>23718900</v>
      </c>
    </row>
    <row r="109" spans="1:10" ht="28.5">
      <c r="A109" s="895" t="s">
        <v>4113</v>
      </c>
      <c r="B109" s="270" t="s">
        <v>4113</v>
      </c>
      <c r="C109" s="271" t="s">
        <v>6408</v>
      </c>
      <c r="D109" s="270" t="s">
        <v>6409</v>
      </c>
      <c r="E109" s="270">
        <v>1.3471</v>
      </c>
      <c r="F109" s="270" t="s">
        <v>6410</v>
      </c>
      <c r="G109" s="495" t="s">
        <v>6411</v>
      </c>
      <c r="H109" s="270" t="s">
        <v>18</v>
      </c>
      <c r="I109" s="270" t="s">
        <v>6412</v>
      </c>
      <c r="J109" s="496">
        <f t="shared" si="2"/>
        <v>4041300</v>
      </c>
    </row>
    <row r="110" spans="1:10" ht="28.5">
      <c r="A110" s="895" t="s">
        <v>4113</v>
      </c>
      <c r="B110" s="270" t="s">
        <v>4113</v>
      </c>
      <c r="C110" s="271" t="s">
        <v>6408</v>
      </c>
      <c r="D110" s="270" t="s">
        <v>6409</v>
      </c>
      <c r="E110" s="270">
        <v>0.90539999999999998</v>
      </c>
      <c r="F110" s="270" t="s">
        <v>6410</v>
      </c>
      <c r="G110" s="495" t="s">
        <v>6411</v>
      </c>
      <c r="H110" s="270" t="s">
        <v>18</v>
      </c>
      <c r="I110" s="270" t="s">
        <v>6412</v>
      </c>
      <c r="J110" s="496">
        <f t="shared" si="2"/>
        <v>2716200</v>
      </c>
    </row>
    <row r="111" spans="1:10" ht="28.5">
      <c r="A111" s="895" t="s">
        <v>6414</v>
      </c>
      <c r="B111" s="270" t="s">
        <v>6414</v>
      </c>
      <c r="C111" s="271" t="s">
        <v>6408</v>
      </c>
      <c r="D111" s="270" t="s">
        <v>6409</v>
      </c>
      <c r="E111" s="270">
        <v>20.689900000000002</v>
      </c>
      <c r="F111" s="270" t="s">
        <v>6410</v>
      </c>
      <c r="G111" s="495" t="s">
        <v>6411</v>
      </c>
      <c r="H111" s="270" t="s">
        <v>18</v>
      </c>
      <c r="I111" s="270" t="s">
        <v>6412</v>
      </c>
      <c r="J111" s="496">
        <f t="shared" si="2"/>
        <v>62069700.000000007</v>
      </c>
    </row>
    <row r="112" spans="1:10" ht="28.5">
      <c r="A112" s="895" t="s">
        <v>4113</v>
      </c>
      <c r="B112" s="270" t="s">
        <v>4113</v>
      </c>
      <c r="C112" s="271" t="s">
        <v>6408</v>
      </c>
      <c r="D112" s="270" t="s">
        <v>6409</v>
      </c>
      <c r="E112" s="270">
        <v>2.0215000000000001</v>
      </c>
      <c r="F112" s="270" t="s">
        <v>6410</v>
      </c>
      <c r="G112" s="495" t="s">
        <v>6411</v>
      </c>
      <c r="H112" s="270" t="s">
        <v>18</v>
      </c>
      <c r="I112" s="270" t="s">
        <v>6412</v>
      </c>
      <c r="J112" s="496">
        <f t="shared" si="2"/>
        <v>6064500</v>
      </c>
    </row>
    <row r="113" spans="1:10" ht="15.75">
      <c r="A113" s="893" t="s">
        <v>189</v>
      </c>
      <c r="B113" s="14"/>
      <c r="C113" s="14"/>
      <c r="D113" s="14"/>
      <c r="E113" s="14"/>
      <c r="F113" s="14"/>
      <c r="G113" s="488">
        <f>SUM(G65:G112)</f>
        <v>0</v>
      </c>
      <c r="H113" s="14"/>
      <c r="I113" s="14"/>
      <c r="J113" s="894">
        <f>SUM(J65:J112)</f>
        <v>365992200</v>
      </c>
    </row>
    <row r="114" spans="1:10">
      <c r="A114" s="1106" t="s">
        <v>6458</v>
      </c>
      <c r="B114" s="1107"/>
      <c r="C114" s="1107"/>
      <c r="D114" s="1107"/>
      <c r="E114" s="1107"/>
      <c r="F114" s="1107"/>
      <c r="G114" s="1107"/>
      <c r="H114" s="1107"/>
      <c r="I114" s="1107"/>
      <c r="J114" s="1108"/>
    </row>
    <row r="115" spans="1:10" ht="25.5">
      <c r="A115" s="896" t="s">
        <v>4161</v>
      </c>
      <c r="B115" s="287" t="s">
        <v>7233</v>
      </c>
      <c r="C115" s="287" t="s">
        <v>7234</v>
      </c>
      <c r="D115" s="287" t="s">
        <v>7235</v>
      </c>
      <c r="E115" s="288" t="s">
        <v>7236</v>
      </c>
      <c r="F115" s="288" t="s">
        <v>7237</v>
      </c>
      <c r="G115" s="492">
        <v>11000000</v>
      </c>
      <c r="H115" s="286" t="s">
        <v>4572</v>
      </c>
      <c r="I115" s="287" t="s">
        <v>7238</v>
      </c>
      <c r="J115" s="897">
        <v>15000000</v>
      </c>
    </row>
    <row r="116" spans="1:10" ht="25.5">
      <c r="A116" s="896" t="s">
        <v>4161</v>
      </c>
      <c r="B116" s="287" t="s">
        <v>7233</v>
      </c>
      <c r="C116" s="287" t="s">
        <v>7234</v>
      </c>
      <c r="D116" s="287" t="s">
        <v>7235</v>
      </c>
      <c r="E116" s="288" t="s">
        <v>7239</v>
      </c>
      <c r="F116" s="288" t="s">
        <v>7237</v>
      </c>
      <c r="G116" s="492">
        <v>15000000</v>
      </c>
      <c r="H116" s="286" t="s">
        <v>4572</v>
      </c>
      <c r="I116" s="287" t="s">
        <v>7238</v>
      </c>
      <c r="J116" s="897">
        <v>25000000</v>
      </c>
    </row>
    <row r="117" spans="1:10" ht="25.5">
      <c r="A117" s="896" t="s">
        <v>4161</v>
      </c>
      <c r="B117" s="287" t="s">
        <v>7240</v>
      </c>
      <c r="C117" s="287" t="s">
        <v>7234</v>
      </c>
      <c r="D117" s="287" t="s">
        <v>7241</v>
      </c>
      <c r="E117" s="288" t="s">
        <v>7191</v>
      </c>
      <c r="F117" s="288" t="s">
        <v>7237</v>
      </c>
      <c r="G117" s="492">
        <v>25000000</v>
      </c>
      <c r="H117" s="286" t="s">
        <v>4572</v>
      </c>
      <c r="I117" s="288" t="s">
        <v>7242</v>
      </c>
      <c r="J117" s="897">
        <v>45000000</v>
      </c>
    </row>
    <row r="118" spans="1:10" ht="38.25">
      <c r="A118" s="896" t="s">
        <v>4161</v>
      </c>
      <c r="B118" s="287" t="s">
        <v>7243</v>
      </c>
      <c r="C118" s="287"/>
      <c r="D118" s="287" t="s">
        <v>7244</v>
      </c>
      <c r="E118" s="288" t="s">
        <v>7245</v>
      </c>
      <c r="F118" s="288" t="s">
        <v>7246</v>
      </c>
      <c r="G118" s="492">
        <v>35000000</v>
      </c>
      <c r="H118" s="286" t="s">
        <v>4572</v>
      </c>
      <c r="I118" s="287" t="s">
        <v>7238</v>
      </c>
      <c r="J118" s="897">
        <v>60000000</v>
      </c>
    </row>
    <row r="119" spans="1:10" ht="25.5">
      <c r="A119" s="896" t="s">
        <v>6478</v>
      </c>
      <c r="B119" s="287" t="s">
        <v>2654</v>
      </c>
      <c r="C119" s="287"/>
      <c r="D119" s="287" t="s">
        <v>7247</v>
      </c>
      <c r="E119" s="288" t="s">
        <v>1387</v>
      </c>
      <c r="F119" s="287" t="s">
        <v>7248</v>
      </c>
      <c r="G119" s="492">
        <v>35000000</v>
      </c>
      <c r="H119" s="286" t="s">
        <v>4572</v>
      </c>
      <c r="I119" s="287" t="s">
        <v>7238</v>
      </c>
      <c r="J119" s="897">
        <v>60000000</v>
      </c>
    </row>
    <row r="120" spans="1:10" ht="38.25">
      <c r="A120" s="896" t="s">
        <v>4161</v>
      </c>
      <c r="B120" s="287" t="s">
        <v>7249</v>
      </c>
      <c r="C120" s="287"/>
      <c r="D120" s="287" t="s">
        <v>7250</v>
      </c>
      <c r="E120" s="288" t="s">
        <v>7251</v>
      </c>
      <c r="F120" s="288" t="s">
        <v>7246</v>
      </c>
      <c r="G120" s="492">
        <v>25000000</v>
      </c>
      <c r="H120" s="286" t="s">
        <v>4572</v>
      </c>
      <c r="I120" s="287" t="s">
        <v>7238</v>
      </c>
      <c r="J120" s="897">
        <v>45000000</v>
      </c>
    </row>
    <row r="121" spans="1:10" ht="25.5">
      <c r="A121" s="896" t="s">
        <v>3145</v>
      </c>
      <c r="B121" s="288" t="s">
        <v>7252</v>
      </c>
      <c r="C121" s="286"/>
      <c r="D121" s="288" t="s">
        <v>7253</v>
      </c>
      <c r="E121" s="288" t="s">
        <v>7254</v>
      </c>
      <c r="F121" s="288" t="s">
        <v>7246</v>
      </c>
      <c r="G121" s="492">
        <v>10000000</v>
      </c>
      <c r="H121" s="286" t="s">
        <v>4572</v>
      </c>
      <c r="I121" s="287" t="s">
        <v>7238</v>
      </c>
      <c r="J121" s="897">
        <v>20000000</v>
      </c>
    </row>
    <row r="122" spans="1:10" ht="38.25">
      <c r="A122" s="896" t="s">
        <v>4161</v>
      </c>
      <c r="B122" s="286" t="s">
        <v>7255</v>
      </c>
      <c r="C122" s="286"/>
      <c r="D122" s="286" t="s">
        <v>7255</v>
      </c>
      <c r="E122" s="288" t="s">
        <v>7256</v>
      </c>
      <c r="F122" s="288" t="s">
        <v>7257</v>
      </c>
      <c r="G122" s="492">
        <v>10000000</v>
      </c>
      <c r="H122" s="286" t="s">
        <v>4572</v>
      </c>
      <c r="I122" s="287" t="s">
        <v>7238</v>
      </c>
      <c r="J122" s="897">
        <v>20000000</v>
      </c>
    </row>
    <row r="123" spans="1:10">
      <c r="A123" s="898"/>
      <c r="B123" s="280"/>
      <c r="C123" s="280"/>
      <c r="D123" s="280"/>
      <c r="E123" s="281"/>
      <c r="F123" s="282"/>
      <c r="G123" s="493"/>
      <c r="H123" s="280"/>
      <c r="I123" s="282"/>
      <c r="J123" s="641"/>
    </row>
    <row r="124" spans="1:10">
      <c r="A124" s="1109" t="s">
        <v>6444</v>
      </c>
      <c r="B124" s="1110"/>
      <c r="C124" s="1110"/>
      <c r="D124" s="1110"/>
      <c r="E124" s="1110"/>
      <c r="F124" s="1110"/>
      <c r="G124" s="498">
        <f>SUM(G115:G123)</f>
        <v>166000000</v>
      </c>
      <c r="H124" s="499"/>
      <c r="I124" s="500"/>
      <c r="J124" s="899">
        <f>SUM(J115:J123)</f>
        <v>290000000</v>
      </c>
    </row>
    <row r="125" spans="1:10" ht="15.75">
      <c r="A125" s="1103" t="s">
        <v>1785</v>
      </c>
      <c r="B125" s="1104"/>
      <c r="C125" s="1104"/>
      <c r="D125" s="1104"/>
      <c r="E125" s="1104"/>
      <c r="F125" s="1104"/>
      <c r="G125" s="1104"/>
      <c r="H125" s="1104"/>
      <c r="I125" s="1104"/>
      <c r="J125" s="1105"/>
    </row>
    <row r="126" spans="1:10" ht="31.5">
      <c r="A126" s="102" t="s">
        <v>82</v>
      </c>
      <c r="B126" s="62" t="s">
        <v>1764</v>
      </c>
      <c r="C126" s="62" t="s">
        <v>1765</v>
      </c>
      <c r="D126" s="60" t="s">
        <v>1766</v>
      </c>
      <c r="E126" s="62" t="s">
        <v>1767</v>
      </c>
      <c r="F126" s="59" t="s">
        <v>1768</v>
      </c>
      <c r="G126" s="494"/>
      <c r="H126" s="62" t="s">
        <v>1725</v>
      </c>
      <c r="I126" s="62" t="s">
        <v>1769</v>
      </c>
      <c r="J126" s="490">
        <v>10000000</v>
      </c>
    </row>
    <row r="127" spans="1:10" ht="63">
      <c r="A127" s="102" t="s">
        <v>82</v>
      </c>
      <c r="B127" s="62" t="s">
        <v>1770</v>
      </c>
      <c r="C127" s="62" t="s">
        <v>1765</v>
      </c>
      <c r="D127" s="59" t="s">
        <v>1771</v>
      </c>
      <c r="E127" s="62" t="s">
        <v>1772</v>
      </c>
      <c r="F127" s="59" t="s">
        <v>1773</v>
      </c>
      <c r="G127" s="494"/>
      <c r="H127" s="62" t="s">
        <v>1711</v>
      </c>
      <c r="I127" s="62" t="s">
        <v>1774</v>
      </c>
      <c r="J127" s="490">
        <v>40000000</v>
      </c>
    </row>
    <row r="128" spans="1:10" ht="31.5">
      <c r="A128" s="102" t="s">
        <v>82</v>
      </c>
      <c r="B128" s="62" t="s">
        <v>1764</v>
      </c>
      <c r="C128" s="62" t="s">
        <v>1765</v>
      </c>
      <c r="D128" s="58" t="s">
        <v>1775</v>
      </c>
      <c r="E128" s="62" t="s">
        <v>1772</v>
      </c>
      <c r="F128" s="59" t="s">
        <v>1776</v>
      </c>
      <c r="G128" s="494"/>
      <c r="H128" s="62" t="s">
        <v>1725</v>
      </c>
      <c r="I128" s="62" t="s">
        <v>1777</v>
      </c>
      <c r="J128" s="490">
        <v>10100000</v>
      </c>
    </row>
    <row r="129" spans="1:10" ht="78.75">
      <c r="A129" s="102" t="s">
        <v>82</v>
      </c>
      <c r="B129" s="62" t="s">
        <v>1764</v>
      </c>
      <c r="C129" s="62" t="s">
        <v>1765</v>
      </c>
      <c r="D129" s="59" t="s">
        <v>1778</v>
      </c>
      <c r="E129" s="62" t="s">
        <v>1732</v>
      </c>
      <c r="F129" s="59" t="s">
        <v>1779</v>
      </c>
      <c r="G129" s="494"/>
      <c r="H129" s="62" t="s">
        <v>1711</v>
      </c>
      <c r="I129" s="62" t="s">
        <v>1780</v>
      </c>
      <c r="J129" s="490">
        <v>9200000</v>
      </c>
    </row>
    <row r="130" spans="1:10" ht="31.5">
      <c r="A130" s="102" t="s">
        <v>82</v>
      </c>
      <c r="B130" s="62" t="s">
        <v>1430</v>
      </c>
      <c r="C130" s="62" t="s">
        <v>1760</v>
      </c>
      <c r="D130" s="58" t="s">
        <v>1761</v>
      </c>
      <c r="E130" s="62" t="s">
        <v>1762</v>
      </c>
      <c r="F130" s="59" t="s">
        <v>1763</v>
      </c>
      <c r="G130" s="494"/>
      <c r="H130" s="62" t="s">
        <v>1725</v>
      </c>
      <c r="I130" s="62" t="s">
        <v>1742</v>
      </c>
      <c r="J130" s="490">
        <v>37500000</v>
      </c>
    </row>
    <row r="131" spans="1:10" ht="42.75">
      <c r="A131" s="102" t="s">
        <v>82</v>
      </c>
      <c r="B131" s="62" t="s">
        <v>1268</v>
      </c>
      <c r="C131" s="62" t="s">
        <v>1781</v>
      </c>
      <c r="D131" s="60" t="s">
        <v>1782</v>
      </c>
      <c r="E131" s="62"/>
      <c r="F131" s="59" t="s">
        <v>1783</v>
      </c>
      <c r="G131" s="494"/>
      <c r="H131" s="62" t="s">
        <v>1711</v>
      </c>
      <c r="I131" s="62" t="s">
        <v>1784</v>
      </c>
      <c r="J131" s="490">
        <v>4700000</v>
      </c>
    </row>
    <row r="132" spans="1:10">
      <c r="A132" s="1100" t="s">
        <v>189</v>
      </c>
      <c r="B132" s="1101"/>
      <c r="C132" s="1101"/>
      <c r="D132" s="1101"/>
      <c r="E132" s="1101"/>
      <c r="F132" s="1101"/>
      <c r="G132" s="882">
        <f>SUM(G126:G131)</f>
        <v>0</v>
      </c>
      <c r="H132" s="879"/>
      <c r="I132" s="879"/>
      <c r="J132" s="892">
        <f>SUM(J126:J131)</f>
        <v>111500000</v>
      </c>
    </row>
    <row r="133" spans="1:10">
      <c r="A133" s="1100" t="s">
        <v>118</v>
      </c>
      <c r="B133" s="1101"/>
      <c r="C133" s="1101"/>
      <c r="D133" s="1101"/>
      <c r="E133" s="1101"/>
      <c r="F133" s="1101"/>
      <c r="G133" s="1101"/>
      <c r="H133" s="1101"/>
      <c r="I133" s="1101"/>
      <c r="J133" s="1102"/>
    </row>
    <row r="134" spans="1:10" ht="47.25">
      <c r="A134" s="102" t="s">
        <v>130</v>
      </c>
      <c r="B134" s="62" t="s">
        <v>1707</v>
      </c>
      <c r="C134" s="62" t="s">
        <v>616</v>
      </c>
      <c r="D134" s="58" t="s">
        <v>1708</v>
      </c>
      <c r="E134" s="62" t="s">
        <v>1709</v>
      </c>
      <c r="F134" s="59" t="s">
        <v>1710</v>
      </c>
      <c r="G134" s="494"/>
      <c r="H134" s="62" t="s">
        <v>1711</v>
      </c>
      <c r="I134" s="62" t="s">
        <v>1712</v>
      </c>
      <c r="J134" s="490">
        <v>44200000</v>
      </c>
    </row>
    <row r="135" spans="1:10" ht="63">
      <c r="A135" s="102" t="s">
        <v>130</v>
      </c>
      <c r="B135" s="62" t="s">
        <v>149</v>
      </c>
      <c r="C135" s="62" t="s">
        <v>1713</v>
      </c>
      <c r="D135" s="59" t="s">
        <v>1714</v>
      </c>
      <c r="E135" s="62"/>
      <c r="F135" s="59" t="s">
        <v>1715</v>
      </c>
      <c r="G135" s="494"/>
      <c r="H135" s="62" t="s">
        <v>1711</v>
      </c>
      <c r="I135" s="62" t="s">
        <v>1716</v>
      </c>
      <c r="J135" s="490">
        <v>10000000</v>
      </c>
    </row>
    <row r="136" spans="1:10" ht="47.25">
      <c r="A136" s="102" t="s">
        <v>130</v>
      </c>
      <c r="B136" s="62" t="s">
        <v>130</v>
      </c>
      <c r="C136" s="62" t="s">
        <v>1717</v>
      </c>
      <c r="D136" s="61" t="s">
        <v>1718</v>
      </c>
      <c r="E136" s="62" t="s">
        <v>1719</v>
      </c>
      <c r="F136" s="59" t="s">
        <v>1720</v>
      </c>
      <c r="G136" s="494"/>
      <c r="H136" s="62" t="s">
        <v>1711</v>
      </c>
      <c r="I136" s="62" t="s">
        <v>1721</v>
      </c>
      <c r="J136" s="490">
        <v>112500000</v>
      </c>
    </row>
    <row r="137" spans="1:10" ht="31.5">
      <c r="A137" s="102" t="s">
        <v>130</v>
      </c>
      <c r="B137" s="62" t="s">
        <v>130</v>
      </c>
      <c r="C137" s="62" t="s">
        <v>1717</v>
      </c>
      <c r="D137" s="60" t="s">
        <v>1722</v>
      </c>
      <c r="E137" s="62" t="s">
        <v>1723</v>
      </c>
      <c r="F137" s="59" t="s">
        <v>1724</v>
      </c>
      <c r="G137" s="494"/>
      <c r="H137" s="62" t="s">
        <v>1725</v>
      </c>
      <c r="I137" s="62" t="s">
        <v>1726</v>
      </c>
      <c r="J137" s="490">
        <v>2000000</v>
      </c>
    </row>
    <row r="138" spans="1:10" ht="47.25">
      <c r="A138" s="102" t="s">
        <v>130</v>
      </c>
      <c r="B138" s="62" t="s">
        <v>130</v>
      </c>
      <c r="C138" s="62" t="s">
        <v>1717</v>
      </c>
      <c r="D138" s="58" t="s">
        <v>1727</v>
      </c>
      <c r="E138" s="62" t="s">
        <v>1709</v>
      </c>
      <c r="F138" s="59" t="s">
        <v>1728</v>
      </c>
      <c r="G138" s="494"/>
      <c r="H138" s="62" t="s">
        <v>1711</v>
      </c>
      <c r="I138" s="62" t="s">
        <v>1729</v>
      </c>
      <c r="J138" s="490">
        <v>37700000</v>
      </c>
    </row>
    <row r="139" spans="1:10" ht="63">
      <c r="A139" s="102" t="s">
        <v>130</v>
      </c>
      <c r="B139" s="62" t="s">
        <v>1137</v>
      </c>
      <c r="C139" s="62" t="s">
        <v>1730</v>
      </c>
      <c r="D139" s="59" t="s">
        <v>1731</v>
      </c>
      <c r="E139" s="62" t="s">
        <v>1732</v>
      </c>
      <c r="F139" s="59" t="s">
        <v>1733</v>
      </c>
      <c r="G139" s="494"/>
      <c r="H139" s="62" t="s">
        <v>1711</v>
      </c>
      <c r="I139" s="62" t="s">
        <v>1734</v>
      </c>
      <c r="J139" s="490">
        <v>3200000</v>
      </c>
    </row>
    <row r="140" spans="1:10" ht="78.75">
      <c r="A140" s="102" t="s">
        <v>130</v>
      </c>
      <c r="B140" s="62" t="s">
        <v>1137</v>
      </c>
      <c r="C140" s="62" t="s">
        <v>1730</v>
      </c>
      <c r="D140" s="61" t="s">
        <v>1735</v>
      </c>
      <c r="E140" s="62"/>
      <c r="F140" s="59" t="s">
        <v>1736</v>
      </c>
      <c r="G140" s="494"/>
      <c r="H140" s="62" t="s">
        <v>1711</v>
      </c>
      <c r="I140" s="62" t="s">
        <v>1737</v>
      </c>
      <c r="J140" s="490">
        <v>16700000</v>
      </c>
    </row>
    <row r="141" spans="1:10" ht="47.25">
      <c r="A141" s="102" t="s">
        <v>1137</v>
      </c>
      <c r="B141" s="62" t="s">
        <v>1738</v>
      </c>
      <c r="C141" s="62" t="s">
        <v>1730</v>
      </c>
      <c r="D141" s="62" t="s">
        <v>1739</v>
      </c>
      <c r="E141" s="62" t="s">
        <v>1740</v>
      </c>
      <c r="F141" s="59" t="s">
        <v>1741</v>
      </c>
      <c r="G141" s="494"/>
      <c r="H141" s="62" t="s">
        <v>1725</v>
      </c>
      <c r="I141" s="62" t="s">
        <v>1742</v>
      </c>
      <c r="J141" s="490">
        <v>48200000</v>
      </c>
    </row>
    <row r="142" spans="1:10" ht="94.5">
      <c r="A142" s="102" t="s">
        <v>130</v>
      </c>
      <c r="B142" s="62" t="s">
        <v>1743</v>
      </c>
      <c r="C142" s="62" t="s">
        <v>1744</v>
      </c>
      <c r="D142" s="59" t="s">
        <v>1745</v>
      </c>
      <c r="E142" s="62"/>
      <c r="F142" s="59" t="s">
        <v>1746</v>
      </c>
      <c r="G142" s="494"/>
      <c r="H142" s="62" t="s">
        <v>1725</v>
      </c>
      <c r="I142" s="62" t="s">
        <v>1747</v>
      </c>
      <c r="J142" s="490">
        <v>787500</v>
      </c>
    </row>
    <row r="143" spans="1:10" ht="47.25">
      <c r="A143" s="102" t="s">
        <v>130</v>
      </c>
      <c r="B143" s="62" t="s">
        <v>1743</v>
      </c>
      <c r="C143" s="62" t="s">
        <v>1748</v>
      </c>
      <c r="D143" s="62" t="s">
        <v>1749</v>
      </c>
      <c r="E143" s="62" t="s">
        <v>1750</v>
      </c>
      <c r="F143" s="59" t="s">
        <v>1751</v>
      </c>
      <c r="G143" s="494"/>
      <c r="H143" s="62"/>
      <c r="I143" s="62" t="s">
        <v>1752</v>
      </c>
      <c r="J143" s="490">
        <v>13000000</v>
      </c>
    </row>
    <row r="144" spans="1:10">
      <c r="A144" s="1100" t="s">
        <v>189</v>
      </c>
      <c r="B144" s="1101"/>
      <c r="C144" s="1101"/>
      <c r="D144" s="1101"/>
      <c r="E144" s="1101"/>
      <c r="F144" s="1101"/>
      <c r="G144" s="882">
        <f>SUM(G134:G143)</f>
        <v>0</v>
      </c>
      <c r="H144" s="879"/>
      <c r="I144" s="879"/>
      <c r="J144" s="892">
        <f>SUM(J134:J143)</f>
        <v>288287500</v>
      </c>
    </row>
    <row r="145" spans="1:10">
      <c r="A145" s="1100" t="s">
        <v>1786</v>
      </c>
      <c r="B145" s="1101"/>
      <c r="C145" s="1101"/>
      <c r="D145" s="1101"/>
      <c r="E145" s="1101"/>
      <c r="F145" s="1101"/>
      <c r="G145" s="1101"/>
      <c r="H145" s="1101"/>
      <c r="I145" s="1101"/>
      <c r="J145" s="1102"/>
    </row>
    <row r="146" spans="1:10" ht="63">
      <c r="A146" s="102" t="s">
        <v>1753</v>
      </c>
      <c r="B146" s="62" t="s">
        <v>1754</v>
      </c>
      <c r="C146" s="62" t="s">
        <v>1730</v>
      </c>
      <c r="D146" s="59" t="s">
        <v>1755</v>
      </c>
      <c r="E146" s="62" t="s">
        <v>1709</v>
      </c>
      <c r="F146" s="59" t="s">
        <v>1756</v>
      </c>
      <c r="G146" s="494"/>
      <c r="H146" s="62" t="s">
        <v>1711</v>
      </c>
      <c r="I146" s="62" t="s">
        <v>1757</v>
      </c>
      <c r="J146" s="490">
        <v>12650000</v>
      </c>
    </row>
    <row r="147" spans="1:10" ht="31.5">
      <c r="A147" s="102" t="s">
        <v>1753</v>
      </c>
      <c r="B147" s="62" t="s">
        <v>1754</v>
      </c>
      <c r="C147" s="62" t="s">
        <v>1730</v>
      </c>
      <c r="D147" s="58" t="s">
        <v>1739</v>
      </c>
      <c r="E147" s="62" t="s">
        <v>1758</v>
      </c>
      <c r="F147" s="59" t="s">
        <v>1759</v>
      </c>
      <c r="G147" s="494"/>
      <c r="H147" s="62" t="s">
        <v>1725</v>
      </c>
      <c r="I147" s="62" t="s">
        <v>1742</v>
      </c>
      <c r="J147" s="490">
        <v>9750000</v>
      </c>
    </row>
    <row r="148" spans="1:10">
      <c r="A148" s="1100" t="s">
        <v>189</v>
      </c>
      <c r="B148" s="1101"/>
      <c r="C148" s="1101"/>
      <c r="D148" s="1101"/>
      <c r="E148" s="1101"/>
      <c r="F148" s="1101"/>
      <c r="G148" s="883">
        <f>SUM(G146:G147)</f>
        <v>0</v>
      </c>
      <c r="H148" s="884"/>
      <c r="I148" s="884"/>
      <c r="J148" s="900">
        <f>SUM(J146:J147)</f>
        <v>22400000</v>
      </c>
    </row>
    <row r="149" spans="1:10" ht="15.75">
      <c r="A149" s="1096" t="s">
        <v>7270</v>
      </c>
      <c r="B149" s="1097"/>
      <c r="C149" s="1097"/>
      <c r="D149" s="1097"/>
      <c r="E149" s="1097"/>
      <c r="F149" s="1097"/>
      <c r="G149" s="1097"/>
      <c r="H149" s="1097"/>
      <c r="I149" s="1097"/>
      <c r="J149" s="1098"/>
    </row>
    <row r="150" spans="1:10" ht="99.75">
      <c r="A150" s="901" t="s">
        <v>7271</v>
      </c>
      <c r="B150" s="323" t="s">
        <v>1864</v>
      </c>
      <c r="C150" s="264" t="s">
        <v>9269</v>
      </c>
      <c r="D150" s="264" t="s">
        <v>9270</v>
      </c>
      <c r="E150" s="264">
        <f>30*12*3</f>
        <v>1080</v>
      </c>
      <c r="F150" s="62" t="s">
        <v>9271</v>
      </c>
      <c r="G150" s="494">
        <v>3600000</v>
      </c>
      <c r="H150" s="264" t="s">
        <v>30</v>
      </c>
      <c r="I150" s="264" t="s">
        <v>9272</v>
      </c>
      <c r="J150" s="490">
        <f>E150*65000</f>
        <v>70200000</v>
      </c>
    </row>
    <row r="151" spans="1:10" ht="114">
      <c r="A151" s="901" t="s">
        <v>792</v>
      </c>
      <c r="B151" s="323" t="s">
        <v>621</v>
      </c>
      <c r="C151" s="264" t="s">
        <v>9273</v>
      </c>
      <c r="D151" s="264" t="s">
        <v>9274</v>
      </c>
      <c r="E151" s="264">
        <f>(50*3*7)+(30*3*8)</f>
        <v>1770</v>
      </c>
      <c r="F151" s="62" t="s">
        <v>9271</v>
      </c>
      <c r="G151" s="494">
        <v>4800000</v>
      </c>
      <c r="H151" s="264" t="s">
        <v>30</v>
      </c>
      <c r="I151" s="264" t="s">
        <v>9275</v>
      </c>
      <c r="J151" s="490">
        <f>E151*65000</f>
        <v>115050000</v>
      </c>
    </row>
    <row r="152" spans="1:10" ht="15.75">
      <c r="A152" s="658"/>
      <c r="B152" s="301"/>
      <c r="C152" s="301"/>
      <c r="D152" s="301"/>
      <c r="E152" s="302"/>
      <c r="F152" s="303"/>
      <c r="G152" s="489"/>
      <c r="H152" s="301"/>
      <c r="I152" s="303"/>
      <c r="J152" s="659"/>
    </row>
    <row r="153" spans="1:10" ht="15.75">
      <c r="A153" s="1094" t="s">
        <v>6444</v>
      </c>
      <c r="B153" s="1095"/>
      <c r="C153" s="1095"/>
      <c r="D153" s="1095"/>
      <c r="E153" s="1095"/>
      <c r="F153" s="1095"/>
      <c r="G153" s="501">
        <f>SUM(G150:G152)</f>
        <v>8400000</v>
      </c>
      <c r="H153" s="502"/>
      <c r="I153" s="503"/>
      <c r="J153" s="902">
        <f>SUM(J150:J152)</f>
        <v>185250000</v>
      </c>
    </row>
    <row r="154" spans="1:10" ht="15.75">
      <c r="A154" s="1089" t="s">
        <v>7778</v>
      </c>
      <c r="B154" s="1090"/>
      <c r="C154" s="1090"/>
      <c r="D154" s="1090"/>
      <c r="E154" s="1090"/>
      <c r="F154" s="1090"/>
      <c r="G154" s="1090"/>
      <c r="H154" s="1090"/>
      <c r="I154" s="1090"/>
      <c r="J154" s="1091"/>
    </row>
    <row r="155" spans="1:10" ht="63.75">
      <c r="A155" s="22" t="s">
        <v>4848</v>
      </c>
      <c r="B155" s="26" t="s">
        <v>9276</v>
      </c>
      <c r="C155" s="26" t="s">
        <v>9277</v>
      </c>
      <c r="D155" s="26" t="s">
        <v>9278</v>
      </c>
      <c r="E155" s="26">
        <v>800</v>
      </c>
      <c r="F155" s="26" t="s">
        <v>9279</v>
      </c>
      <c r="G155" s="495">
        <v>300000000</v>
      </c>
      <c r="H155" s="26">
        <v>1</v>
      </c>
      <c r="I155" s="26" t="s">
        <v>9280</v>
      </c>
      <c r="J155" s="509">
        <v>450000000</v>
      </c>
    </row>
    <row r="156" spans="1:10" ht="15.75">
      <c r="A156" s="658"/>
      <c r="B156" s="301"/>
      <c r="C156" s="301"/>
      <c r="D156" s="301"/>
      <c r="E156" s="302"/>
      <c r="F156" s="303"/>
      <c r="G156" s="489"/>
      <c r="H156" s="301"/>
      <c r="I156" s="303"/>
      <c r="J156" s="659"/>
    </row>
    <row r="157" spans="1:10" ht="15.75">
      <c r="A157" s="1094" t="s">
        <v>6444</v>
      </c>
      <c r="B157" s="1095"/>
      <c r="C157" s="1095"/>
      <c r="D157" s="1095"/>
      <c r="E157" s="1095"/>
      <c r="F157" s="1095"/>
      <c r="G157" s="501">
        <f>SUM(G155:G156)</f>
        <v>300000000</v>
      </c>
      <c r="H157" s="502"/>
      <c r="I157" s="503"/>
      <c r="J157" s="902">
        <f>SUM(J155:J156)</f>
        <v>450000000</v>
      </c>
    </row>
    <row r="158" spans="1:10" ht="15.75">
      <c r="A158" s="1089" t="s">
        <v>8184</v>
      </c>
      <c r="B158" s="1090"/>
      <c r="C158" s="1090"/>
      <c r="D158" s="1090"/>
      <c r="E158" s="1090"/>
      <c r="F158" s="1090"/>
      <c r="G158" s="1090"/>
      <c r="H158" s="1090"/>
      <c r="I158" s="1090"/>
      <c r="J158" s="1091"/>
    </row>
    <row r="159" spans="1:10" ht="384.75">
      <c r="A159" s="101" t="s">
        <v>8203</v>
      </c>
      <c r="B159" s="264" t="s">
        <v>9167</v>
      </c>
      <c r="C159" s="264" t="s">
        <v>9168</v>
      </c>
      <c r="D159" s="264" t="s">
        <v>9169</v>
      </c>
      <c r="E159" s="264" t="s">
        <v>9170</v>
      </c>
      <c r="F159" s="62" t="s">
        <v>9171</v>
      </c>
      <c r="G159" s="885">
        <v>650000000</v>
      </c>
      <c r="H159" s="69">
        <v>1</v>
      </c>
      <c r="I159" s="264" t="s">
        <v>9172</v>
      </c>
      <c r="J159" s="497">
        <v>650000000</v>
      </c>
    </row>
    <row r="160" spans="1:10" ht="384.75">
      <c r="A160" s="101" t="s">
        <v>8203</v>
      </c>
      <c r="B160" s="264" t="s">
        <v>8715</v>
      </c>
      <c r="C160" s="264" t="s">
        <v>9173</v>
      </c>
      <c r="D160" s="264" t="s">
        <v>9174</v>
      </c>
      <c r="E160" s="264" t="s">
        <v>9175</v>
      </c>
      <c r="F160" s="62" t="s">
        <v>9176</v>
      </c>
      <c r="G160" s="885">
        <v>550000000</v>
      </c>
      <c r="H160" s="69">
        <v>1</v>
      </c>
      <c r="I160" s="264" t="s">
        <v>9177</v>
      </c>
      <c r="J160" s="497">
        <v>550000000</v>
      </c>
    </row>
    <row r="161" spans="1:10" ht="384.75">
      <c r="A161" s="101" t="s">
        <v>9178</v>
      </c>
      <c r="B161" s="264" t="s">
        <v>9179</v>
      </c>
      <c r="C161" s="264" t="s">
        <v>9180</v>
      </c>
      <c r="D161" s="264" t="s">
        <v>9169</v>
      </c>
      <c r="E161" s="264" t="s">
        <v>9181</v>
      </c>
      <c r="F161" s="62" t="s">
        <v>9182</v>
      </c>
      <c r="G161" s="885">
        <v>575000000</v>
      </c>
      <c r="H161" s="69">
        <v>1</v>
      </c>
      <c r="I161" s="62" t="s">
        <v>9183</v>
      </c>
      <c r="J161" s="497">
        <v>575000000</v>
      </c>
    </row>
    <row r="162" spans="1:10" ht="185.25">
      <c r="A162" s="101" t="s">
        <v>9178</v>
      </c>
      <c r="B162" s="264" t="s">
        <v>6006</v>
      </c>
      <c r="C162" s="264" t="s">
        <v>9184</v>
      </c>
      <c r="D162" s="264" t="s">
        <v>9169</v>
      </c>
      <c r="E162" s="264" t="s">
        <v>9185</v>
      </c>
      <c r="F162" s="62" t="s">
        <v>9186</v>
      </c>
      <c r="G162" s="885">
        <v>450000000</v>
      </c>
      <c r="H162" s="69">
        <v>1</v>
      </c>
      <c r="I162" s="62" t="s">
        <v>9187</v>
      </c>
      <c r="J162" s="497">
        <v>450000000</v>
      </c>
    </row>
    <row r="163" spans="1:10" ht="285">
      <c r="A163" s="101" t="s">
        <v>9178</v>
      </c>
      <c r="B163" s="264" t="s">
        <v>6006</v>
      </c>
      <c r="C163" s="264" t="s">
        <v>9188</v>
      </c>
      <c r="D163" s="264" t="s">
        <v>9189</v>
      </c>
      <c r="E163" s="264" t="s">
        <v>9190</v>
      </c>
      <c r="F163" s="264" t="s">
        <v>9191</v>
      </c>
      <c r="G163" s="885">
        <v>375000000</v>
      </c>
      <c r="H163" s="69">
        <v>1</v>
      </c>
      <c r="I163" s="62" t="s">
        <v>9192</v>
      </c>
      <c r="J163" s="497">
        <v>375000000</v>
      </c>
    </row>
    <row r="164" spans="1:10" ht="128.25">
      <c r="A164" s="321" t="s">
        <v>9178</v>
      </c>
      <c r="B164" s="264" t="s">
        <v>6006</v>
      </c>
      <c r="C164" s="264" t="s">
        <v>9193</v>
      </c>
      <c r="D164" s="264" t="s">
        <v>9194</v>
      </c>
      <c r="E164" s="264" t="s">
        <v>9195</v>
      </c>
      <c r="F164" s="264" t="s">
        <v>9196</v>
      </c>
      <c r="G164" s="885">
        <v>350000000</v>
      </c>
      <c r="H164" s="69">
        <v>3</v>
      </c>
      <c r="I164" s="62" t="s">
        <v>9197</v>
      </c>
      <c r="J164" s="497">
        <v>350000000</v>
      </c>
    </row>
    <row r="165" spans="1:10" ht="285">
      <c r="A165" s="321" t="s">
        <v>9178</v>
      </c>
      <c r="B165" s="264" t="s">
        <v>9179</v>
      </c>
      <c r="C165" s="264" t="s">
        <v>8698</v>
      </c>
      <c r="D165" s="264" t="s">
        <v>9189</v>
      </c>
      <c r="E165" s="264" t="s">
        <v>9198</v>
      </c>
      <c r="F165" s="264" t="s">
        <v>9199</v>
      </c>
      <c r="G165" s="885">
        <v>275000000</v>
      </c>
      <c r="H165" s="69">
        <v>1</v>
      </c>
      <c r="I165" s="62" t="s">
        <v>9200</v>
      </c>
      <c r="J165" s="497">
        <v>275000000</v>
      </c>
    </row>
    <row r="166" spans="1:10" ht="327.75">
      <c r="A166" s="321" t="s">
        <v>9178</v>
      </c>
      <c r="B166" s="264" t="s">
        <v>9179</v>
      </c>
      <c r="C166" s="264" t="s">
        <v>9201</v>
      </c>
      <c r="D166" s="264" t="s">
        <v>9189</v>
      </c>
      <c r="E166" s="264" t="s">
        <v>9112</v>
      </c>
      <c r="F166" s="264" t="s">
        <v>9199</v>
      </c>
      <c r="G166" s="885">
        <v>225000000</v>
      </c>
      <c r="H166" s="69">
        <v>1</v>
      </c>
      <c r="I166" s="62" t="s">
        <v>9202</v>
      </c>
      <c r="J166" s="497">
        <v>225000000</v>
      </c>
    </row>
    <row r="167" spans="1:10" ht="327.75">
      <c r="A167" s="321" t="s">
        <v>9178</v>
      </c>
      <c r="B167" s="264" t="s">
        <v>9179</v>
      </c>
      <c r="C167" s="264" t="s">
        <v>9180</v>
      </c>
      <c r="D167" s="264" t="s">
        <v>9189</v>
      </c>
      <c r="E167" s="264" t="s">
        <v>9203</v>
      </c>
      <c r="F167" s="264" t="s">
        <v>9199</v>
      </c>
      <c r="G167" s="885">
        <v>450000000</v>
      </c>
      <c r="H167" s="69">
        <v>2</v>
      </c>
      <c r="I167" s="62" t="s">
        <v>9204</v>
      </c>
      <c r="J167" s="497">
        <v>450000000</v>
      </c>
    </row>
    <row r="168" spans="1:10" ht="285">
      <c r="A168" s="321" t="s">
        <v>9178</v>
      </c>
      <c r="B168" s="264" t="s">
        <v>9205</v>
      </c>
      <c r="C168" s="264" t="s">
        <v>1858</v>
      </c>
      <c r="D168" s="264" t="s">
        <v>9189</v>
      </c>
      <c r="E168" s="264" t="s">
        <v>9117</v>
      </c>
      <c r="F168" s="264" t="s">
        <v>9199</v>
      </c>
      <c r="G168" s="885">
        <v>220000000</v>
      </c>
      <c r="H168" s="69">
        <v>1</v>
      </c>
      <c r="I168" s="62" t="s">
        <v>9206</v>
      </c>
      <c r="J168" s="497">
        <v>220000000</v>
      </c>
    </row>
    <row r="169" spans="1:10" ht="285">
      <c r="A169" s="321" t="s">
        <v>9178</v>
      </c>
      <c r="B169" s="69" t="s">
        <v>9179</v>
      </c>
      <c r="C169" s="69" t="s">
        <v>9207</v>
      </c>
      <c r="D169" s="69" t="s">
        <v>9189</v>
      </c>
      <c r="E169" s="69" t="s">
        <v>9208</v>
      </c>
      <c r="F169" s="62" t="s">
        <v>9199</v>
      </c>
      <c r="G169" s="885">
        <v>350000000</v>
      </c>
      <c r="H169" s="69">
        <v>1</v>
      </c>
      <c r="I169" s="62" t="s">
        <v>9209</v>
      </c>
      <c r="J169" s="497">
        <v>350000000</v>
      </c>
    </row>
    <row r="170" spans="1:10" ht="285">
      <c r="A170" s="321" t="s">
        <v>9178</v>
      </c>
      <c r="B170" s="69" t="s">
        <v>8975</v>
      </c>
      <c r="C170" s="69" t="s">
        <v>5252</v>
      </c>
      <c r="D170" s="69" t="s">
        <v>9189</v>
      </c>
      <c r="E170" s="69" t="s">
        <v>9210</v>
      </c>
      <c r="F170" s="62" t="s">
        <v>9199</v>
      </c>
      <c r="G170" s="885">
        <v>325000000</v>
      </c>
      <c r="H170" s="69">
        <v>1</v>
      </c>
      <c r="I170" s="62" t="s">
        <v>9211</v>
      </c>
      <c r="J170" s="497">
        <v>325000000</v>
      </c>
    </row>
    <row r="171" spans="1:10" ht="285">
      <c r="A171" s="321" t="s">
        <v>9178</v>
      </c>
      <c r="B171" s="69" t="s">
        <v>1607</v>
      </c>
      <c r="C171" s="69" t="s">
        <v>8728</v>
      </c>
      <c r="D171" s="69" t="s">
        <v>9189</v>
      </c>
      <c r="E171" s="69" t="s">
        <v>9212</v>
      </c>
      <c r="F171" s="62" t="s">
        <v>9199</v>
      </c>
      <c r="G171" s="885">
        <v>135000000</v>
      </c>
      <c r="H171" s="69">
        <v>1</v>
      </c>
      <c r="I171" s="62" t="s">
        <v>9200</v>
      </c>
      <c r="J171" s="497">
        <v>135000000</v>
      </c>
    </row>
    <row r="172" spans="1:10" ht="299.25">
      <c r="A172" s="321" t="s">
        <v>9178</v>
      </c>
      <c r="B172" s="69" t="s">
        <v>9179</v>
      </c>
      <c r="C172" s="69" t="s">
        <v>8722</v>
      </c>
      <c r="D172" s="69" t="s">
        <v>9189</v>
      </c>
      <c r="E172" s="69" t="s">
        <v>9208</v>
      </c>
      <c r="F172" s="62" t="s">
        <v>9199</v>
      </c>
      <c r="G172" s="885">
        <v>375000000</v>
      </c>
      <c r="H172" s="69">
        <v>1</v>
      </c>
      <c r="I172" s="62" t="s">
        <v>9213</v>
      </c>
      <c r="J172" s="497">
        <v>375000000</v>
      </c>
    </row>
    <row r="173" spans="1:10" ht="15.75">
      <c r="A173" s="658"/>
      <c r="B173" s="301"/>
      <c r="C173" s="301"/>
      <c r="D173" s="301"/>
      <c r="E173" s="302"/>
      <c r="F173" s="303"/>
      <c r="G173" s="489"/>
      <c r="H173" s="301"/>
      <c r="I173" s="303"/>
      <c r="J173" s="659"/>
    </row>
    <row r="174" spans="1:10" ht="15.75">
      <c r="A174" s="1092" t="s">
        <v>6444</v>
      </c>
      <c r="B174" s="1093"/>
      <c r="C174" s="1093"/>
      <c r="D174" s="1093"/>
      <c r="E174" s="1093"/>
      <c r="F174" s="1093"/>
      <c r="G174" s="504">
        <f>SUM(G159:G173)</f>
        <v>5305000000</v>
      </c>
      <c r="H174" s="575"/>
      <c r="I174" s="505"/>
      <c r="J174" s="903">
        <f>SUM(J159:J173)</f>
        <v>5305000000</v>
      </c>
    </row>
    <row r="175" spans="1:10" ht="15.75">
      <c r="A175" s="1089" t="s">
        <v>8258</v>
      </c>
      <c r="B175" s="1090"/>
      <c r="C175" s="1090"/>
      <c r="D175" s="1090"/>
      <c r="E175" s="1090"/>
      <c r="F175" s="1090"/>
      <c r="G175" s="1090"/>
      <c r="H175" s="1090"/>
      <c r="I175" s="1090"/>
      <c r="J175" s="1091"/>
    </row>
    <row r="176" spans="1:10" ht="33.75">
      <c r="A176" s="904" t="s">
        <v>701</v>
      </c>
      <c r="B176" s="310" t="s">
        <v>9000</v>
      </c>
      <c r="C176" s="24" t="s">
        <v>8763</v>
      </c>
      <c r="D176" s="24" t="s">
        <v>9281</v>
      </c>
      <c r="E176" s="24" t="s">
        <v>9282</v>
      </c>
      <c r="F176" s="24" t="s">
        <v>9283</v>
      </c>
      <c r="G176" s="73">
        <v>14400000</v>
      </c>
      <c r="H176" s="24" t="s">
        <v>31</v>
      </c>
      <c r="I176" s="24" t="s">
        <v>9284</v>
      </c>
      <c r="J176" s="531">
        <f t="shared" ref="J176" si="3">G176</f>
        <v>14400000</v>
      </c>
    </row>
    <row r="177" spans="1:10" ht="33.75">
      <c r="A177" s="904" t="s">
        <v>701</v>
      </c>
      <c r="B177" s="310" t="s">
        <v>9285</v>
      </c>
      <c r="C177" s="24" t="s">
        <v>8763</v>
      </c>
      <c r="D177" s="24" t="s">
        <v>9281</v>
      </c>
      <c r="E177" s="24" t="s">
        <v>9286</v>
      </c>
      <c r="F177" s="24" t="s">
        <v>9287</v>
      </c>
      <c r="G177" s="73">
        <v>11520000</v>
      </c>
      <c r="H177" s="24" t="s">
        <v>31</v>
      </c>
      <c r="I177" s="24" t="s">
        <v>9284</v>
      </c>
      <c r="J177" s="531">
        <f>G177</f>
        <v>11520000</v>
      </c>
    </row>
    <row r="178" spans="1:10" ht="33.75">
      <c r="A178" s="904" t="s">
        <v>701</v>
      </c>
      <c r="B178" s="310" t="s">
        <v>4123</v>
      </c>
      <c r="C178" s="24" t="s">
        <v>8763</v>
      </c>
      <c r="D178" s="24" t="s">
        <v>9281</v>
      </c>
      <c r="E178" s="24" t="s">
        <v>9286</v>
      </c>
      <c r="F178" s="24" t="s">
        <v>9287</v>
      </c>
      <c r="G178" s="73">
        <v>11520000</v>
      </c>
      <c r="H178" s="24" t="s">
        <v>31</v>
      </c>
      <c r="I178" s="24" t="s">
        <v>9284</v>
      </c>
      <c r="J178" s="531">
        <f>G178</f>
        <v>11520000</v>
      </c>
    </row>
    <row r="179" spans="1:10" ht="33.75">
      <c r="A179" s="904" t="s">
        <v>701</v>
      </c>
      <c r="B179" s="310" t="s">
        <v>9288</v>
      </c>
      <c r="C179" s="24" t="s">
        <v>9289</v>
      </c>
      <c r="D179" s="24" t="s">
        <v>9290</v>
      </c>
      <c r="E179" s="24" t="s">
        <v>9291</v>
      </c>
      <c r="F179" s="24" t="s">
        <v>9292</v>
      </c>
      <c r="G179" s="73">
        <v>60000000</v>
      </c>
      <c r="H179" s="24" t="s">
        <v>31</v>
      </c>
      <c r="I179" s="24" t="s">
        <v>9284</v>
      </c>
      <c r="J179" s="531">
        <f>G179</f>
        <v>60000000</v>
      </c>
    </row>
    <row r="180" spans="1:10" ht="33.75">
      <c r="A180" s="904" t="s">
        <v>701</v>
      </c>
      <c r="B180" s="310" t="s">
        <v>9015</v>
      </c>
      <c r="C180" s="24" t="s">
        <v>9289</v>
      </c>
      <c r="D180" s="24" t="s">
        <v>9290</v>
      </c>
      <c r="E180" s="24" t="s">
        <v>9293</v>
      </c>
      <c r="F180" s="24" t="s">
        <v>9294</v>
      </c>
      <c r="G180" s="73">
        <v>86400000</v>
      </c>
      <c r="H180" s="24" t="s">
        <v>31</v>
      </c>
      <c r="I180" s="24" t="s">
        <v>9295</v>
      </c>
      <c r="J180" s="531">
        <f>G180</f>
        <v>86400000</v>
      </c>
    </row>
    <row r="181" spans="1:10" ht="15.75">
      <c r="A181" s="658"/>
      <c r="B181" s="301"/>
      <c r="C181" s="301"/>
      <c r="D181" s="301"/>
      <c r="E181" s="302"/>
      <c r="F181" s="303"/>
      <c r="G181" s="489"/>
      <c r="H181" s="301"/>
      <c r="I181" s="303"/>
      <c r="J181" s="659"/>
    </row>
    <row r="182" spans="1:10" ht="15.75">
      <c r="A182" s="1092" t="s">
        <v>6444</v>
      </c>
      <c r="B182" s="1093"/>
      <c r="C182" s="1093"/>
      <c r="D182" s="1093"/>
      <c r="E182" s="1093"/>
      <c r="F182" s="1093"/>
      <c r="G182" s="504">
        <f>SUM(G176:G181)</f>
        <v>183840000</v>
      </c>
      <c r="H182" s="575"/>
      <c r="I182" s="505"/>
      <c r="J182" s="903">
        <f>SUM(J176:J181)</f>
        <v>183840000</v>
      </c>
    </row>
    <row r="183" spans="1:10" ht="15.75">
      <c r="A183" s="1089"/>
      <c r="B183" s="1090"/>
      <c r="C183" s="1090"/>
      <c r="D183" s="1090"/>
      <c r="E183" s="1090"/>
      <c r="F183" s="1090"/>
      <c r="G183" s="1090"/>
      <c r="H183" s="1090"/>
      <c r="I183" s="1090"/>
      <c r="J183" s="1091"/>
    </row>
    <row r="184" spans="1:10">
      <c r="A184" s="434"/>
      <c r="B184" s="374"/>
      <c r="C184" s="374"/>
      <c r="D184" s="374"/>
      <c r="E184" s="374"/>
      <c r="F184" s="374"/>
      <c r="G184" s="551"/>
      <c r="H184" s="374"/>
      <c r="I184" s="374"/>
      <c r="J184" s="508"/>
    </row>
    <row r="185" spans="1:10" ht="15.75" thickBot="1">
      <c r="A185" s="875" t="s">
        <v>91</v>
      </c>
      <c r="B185" s="876"/>
      <c r="C185" s="876"/>
      <c r="D185" s="876"/>
      <c r="E185" s="876"/>
      <c r="F185" s="876"/>
      <c r="G185" s="484">
        <f>+G182+G174+G157+G153+G148+G144+G132+G124+G113+G63+G38+G35</f>
        <v>7028240000</v>
      </c>
      <c r="H185" s="876"/>
      <c r="I185" s="877" t="s">
        <v>3149</v>
      </c>
      <c r="J185" s="484">
        <f>+J182+J174+J157+J153+J148+J144+J132+J124+J113+J63+J38+J35</f>
        <v>11420394700</v>
      </c>
    </row>
  </sheetData>
  <mergeCells count="28">
    <mergeCell ref="A144:F144"/>
    <mergeCell ref="A132:F132"/>
    <mergeCell ref="A133:J133"/>
    <mergeCell ref="A39:J39"/>
    <mergeCell ref="A64:J64"/>
    <mergeCell ref="A114:J114"/>
    <mergeCell ref="A124:F124"/>
    <mergeCell ref="A157:F157"/>
    <mergeCell ref="A154:J154"/>
    <mergeCell ref="A149:J149"/>
    <mergeCell ref="A153:F153"/>
    <mergeCell ref="A1:J1"/>
    <mergeCell ref="A2:J2"/>
    <mergeCell ref="A3:J3"/>
    <mergeCell ref="A4:A5"/>
    <mergeCell ref="B4:C4"/>
    <mergeCell ref="D4:D5"/>
    <mergeCell ref="E4:E5"/>
    <mergeCell ref="F4:G4"/>
    <mergeCell ref="H4:J4"/>
    <mergeCell ref="A145:J145"/>
    <mergeCell ref="A148:F148"/>
    <mergeCell ref="A125:J125"/>
    <mergeCell ref="A175:J175"/>
    <mergeCell ref="A182:F182"/>
    <mergeCell ref="A183:J183"/>
    <mergeCell ref="A158:J158"/>
    <mergeCell ref="A174:F174"/>
  </mergeCells>
  <pageMargins left="0.7" right="0.7" top="0.75" bottom="0.75" header="0.3" footer="0.3"/>
  <pageSetup scale="6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pageSetUpPr fitToPage="1"/>
  </sheetPr>
  <dimension ref="A1:O97"/>
  <sheetViews>
    <sheetView view="pageBreakPreview" topLeftCell="A92" zoomScale="60" zoomScaleNormal="75" workbookViewId="0">
      <selection activeCell="J13" sqref="J13"/>
    </sheetView>
  </sheetViews>
  <sheetFormatPr baseColWidth="10" defaultColWidth="11.42578125" defaultRowHeight="15"/>
  <cols>
    <col min="1" max="1" width="12.140625" style="5" customWidth="1"/>
    <col min="2" max="2" width="11.42578125" style="5"/>
    <col min="3" max="3" width="14.42578125" style="5" customWidth="1"/>
    <col min="4" max="5" width="11.42578125" style="5"/>
    <col min="6" max="6" width="17.28515625" style="5" customWidth="1"/>
    <col min="7" max="7" width="11.42578125" style="5"/>
    <col min="8" max="8" width="13.42578125" style="5" customWidth="1"/>
    <col min="9" max="9" width="34.85546875" style="5" customWidth="1"/>
    <col min="10" max="10" width="11.42578125" style="5"/>
    <col min="11" max="11" width="27.28515625" style="513" bestFit="1" customWidth="1"/>
    <col min="12" max="13" width="11.42578125" style="5"/>
    <col min="14" max="14" width="14.140625" style="5" customWidth="1"/>
    <col min="15" max="15" width="30.5703125" style="513" customWidth="1"/>
    <col min="16" max="16" width="19.5703125" style="5" bestFit="1" customWidth="1"/>
    <col min="17" max="16384" width="11.42578125" style="5"/>
  </cols>
  <sheetData>
    <row r="1" spans="1:15" ht="15.75" customHeight="1">
      <c r="A1" s="1099" t="s">
        <v>0</v>
      </c>
      <c r="B1" s="1099"/>
      <c r="C1" s="1099"/>
      <c r="D1" s="1099"/>
      <c r="E1" s="1099"/>
      <c r="F1" s="1099"/>
      <c r="G1" s="1099"/>
      <c r="H1" s="1099"/>
      <c r="I1" s="1099"/>
      <c r="J1" s="1099"/>
      <c r="K1" s="1099"/>
      <c r="L1" s="1099"/>
      <c r="M1" s="1099"/>
      <c r="N1" s="1099"/>
      <c r="O1" s="1099"/>
    </row>
    <row r="2" spans="1:15" ht="15.75" customHeight="1">
      <c r="A2" s="1099" t="s">
        <v>116</v>
      </c>
      <c r="B2" s="1099"/>
      <c r="C2" s="1099"/>
      <c r="D2" s="1099"/>
      <c r="E2" s="1099"/>
      <c r="F2" s="1099"/>
      <c r="G2" s="1099"/>
      <c r="H2" s="1099"/>
      <c r="I2" s="1099"/>
      <c r="J2" s="1099"/>
      <c r="K2" s="1099"/>
      <c r="L2" s="1099"/>
      <c r="M2" s="1099"/>
      <c r="N2" s="1099"/>
      <c r="O2" s="1099"/>
    </row>
    <row r="3" spans="1:15" ht="15.75" customHeight="1" thickBot="1">
      <c r="A3" s="1099" t="s">
        <v>60</v>
      </c>
      <c r="B3" s="1099"/>
      <c r="C3" s="1099"/>
      <c r="D3" s="1099"/>
      <c r="E3" s="1099"/>
      <c r="F3" s="1099"/>
      <c r="G3" s="1099"/>
      <c r="H3" s="1099"/>
      <c r="I3" s="1099"/>
      <c r="J3" s="1099"/>
      <c r="K3" s="1099"/>
      <c r="L3" s="1099"/>
      <c r="M3" s="1099"/>
      <c r="N3" s="1099"/>
      <c r="O3" s="1099"/>
    </row>
    <row r="4" spans="1:15" ht="15.75">
      <c r="A4" s="1120" t="s">
        <v>1</v>
      </c>
      <c r="B4" s="1118" t="s">
        <v>2</v>
      </c>
      <c r="C4" s="1118"/>
      <c r="D4" s="1122" t="s">
        <v>61</v>
      </c>
      <c r="E4" s="1122" t="s">
        <v>62</v>
      </c>
      <c r="F4" s="1118" t="s">
        <v>63</v>
      </c>
      <c r="G4" s="1118"/>
      <c r="H4" s="1118"/>
      <c r="I4" s="1118" t="s">
        <v>22</v>
      </c>
      <c r="J4" s="1118"/>
      <c r="K4" s="1118"/>
      <c r="L4" s="1122" t="s">
        <v>64</v>
      </c>
      <c r="M4" s="1118" t="s">
        <v>7</v>
      </c>
      <c r="N4" s="1118"/>
      <c r="O4" s="1119"/>
    </row>
    <row r="5" spans="1:15" s="6" customFormat="1" ht="126.75" thickBot="1">
      <c r="A5" s="1121"/>
      <c r="B5" s="872" t="s">
        <v>3</v>
      </c>
      <c r="C5" s="872" t="s">
        <v>65</v>
      </c>
      <c r="D5" s="1123"/>
      <c r="E5" s="1123"/>
      <c r="F5" s="872" t="s">
        <v>66</v>
      </c>
      <c r="G5" s="872" t="s">
        <v>67</v>
      </c>
      <c r="H5" s="872" t="s">
        <v>68</v>
      </c>
      <c r="I5" s="872" t="s">
        <v>69</v>
      </c>
      <c r="J5" s="872" t="s">
        <v>70</v>
      </c>
      <c r="K5" s="873" t="s">
        <v>11</v>
      </c>
      <c r="L5" s="1123"/>
      <c r="M5" s="872" t="s">
        <v>12</v>
      </c>
      <c r="N5" s="872" t="s">
        <v>71</v>
      </c>
      <c r="O5" s="874" t="s">
        <v>56</v>
      </c>
    </row>
    <row r="6" spans="1:15">
      <c r="A6" s="1113" t="s">
        <v>3133</v>
      </c>
      <c r="B6" s="1114"/>
      <c r="C6" s="1114"/>
      <c r="D6" s="1114"/>
      <c r="E6" s="1114"/>
      <c r="F6" s="1114"/>
      <c r="G6" s="1114"/>
      <c r="H6" s="1114"/>
      <c r="I6" s="1114"/>
      <c r="J6" s="1114"/>
      <c r="K6" s="1114"/>
      <c r="L6" s="1114"/>
      <c r="M6" s="1114"/>
      <c r="N6" s="1114"/>
      <c r="O6" s="1115"/>
    </row>
    <row r="7" spans="1:15" ht="76.5">
      <c r="A7" s="863" t="s">
        <v>2969</v>
      </c>
      <c r="B7" s="330" t="s">
        <v>5881</v>
      </c>
      <c r="C7" s="331"/>
      <c r="D7" s="331">
        <v>4160</v>
      </c>
      <c r="E7" s="331" t="s">
        <v>10022</v>
      </c>
      <c r="F7" s="331" t="s">
        <v>10023</v>
      </c>
      <c r="G7" s="330">
        <v>3000</v>
      </c>
      <c r="H7" s="332" t="s">
        <v>10024</v>
      </c>
      <c r="I7" s="331" t="s">
        <v>10025</v>
      </c>
      <c r="J7" s="330" t="s">
        <v>10026</v>
      </c>
      <c r="K7" s="333">
        <v>10000000</v>
      </c>
      <c r="L7" s="331" t="s">
        <v>10027</v>
      </c>
      <c r="M7" s="332">
        <v>2</v>
      </c>
      <c r="N7" s="331" t="s">
        <v>10028</v>
      </c>
      <c r="O7" s="334">
        <v>75000000</v>
      </c>
    </row>
    <row r="8" spans="1:15" ht="15.75">
      <c r="A8" s="828" t="s">
        <v>189</v>
      </c>
      <c r="B8" s="817"/>
      <c r="C8" s="817"/>
      <c r="D8" s="817"/>
      <c r="E8" s="816"/>
      <c r="F8" s="816"/>
      <c r="G8" s="816"/>
      <c r="H8" s="817"/>
      <c r="I8" s="816"/>
      <c r="J8" s="818"/>
      <c r="K8" s="860">
        <f>SUM(K7)</f>
        <v>10000000</v>
      </c>
      <c r="L8" s="816"/>
      <c r="M8" s="816"/>
      <c r="N8" s="818"/>
      <c r="O8" s="829">
        <f>SUM(O7)</f>
        <v>75000000</v>
      </c>
    </row>
    <row r="9" spans="1:15" ht="15.75">
      <c r="A9" s="1116" t="s">
        <v>10029</v>
      </c>
      <c r="B9" s="1117"/>
      <c r="C9" s="1117"/>
      <c r="D9" s="1117"/>
      <c r="E9" s="1117"/>
      <c r="F9" s="1117"/>
      <c r="G9" s="1117"/>
      <c r="H9" s="1117"/>
      <c r="I9" s="1117"/>
      <c r="J9" s="1117"/>
      <c r="K9" s="1117"/>
      <c r="L9" s="1117"/>
      <c r="M9" s="1117"/>
      <c r="N9" s="1117"/>
      <c r="O9" s="864"/>
    </row>
    <row r="10" spans="1:15" ht="76.5">
      <c r="A10" s="863" t="s">
        <v>1922</v>
      </c>
      <c r="B10" s="331" t="s">
        <v>10030</v>
      </c>
      <c r="C10" s="335"/>
      <c r="D10" s="331">
        <v>1834</v>
      </c>
      <c r="E10" s="331" t="s">
        <v>10031</v>
      </c>
      <c r="F10" s="331" t="s">
        <v>10023</v>
      </c>
      <c r="G10" s="330">
        <v>432</v>
      </c>
      <c r="H10" s="332" t="s">
        <v>10032</v>
      </c>
      <c r="I10" s="331" t="s">
        <v>10033</v>
      </c>
      <c r="J10" s="330" t="s">
        <v>3149</v>
      </c>
      <c r="K10" s="333">
        <v>180000000</v>
      </c>
      <c r="L10" s="331" t="s">
        <v>10027</v>
      </c>
      <c r="M10" s="332">
        <v>1</v>
      </c>
      <c r="N10" s="331" t="s">
        <v>10034</v>
      </c>
      <c r="O10" s="334">
        <f>350000000+40000000</f>
        <v>390000000</v>
      </c>
    </row>
    <row r="11" spans="1:15" ht="15.75">
      <c r="A11" s="865" t="s">
        <v>189</v>
      </c>
      <c r="B11" s="817"/>
      <c r="C11" s="817"/>
      <c r="D11" s="817"/>
      <c r="E11" s="816"/>
      <c r="F11" s="816"/>
      <c r="G11" s="816"/>
      <c r="H11" s="817"/>
      <c r="I11" s="816"/>
      <c r="J11" s="818"/>
      <c r="K11" s="860">
        <f>SUM(K10)</f>
        <v>180000000</v>
      </c>
      <c r="L11" s="816"/>
      <c r="M11" s="816"/>
      <c r="N11" s="818"/>
      <c r="O11" s="829">
        <f>SUM(O10)</f>
        <v>390000000</v>
      </c>
    </row>
    <row r="12" spans="1:15" ht="15.75">
      <c r="A12" s="828" t="s">
        <v>10035</v>
      </c>
      <c r="B12" s="817"/>
      <c r="C12" s="817"/>
      <c r="D12" s="817"/>
      <c r="E12" s="816"/>
      <c r="F12" s="816"/>
      <c r="G12" s="816"/>
      <c r="H12" s="817"/>
      <c r="I12" s="816"/>
      <c r="J12" s="818"/>
      <c r="K12" s="860"/>
      <c r="L12" s="816"/>
      <c r="M12" s="816"/>
      <c r="N12" s="818"/>
      <c r="O12" s="829"/>
    </row>
    <row r="13" spans="1:15" ht="102">
      <c r="A13" s="863" t="s">
        <v>5038</v>
      </c>
      <c r="B13" s="331" t="s">
        <v>10036</v>
      </c>
      <c r="C13" s="331"/>
      <c r="D13" s="331">
        <v>682</v>
      </c>
      <c r="E13" s="331" t="s">
        <v>10037</v>
      </c>
      <c r="F13" s="331" t="s">
        <v>10038</v>
      </c>
      <c r="G13" s="330">
        <v>500</v>
      </c>
      <c r="H13" s="332" t="s">
        <v>10024</v>
      </c>
      <c r="I13" s="331" t="s">
        <v>10039</v>
      </c>
      <c r="J13" s="330" t="s">
        <v>10026</v>
      </c>
      <c r="K13" s="333">
        <v>1000000</v>
      </c>
      <c r="L13" s="331" t="s">
        <v>10027</v>
      </c>
      <c r="M13" s="332">
        <v>1</v>
      </c>
      <c r="N13" s="331" t="s">
        <v>10040</v>
      </c>
      <c r="O13" s="334">
        <v>4300000</v>
      </c>
    </row>
    <row r="14" spans="1:15" ht="15.75">
      <c r="A14" s="865"/>
      <c r="B14" s="817" t="s">
        <v>189</v>
      </c>
      <c r="C14" s="817"/>
      <c r="D14" s="817"/>
      <c r="E14" s="816"/>
      <c r="F14" s="816"/>
      <c r="G14" s="816"/>
      <c r="H14" s="817"/>
      <c r="I14" s="816"/>
      <c r="J14" s="818"/>
      <c r="K14" s="860">
        <f>SUM(K13)</f>
        <v>1000000</v>
      </c>
      <c r="L14" s="816"/>
      <c r="M14" s="816"/>
      <c r="N14" s="818"/>
      <c r="O14" s="829">
        <f>SUM(O13)</f>
        <v>4300000</v>
      </c>
    </row>
    <row r="15" spans="1:15" ht="15.75">
      <c r="A15" s="828" t="s">
        <v>10041</v>
      </c>
      <c r="B15" s="817"/>
      <c r="C15" s="817"/>
      <c r="D15" s="817"/>
      <c r="E15" s="816"/>
      <c r="F15" s="816"/>
      <c r="G15" s="816"/>
      <c r="H15" s="817"/>
      <c r="I15" s="816"/>
      <c r="J15" s="818"/>
      <c r="K15" s="860"/>
      <c r="L15" s="816"/>
      <c r="M15" s="816"/>
      <c r="N15" s="818"/>
      <c r="O15" s="829"/>
    </row>
    <row r="16" spans="1:15" ht="51">
      <c r="A16" s="863" t="s">
        <v>1262</v>
      </c>
      <c r="B16" s="331" t="s">
        <v>5881</v>
      </c>
      <c r="C16" s="331"/>
      <c r="D16" s="331">
        <v>525</v>
      </c>
      <c r="E16" s="331" t="s">
        <v>10042</v>
      </c>
      <c r="F16" s="331" t="s">
        <v>10043</v>
      </c>
      <c r="G16" s="330">
        <v>1100</v>
      </c>
      <c r="H16" s="332" t="s">
        <v>10024</v>
      </c>
      <c r="I16" s="331" t="s">
        <v>10044</v>
      </c>
      <c r="J16" s="330" t="s">
        <v>10026</v>
      </c>
      <c r="K16" s="333">
        <v>3000000</v>
      </c>
      <c r="L16" s="331" t="s">
        <v>10027</v>
      </c>
      <c r="M16" s="332">
        <v>1</v>
      </c>
      <c r="N16" s="331" t="s">
        <v>10045</v>
      </c>
      <c r="O16" s="334">
        <v>4300000</v>
      </c>
    </row>
    <row r="17" spans="1:15" ht="89.25">
      <c r="A17" s="866" t="s">
        <v>3709</v>
      </c>
      <c r="B17" s="331" t="s">
        <v>3017</v>
      </c>
      <c r="C17" s="331"/>
      <c r="D17" s="331">
        <v>1889</v>
      </c>
      <c r="E17" s="331" t="s">
        <v>10046</v>
      </c>
      <c r="F17" s="331" t="s">
        <v>10023</v>
      </c>
      <c r="G17" s="330">
        <v>800</v>
      </c>
      <c r="H17" s="332" t="s">
        <v>10032</v>
      </c>
      <c r="I17" s="331" t="s">
        <v>10047</v>
      </c>
      <c r="J17" s="330" t="s">
        <v>10026</v>
      </c>
      <c r="K17" s="333">
        <v>0</v>
      </c>
      <c r="L17" s="331" t="s">
        <v>10027</v>
      </c>
      <c r="M17" s="332">
        <v>2</v>
      </c>
      <c r="N17" s="331" t="s">
        <v>10048</v>
      </c>
      <c r="O17" s="334">
        <v>78000000</v>
      </c>
    </row>
    <row r="18" spans="1:15" ht="15.75">
      <c r="A18" s="865" t="s">
        <v>189</v>
      </c>
      <c r="B18" s="817"/>
      <c r="C18" s="817"/>
      <c r="D18" s="817"/>
      <c r="E18" s="816"/>
      <c r="F18" s="816"/>
      <c r="G18" s="816"/>
      <c r="H18" s="817"/>
      <c r="I18" s="816"/>
      <c r="J18" s="818"/>
      <c r="K18" s="860">
        <f>SUM(K16:K17)</f>
        <v>3000000</v>
      </c>
      <c r="L18" s="816"/>
      <c r="M18" s="816"/>
      <c r="N18" s="818"/>
      <c r="O18" s="829">
        <f>SUM(O16:O17)</f>
        <v>82300000</v>
      </c>
    </row>
    <row r="19" spans="1:15" ht="15.75">
      <c r="A19" s="828" t="s">
        <v>6203</v>
      </c>
      <c r="B19" s="817"/>
      <c r="C19" s="817"/>
      <c r="D19" s="817"/>
      <c r="E19" s="816"/>
      <c r="F19" s="816"/>
      <c r="G19" s="816"/>
      <c r="H19" s="817"/>
      <c r="I19" s="816"/>
      <c r="J19" s="818"/>
      <c r="K19" s="860"/>
      <c r="L19" s="816"/>
      <c r="M19" s="816"/>
      <c r="N19" s="818"/>
      <c r="O19" s="829"/>
    </row>
    <row r="20" spans="1:15" ht="51">
      <c r="A20" s="867" t="s">
        <v>10049</v>
      </c>
      <c r="B20" s="207" t="s">
        <v>10050</v>
      </c>
      <c r="C20" s="207"/>
      <c r="D20" s="26">
        <v>818</v>
      </c>
      <c r="E20" s="207" t="s">
        <v>10050</v>
      </c>
      <c r="F20" s="207" t="s">
        <v>10051</v>
      </c>
      <c r="G20" s="207">
        <v>150</v>
      </c>
      <c r="H20" s="207" t="s">
        <v>10032</v>
      </c>
      <c r="I20" s="207" t="s">
        <v>10052</v>
      </c>
      <c r="J20" s="207" t="s">
        <v>10026</v>
      </c>
      <c r="K20" s="336">
        <v>0</v>
      </c>
      <c r="L20" s="207" t="s">
        <v>10027</v>
      </c>
      <c r="M20" s="207">
        <v>2</v>
      </c>
      <c r="N20" s="207" t="s">
        <v>10053</v>
      </c>
      <c r="O20" s="334">
        <v>4300000</v>
      </c>
    </row>
    <row r="21" spans="1:15" ht="63.75">
      <c r="A21" s="867" t="s">
        <v>10049</v>
      </c>
      <c r="B21" s="207" t="s">
        <v>10054</v>
      </c>
      <c r="C21" s="207"/>
      <c r="D21" s="26">
        <v>5133</v>
      </c>
      <c r="E21" s="207" t="s">
        <v>10055</v>
      </c>
      <c r="F21" s="207" t="s">
        <v>10056</v>
      </c>
      <c r="G21" s="207">
        <v>600</v>
      </c>
      <c r="H21" s="207" t="s">
        <v>10024</v>
      </c>
      <c r="I21" s="207" t="s">
        <v>10052</v>
      </c>
      <c r="J21" s="207" t="s">
        <v>10026</v>
      </c>
      <c r="K21" s="336">
        <v>0</v>
      </c>
      <c r="L21" s="207" t="s">
        <v>10027</v>
      </c>
      <c r="M21" s="207">
        <v>2</v>
      </c>
      <c r="N21" s="207" t="s">
        <v>10057</v>
      </c>
      <c r="O21" s="334">
        <v>4300000</v>
      </c>
    </row>
    <row r="22" spans="1:15" ht="63.75">
      <c r="A22" s="867" t="s">
        <v>10058</v>
      </c>
      <c r="B22" s="207" t="s">
        <v>10059</v>
      </c>
      <c r="C22" s="207"/>
      <c r="D22" s="26">
        <v>971</v>
      </c>
      <c r="E22" s="207" t="s">
        <v>10059</v>
      </c>
      <c r="F22" s="207" t="s">
        <v>10051</v>
      </c>
      <c r="G22" s="207">
        <v>150</v>
      </c>
      <c r="H22" s="207" t="s">
        <v>10032</v>
      </c>
      <c r="I22" s="207" t="s">
        <v>10052</v>
      </c>
      <c r="J22" s="207" t="s">
        <v>10026</v>
      </c>
      <c r="K22" s="336">
        <v>0</v>
      </c>
      <c r="L22" s="207" t="s">
        <v>10027</v>
      </c>
      <c r="M22" s="207">
        <v>2</v>
      </c>
      <c r="N22" s="207" t="s">
        <v>10060</v>
      </c>
      <c r="O22" s="334">
        <v>13000000</v>
      </c>
    </row>
    <row r="23" spans="1:15" ht="51">
      <c r="A23" s="867" t="s">
        <v>10049</v>
      </c>
      <c r="B23" s="207" t="s">
        <v>10061</v>
      </c>
      <c r="C23" s="207"/>
      <c r="D23" s="26">
        <v>845</v>
      </c>
      <c r="E23" s="207" t="s">
        <v>10062</v>
      </c>
      <c r="F23" s="207" t="s">
        <v>10051</v>
      </c>
      <c r="G23" s="207">
        <v>150</v>
      </c>
      <c r="H23" s="207" t="s">
        <v>10032</v>
      </c>
      <c r="I23" s="207" t="s">
        <v>10052</v>
      </c>
      <c r="J23" s="207" t="s">
        <v>10026</v>
      </c>
      <c r="K23" s="336">
        <v>0</v>
      </c>
      <c r="L23" s="207" t="s">
        <v>10027</v>
      </c>
      <c r="M23" s="207">
        <v>2</v>
      </c>
      <c r="N23" s="207" t="s">
        <v>10063</v>
      </c>
      <c r="O23" s="334">
        <v>4300000</v>
      </c>
    </row>
    <row r="24" spans="1:15" ht="76.5">
      <c r="A24" s="863" t="s">
        <v>1455</v>
      </c>
      <c r="B24" s="207" t="s">
        <v>10064</v>
      </c>
      <c r="C24" s="207"/>
      <c r="D24" s="26">
        <v>3999</v>
      </c>
      <c r="E24" s="207" t="s">
        <v>10065</v>
      </c>
      <c r="F24" s="207" t="s">
        <v>10066</v>
      </c>
      <c r="G24" s="207">
        <v>3000</v>
      </c>
      <c r="H24" s="207" t="s">
        <v>10024</v>
      </c>
      <c r="I24" s="207" t="s">
        <v>10067</v>
      </c>
      <c r="J24" s="207" t="s">
        <v>10026</v>
      </c>
      <c r="K24" s="336">
        <v>1500000</v>
      </c>
      <c r="L24" s="207" t="s">
        <v>10068</v>
      </c>
      <c r="M24" s="207">
        <v>2</v>
      </c>
      <c r="N24" s="207" t="s">
        <v>10069</v>
      </c>
      <c r="O24" s="334">
        <v>10000000</v>
      </c>
    </row>
    <row r="25" spans="1:15" ht="76.5">
      <c r="A25" s="867" t="s">
        <v>10058</v>
      </c>
      <c r="B25" s="207" t="s">
        <v>3412</v>
      </c>
      <c r="C25" s="207"/>
      <c r="D25" s="26">
        <v>966</v>
      </c>
      <c r="E25" s="207" t="s">
        <v>3412</v>
      </c>
      <c r="F25" s="207" t="s">
        <v>10066</v>
      </c>
      <c r="G25" s="207">
        <v>1100</v>
      </c>
      <c r="H25" s="207" t="s">
        <v>10024</v>
      </c>
      <c r="I25" s="207" t="s">
        <v>10070</v>
      </c>
      <c r="J25" s="207" t="s">
        <v>10026</v>
      </c>
      <c r="K25" s="336">
        <v>0</v>
      </c>
      <c r="L25" s="207" t="s">
        <v>10068</v>
      </c>
      <c r="M25" s="207">
        <v>2</v>
      </c>
      <c r="N25" s="207" t="s">
        <v>10071</v>
      </c>
      <c r="O25" s="334">
        <v>4300000</v>
      </c>
    </row>
    <row r="26" spans="1:15" ht="15.75">
      <c r="A26" s="865" t="s">
        <v>189</v>
      </c>
      <c r="B26" s="817"/>
      <c r="C26" s="817"/>
      <c r="D26" s="817"/>
      <c r="E26" s="816"/>
      <c r="F26" s="816"/>
      <c r="G26" s="816"/>
      <c r="H26" s="817"/>
      <c r="I26" s="816"/>
      <c r="J26" s="818"/>
      <c r="K26" s="860">
        <f>SUM(K20:K25)</f>
        <v>1500000</v>
      </c>
      <c r="L26" s="816"/>
      <c r="M26" s="816"/>
      <c r="N26" s="818"/>
      <c r="O26" s="829">
        <f>SUM(O20:O25)</f>
        <v>40200000</v>
      </c>
    </row>
    <row r="27" spans="1:15" ht="15.75">
      <c r="A27" s="828" t="s">
        <v>10086</v>
      </c>
      <c r="B27" s="817"/>
      <c r="C27" s="817"/>
      <c r="D27" s="817"/>
      <c r="E27" s="816"/>
      <c r="F27" s="816"/>
      <c r="G27" s="816"/>
      <c r="H27" s="817"/>
      <c r="I27" s="816"/>
      <c r="J27" s="818"/>
      <c r="K27" s="860"/>
      <c r="L27" s="816"/>
      <c r="M27" s="816"/>
      <c r="N27" s="818"/>
      <c r="O27" s="829"/>
    </row>
    <row r="28" spans="1:15" ht="127.5">
      <c r="A28" s="867" t="s">
        <v>2509</v>
      </c>
      <c r="B28" s="207" t="s">
        <v>3179</v>
      </c>
      <c r="C28" s="207"/>
      <c r="D28" s="207">
        <v>500</v>
      </c>
      <c r="E28" s="207" t="s">
        <v>10085</v>
      </c>
      <c r="F28" s="207" t="s">
        <v>10084</v>
      </c>
      <c r="G28" s="207">
        <v>354</v>
      </c>
      <c r="H28" s="207" t="s">
        <v>10032</v>
      </c>
      <c r="I28" s="207" t="s">
        <v>10081</v>
      </c>
      <c r="J28" s="207" t="s">
        <v>10026</v>
      </c>
      <c r="K28" s="336">
        <v>0</v>
      </c>
      <c r="L28" s="207" t="s">
        <v>10027</v>
      </c>
      <c r="M28" s="207">
        <v>2</v>
      </c>
      <c r="N28" s="207" t="s">
        <v>10080</v>
      </c>
      <c r="O28" s="334">
        <v>51000000</v>
      </c>
    </row>
    <row r="29" spans="1:15" ht="127.5">
      <c r="A29" s="867" t="s">
        <v>2525</v>
      </c>
      <c r="B29" s="207" t="s">
        <v>2512</v>
      </c>
      <c r="C29" s="207"/>
      <c r="D29" s="207">
        <v>475</v>
      </c>
      <c r="E29" s="207" t="s">
        <v>10083</v>
      </c>
      <c r="F29" s="207" t="s">
        <v>10082</v>
      </c>
      <c r="G29" s="207">
        <v>1092</v>
      </c>
      <c r="H29" s="207" t="s">
        <v>10032</v>
      </c>
      <c r="I29" s="207" t="s">
        <v>10081</v>
      </c>
      <c r="J29" s="207" t="s">
        <v>10026</v>
      </c>
      <c r="K29" s="336">
        <v>0</v>
      </c>
      <c r="L29" s="207" t="s">
        <v>10027</v>
      </c>
      <c r="M29" s="207">
        <v>2</v>
      </c>
      <c r="N29" s="207" t="s">
        <v>10080</v>
      </c>
      <c r="O29" s="334">
        <v>91000000</v>
      </c>
    </row>
    <row r="30" spans="1:15" ht="15.75">
      <c r="A30" s="865" t="s">
        <v>189</v>
      </c>
      <c r="B30" s="817"/>
      <c r="C30" s="817"/>
      <c r="D30" s="817"/>
      <c r="E30" s="816"/>
      <c r="F30" s="816"/>
      <c r="G30" s="816"/>
      <c r="H30" s="817"/>
      <c r="I30" s="816"/>
      <c r="J30" s="818"/>
      <c r="K30" s="860">
        <f>SUM(K28:K29)</f>
        <v>0</v>
      </c>
      <c r="L30" s="816"/>
      <c r="M30" s="816"/>
      <c r="N30" s="818"/>
      <c r="O30" s="829">
        <f>SUM(O28:O29)</f>
        <v>142000000</v>
      </c>
    </row>
    <row r="31" spans="1:15" ht="15.75">
      <c r="A31" s="828" t="s">
        <v>10079</v>
      </c>
      <c r="B31" s="817"/>
      <c r="C31" s="817"/>
      <c r="D31" s="817"/>
      <c r="E31" s="816"/>
      <c r="F31" s="816"/>
      <c r="G31" s="816"/>
      <c r="H31" s="817"/>
      <c r="I31" s="816"/>
      <c r="J31" s="818"/>
      <c r="K31" s="860"/>
      <c r="L31" s="816"/>
      <c r="M31" s="816"/>
      <c r="N31" s="818"/>
      <c r="O31" s="829"/>
    </row>
    <row r="32" spans="1:15" ht="102">
      <c r="A32" s="863" t="s">
        <v>2005</v>
      </c>
      <c r="B32" s="330" t="s">
        <v>10078</v>
      </c>
      <c r="C32" s="331"/>
      <c r="D32" s="331">
        <v>536</v>
      </c>
      <c r="E32" s="331" t="s">
        <v>10077</v>
      </c>
      <c r="F32" s="331" t="s">
        <v>10023</v>
      </c>
      <c r="G32" s="330">
        <v>700</v>
      </c>
      <c r="H32" s="332" t="s">
        <v>10024</v>
      </c>
      <c r="I32" s="331" t="s">
        <v>10076</v>
      </c>
      <c r="J32" s="330" t="s">
        <v>10026</v>
      </c>
      <c r="K32" s="333">
        <v>500000</v>
      </c>
      <c r="L32" s="331" t="s">
        <v>10027</v>
      </c>
      <c r="M32" s="332">
        <v>2</v>
      </c>
      <c r="N32" s="331" t="s">
        <v>10075</v>
      </c>
      <c r="O32" s="334">
        <v>100000000</v>
      </c>
    </row>
    <row r="33" spans="1:15" ht="76.5">
      <c r="A33" s="863" t="s">
        <v>2067</v>
      </c>
      <c r="B33" s="330" t="s">
        <v>2037</v>
      </c>
      <c r="C33" s="331"/>
      <c r="D33" s="331">
        <v>502</v>
      </c>
      <c r="E33" s="331" t="s">
        <v>2037</v>
      </c>
      <c r="F33" s="331" t="s">
        <v>10023</v>
      </c>
      <c r="G33" s="330">
        <v>1250</v>
      </c>
      <c r="H33" s="332" t="s">
        <v>10024</v>
      </c>
      <c r="I33" s="331" t="s">
        <v>10074</v>
      </c>
      <c r="J33" s="330" t="s">
        <v>10073</v>
      </c>
      <c r="K33" s="333">
        <v>150000000</v>
      </c>
      <c r="L33" s="331" t="s">
        <v>10027</v>
      </c>
      <c r="M33" s="332">
        <v>1</v>
      </c>
      <c r="N33" s="331" t="s">
        <v>10072</v>
      </c>
      <c r="O33" s="334">
        <f>295573034+80000000</f>
        <v>375573034</v>
      </c>
    </row>
    <row r="34" spans="1:15" ht="15.75">
      <c r="A34" s="865" t="s">
        <v>189</v>
      </c>
      <c r="B34" s="817"/>
      <c r="C34" s="817"/>
      <c r="D34" s="817"/>
      <c r="E34" s="816"/>
      <c r="F34" s="816"/>
      <c r="G34" s="816"/>
      <c r="H34" s="817"/>
      <c r="I34" s="816"/>
      <c r="J34" s="818"/>
      <c r="K34" s="860">
        <f>SUM(K32:K33)</f>
        <v>150500000</v>
      </c>
      <c r="L34" s="816"/>
      <c r="M34" s="816"/>
      <c r="N34" s="818"/>
      <c r="O34" s="829">
        <f>SUM(O32:O33)</f>
        <v>475573034</v>
      </c>
    </row>
    <row r="35" spans="1:15" ht="15.75">
      <c r="A35" s="828" t="s">
        <v>10087</v>
      </c>
      <c r="B35" s="817"/>
      <c r="C35" s="817"/>
      <c r="D35" s="817"/>
      <c r="E35" s="816"/>
      <c r="F35" s="816"/>
      <c r="G35" s="816"/>
      <c r="H35" s="817"/>
      <c r="I35" s="816"/>
      <c r="J35" s="818"/>
      <c r="K35" s="860"/>
      <c r="L35" s="816"/>
      <c r="M35" s="816"/>
      <c r="N35" s="818"/>
      <c r="O35" s="829"/>
    </row>
    <row r="36" spans="1:15" ht="89.25">
      <c r="A36" s="863" t="s">
        <v>4401</v>
      </c>
      <c r="B36" s="331" t="s">
        <v>886</v>
      </c>
      <c r="C36" s="331"/>
      <c r="D36" s="331">
        <v>704</v>
      </c>
      <c r="E36" s="331" t="s">
        <v>10088</v>
      </c>
      <c r="F36" s="331" t="s">
        <v>10089</v>
      </c>
      <c r="G36" s="330">
        <v>250</v>
      </c>
      <c r="H36" s="332" t="s">
        <v>10024</v>
      </c>
      <c r="I36" s="331" t="s">
        <v>10090</v>
      </c>
      <c r="J36" s="330" t="s">
        <v>10073</v>
      </c>
      <c r="K36" s="333">
        <v>50000000</v>
      </c>
      <c r="L36" s="331" t="s">
        <v>10027</v>
      </c>
      <c r="M36" s="332">
        <v>1</v>
      </c>
      <c r="N36" s="331" t="s">
        <v>10091</v>
      </c>
      <c r="O36" s="334">
        <f>91000000+40000000</f>
        <v>131000000</v>
      </c>
    </row>
    <row r="37" spans="1:15" ht="15.75">
      <c r="A37" s="865" t="s">
        <v>189</v>
      </c>
      <c r="B37" s="817"/>
      <c r="C37" s="817"/>
      <c r="D37" s="817"/>
      <c r="E37" s="816"/>
      <c r="F37" s="816"/>
      <c r="G37" s="816"/>
      <c r="H37" s="817"/>
      <c r="I37" s="816"/>
      <c r="J37" s="818"/>
      <c r="K37" s="860">
        <f>SUM(K36)</f>
        <v>50000000</v>
      </c>
      <c r="L37" s="816"/>
      <c r="M37" s="816"/>
      <c r="N37" s="818"/>
      <c r="O37" s="829">
        <f>SUM(O36)</f>
        <v>131000000</v>
      </c>
    </row>
    <row r="38" spans="1:15" ht="15.75">
      <c r="A38" s="828" t="s">
        <v>10092</v>
      </c>
      <c r="B38" s="817"/>
      <c r="C38" s="817"/>
      <c r="D38" s="817"/>
      <c r="E38" s="816"/>
      <c r="F38" s="816"/>
      <c r="G38" s="816"/>
      <c r="H38" s="817"/>
      <c r="I38" s="816"/>
      <c r="J38" s="818"/>
      <c r="K38" s="860"/>
      <c r="L38" s="816"/>
      <c r="M38" s="816"/>
      <c r="N38" s="818"/>
      <c r="O38" s="829"/>
    </row>
    <row r="39" spans="1:15" ht="89.25">
      <c r="A39" s="863" t="s">
        <v>10093</v>
      </c>
      <c r="B39" s="331" t="s">
        <v>10093</v>
      </c>
      <c r="C39" s="335"/>
      <c r="D39" s="331">
        <v>1321</v>
      </c>
      <c r="E39" s="331" t="s">
        <v>10094</v>
      </c>
      <c r="F39" s="331" t="s">
        <v>10023</v>
      </c>
      <c r="G39" s="330">
        <v>550</v>
      </c>
      <c r="H39" s="332" t="s">
        <v>10032</v>
      </c>
      <c r="I39" s="331" t="s">
        <v>10095</v>
      </c>
      <c r="J39" s="330" t="s">
        <v>10026</v>
      </c>
      <c r="K39" s="333">
        <v>0</v>
      </c>
      <c r="L39" s="331" t="s">
        <v>10027</v>
      </c>
      <c r="M39" s="332">
        <v>2</v>
      </c>
      <c r="N39" s="337" t="s">
        <v>10096</v>
      </c>
      <c r="O39" s="334">
        <v>45000000</v>
      </c>
    </row>
    <row r="40" spans="1:15" ht="76.5">
      <c r="A40" s="863" t="s">
        <v>10097</v>
      </c>
      <c r="B40" s="331" t="s">
        <v>10098</v>
      </c>
      <c r="C40" s="331"/>
      <c r="D40" s="331">
        <v>1295</v>
      </c>
      <c r="E40" s="331" t="s">
        <v>10099</v>
      </c>
      <c r="F40" s="331" t="s">
        <v>10023</v>
      </c>
      <c r="G40" s="330">
        <v>1296</v>
      </c>
      <c r="H40" s="332" t="s">
        <v>10032</v>
      </c>
      <c r="I40" s="331" t="s">
        <v>10100</v>
      </c>
      <c r="J40" s="330" t="s">
        <v>10026</v>
      </c>
      <c r="K40" s="333">
        <v>5000000</v>
      </c>
      <c r="L40" s="331" t="s">
        <v>10027</v>
      </c>
      <c r="M40" s="332">
        <v>2</v>
      </c>
      <c r="N40" s="331" t="s">
        <v>10101</v>
      </c>
      <c r="O40" s="334">
        <v>19000000</v>
      </c>
    </row>
    <row r="41" spans="1:15" ht="76.5">
      <c r="A41" s="863" t="s">
        <v>10097</v>
      </c>
      <c r="B41" s="331" t="s">
        <v>10097</v>
      </c>
      <c r="C41" s="331"/>
      <c r="D41" s="331">
        <v>1360</v>
      </c>
      <c r="E41" s="331" t="s">
        <v>10102</v>
      </c>
      <c r="F41" s="331" t="s">
        <v>10023</v>
      </c>
      <c r="G41" s="330">
        <v>1440</v>
      </c>
      <c r="H41" s="332" t="s">
        <v>10032</v>
      </c>
      <c r="I41" s="331" t="s">
        <v>10103</v>
      </c>
      <c r="J41" s="330" t="s">
        <v>10026</v>
      </c>
      <c r="K41" s="333">
        <v>5000000</v>
      </c>
      <c r="L41" s="331" t="s">
        <v>10027</v>
      </c>
      <c r="M41" s="332">
        <v>2</v>
      </c>
      <c r="N41" s="337" t="s">
        <v>10104</v>
      </c>
      <c r="O41" s="334">
        <v>16000000</v>
      </c>
    </row>
    <row r="42" spans="1:15" ht="15.75">
      <c r="A42" s="865" t="s">
        <v>189</v>
      </c>
      <c r="B42" s="817"/>
      <c r="C42" s="817"/>
      <c r="D42" s="817"/>
      <c r="E42" s="816"/>
      <c r="F42" s="816"/>
      <c r="G42" s="816"/>
      <c r="H42" s="817"/>
      <c r="I42" s="816"/>
      <c r="J42" s="818"/>
      <c r="K42" s="860">
        <f>SUM(K39:K41)</f>
        <v>10000000</v>
      </c>
      <c r="L42" s="816"/>
      <c r="M42" s="816"/>
      <c r="N42" s="818"/>
      <c r="O42" s="829">
        <f>SUM(O39:O41)</f>
        <v>80000000</v>
      </c>
    </row>
    <row r="43" spans="1:15" ht="15.75">
      <c r="A43" s="828" t="s">
        <v>10135</v>
      </c>
      <c r="B43" s="817"/>
      <c r="C43" s="817"/>
      <c r="D43" s="817"/>
      <c r="E43" s="816"/>
      <c r="F43" s="816"/>
      <c r="G43" s="816"/>
      <c r="H43" s="817"/>
      <c r="I43" s="816"/>
      <c r="J43" s="818"/>
      <c r="K43" s="860"/>
      <c r="L43" s="816"/>
      <c r="M43" s="816"/>
      <c r="N43" s="818"/>
      <c r="O43" s="829"/>
    </row>
    <row r="44" spans="1:15" ht="76.5">
      <c r="A44" s="863" t="s">
        <v>1455</v>
      </c>
      <c r="B44" s="331" t="s">
        <v>10134</v>
      </c>
      <c r="C44" s="331"/>
      <c r="D44" s="331">
        <v>1750</v>
      </c>
      <c r="E44" s="331" t="s">
        <v>10133</v>
      </c>
      <c r="F44" s="331" t="s">
        <v>10023</v>
      </c>
      <c r="G44" s="330">
        <v>288</v>
      </c>
      <c r="H44" s="332" t="s">
        <v>10032</v>
      </c>
      <c r="I44" s="331" t="s">
        <v>10033</v>
      </c>
      <c r="J44" s="330" t="s">
        <v>3149</v>
      </c>
      <c r="K44" s="333">
        <v>80000000</v>
      </c>
      <c r="L44" s="331" t="s">
        <v>10027</v>
      </c>
      <c r="M44" s="332">
        <v>1</v>
      </c>
      <c r="N44" s="337" t="s">
        <v>10034</v>
      </c>
      <c r="O44" s="334">
        <f>250000000+32000000</f>
        <v>282000000</v>
      </c>
    </row>
    <row r="45" spans="1:15" ht="76.5">
      <c r="A45" s="863" t="s">
        <v>1455</v>
      </c>
      <c r="B45" s="331" t="s">
        <v>10132</v>
      </c>
      <c r="C45" s="335"/>
      <c r="D45" s="331">
        <v>1893</v>
      </c>
      <c r="E45" s="331" t="s">
        <v>10131</v>
      </c>
      <c r="F45" s="331" t="s">
        <v>10023</v>
      </c>
      <c r="G45" s="330">
        <v>550</v>
      </c>
      <c r="H45" s="332" t="s">
        <v>10032</v>
      </c>
      <c r="I45" s="331" t="s">
        <v>10130</v>
      </c>
      <c r="J45" s="330" t="s">
        <v>10026</v>
      </c>
      <c r="K45" s="333">
        <v>0</v>
      </c>
      <c r="L45" s="331" t="s">
        <v>10027</v>
      </c>
      <c r="M45" s="332">
        <v>2</v>
      </c>
      <c r="N45" s="337" t="s">
        <v>3321</v>
      </c>
      <c r="O45" s="334">
        <v>25000000</v>
      </c>
    </row>
    <row r="46" spans="1:15" ht="15.75">
      <c r="A46" s="865" t="s">
        <v>189</v>
      </c>
      <c r="B46" s="817"/>
      <c r="C46" s="817"/>
      <c r="D46" s="817"/>
      <c r="E46" s="816"/>
      <c r="F46" s="816"/>
      <c r="G46" s="816"/>
      <c r="H46" s="817"/>
      <c r="I46" s="816"/>
      <c r="J46" s="818"/>
      <c r="K46" s="860">
        <f>SUM(K44:K45)</f>
        <v>80000000</v>
      </c>
      <c r="L46" s="816"/>
      <c r="M46" s="816"/>
      <c r="N46" s="818"/>
      <c r="O46" s="829">
        <f>SUM(O44:O45)</f>
        <v>307000000</v>
      </c>
    </row>
    <row r="47" spans="1:15" ht="15.75">
      <c r="A47" s="828" t="s">
        <v>5635</v>
      </c>
      <c r="B47" s="817"/>
      <c r="C47" s="817"/>
      <c r="D47" s="817"/>
      <c r="E47" s="816"/>
      <c r="F47" s="816"/>
      <c r="G47" s="816"/>
      <c r="H47" s="817"/>
      <c r="I47" s="816"/>
      <c r="J47" s="818"/>
      <c r="K47" s="860"/>
      <c r="L47" s="816"/>
      <c r="M47" s="816"/>
      <c r="N47" s="818"/>
      <c r="O47" s="829"/>
    </row>
    <row r="48" spans="1:15" ht="76.5">
      <c r="A48" s="863" t="s">
        <v>3366</v>
      </c>
      <c r="B48" s="331" t="s">
        <v>3366</v>
      </c>
      <c r="C48" s="335"/>
      <c r="D48" s="331">
        <v>1788</v>
      </c>
      <c r="E48" s="331" t="s">
        <v>10136</v>
      </c>
      <c r="F48" s="331" t="s">
        <v>10023</v>
      </c>
      <c r="G48" s="330">
        <v>550</v>
      </c>
      <c r="H48" s="332" t="s">
        <v>10032</v>
      </c>
      <c r="I48" s="337" t="s">
        <v>10137</v>
      </c>
      <c r="J48" s="330" t="s">
        <v>10026</v>
      </c>
      <c r="K48" s="333">
        <v>0</v>
      </c>
      <c r="L48" s="331" t="s">
        <v>10027</v>
      </c>
      <c r="M48" s="332">
        <v>1</v>
      </c>
      <c r="N48" s="337" t="s">
        <v>10138</v>
      </c>
      <c r="O48" s="334">
        <v>4300000</v>
      </c>
    </row>
    <row r="49" spans="1:15" ht="15.75">
      <c r="A49" s="865" t="s">
        <v>189</v>
      </c>
      <c r="B49" s="817"/>
      <c r="C49" s="817"/>
      <c r="D49" s="817"/>
      <c r="E49" s="816"/>
      <c r="F49" s="816"/>
      <c r="G49" s="816"/>
      <c r="H49" s="817"/>
      <c r="I49" s="816"/>
      <c r="J49" s="818"/>
      <c r="K49" s="860">
        <f>SUM(K48)</f>
        <v>0</v>
      </c>
      <c r="L49" s="816"/>
      <c r="M49" s="816"/>
      <c r="N49" s="818"/>
      <c r="O49" s="829">
        <f>SUM(O48)</f>
        <v>4300000</v>
      </c>
    </row>
    <row r="50" spans="1:15" ht="15.75">
      <c r="A50" s="828" t="s">
        <v>10122</v>
      </c>
      <c r="B50" s="817"/>
      <c r="C50" s="817"/>
      <c r="D50" s="817"/>
      <c r="E50" s="816"/>
      <c r="F50" s="816"/>
      <c r="G50" s="816"/>
      <c r="H50" s="817"/>
      <c r="I50" s="816"/>
      <c r="J50" s="818"/>
      <c r="K50" s="860"/>
      <c r="L50" s="816"/>
      <c r="M50" s="816"/>
      <c r="N50" s="818"/>
      <c r="O50" s="829"/>
    </row>
    <row r="51" spans="1:15" ht="102">
      <c r="A51" s="863" t="s">
        <v>10121</v>
      </c>
      <c r="B51" s="331" t="s">
        <v>1064</v>
      </c>
      <c r="C51" s="331"/>
      <c r="D51" s="331">
        <v>2603</v>
      </c>
      <c r="E51" s="331" t="s">
        <v>10120</v>
      </c>
      <c r="F51" s="331" t="s">
        <v>10038</v>
      </c>
      <c r="G51" s="330">
        <v>600</v>
      </c>
      <c r="H51" s="332" t="s">
        <v>10032</v>
      </c>
      <c r="I51" s="331" t="s">
        <v>10119</v>
      </c>
      <c r="J51" s="330" t="s">
        <v>10026</v>
      </c>
      <c r="K51" s="333">
        <v>2500000</v>
      </c>
      <c r="L51" s="331" t="s">
        <v>10027</v>
      </c>
      <c r="M51" s="332">
        <v>2</v>
      </c>
      <c r="N51" s="331" t="s">
        <v>10118</v>
      </c>
      <c r="O51" s="334">
        <v>17000000</v>
      </c>
    </row>
    <row r="52" spans="1:15" ht="76.5">
      <c r="A52" s="863" t="s">
        <v>9395</v>
      </c>
      <c r="B52" s="331" t="s">
        <v>1658</v>
      </c>
      <c r="C52" s="331"/>
      <c r="D52" s="331">
        <v>2685</v>
      </c>
      <c r="E52" s="331" t="s">
        <v>10117</v>
      </c>
      <c r="F52" s="331" t="s">
        <v>10116</v>
      </c>
      <c r="G52" s="330">
        <v>601</v>
      </c>
      <c r="H52" s="332" t="s">
        <v>10032</v>
      </c>
      <c r="I52" s="331" t="s">
        <v>10115</v>
      </c>
      <c r="J52" s="330" t="s">
        <v>10026</v>
      </c>
      <c r="K52" s="338">
        <v>0</v>
      </c>
      <c r="L52" s="331" t="s">
        <v>10027</v>
      </c>
      <c r="M52" s="332">
        <v>1</v>
      </c>
      <c r="N52" s="331" t="s">
        <v>10114</v>
      </c>
      <c r="O52" s="334">
        <v>85000000</v>
      </c>
    </row>
    <row r="53" spans="1:15" ht="76.5">
      <c r="A53" s="863" t="s">
        <v>9395</v>
      </c>
      <c r="B53" s="207" t="s">
        <v>10113</v>
      </c>
      <c r="C53" s="207"/>
      <c r="D53" s="26">
        <v>2695</v>
      </c>
      <c r="E53" s="207" t="s">
        <v>10112</v>
      </c>
      <c r="F53" s="331" t="s">
        <v>10023</v>
      </c>
      <c r="G53" s="207">
        <v>360</v>
      </c>
      <c r="H53" s="207" t="s">
        <v>10024</v>
      </c>
      <c r="I53" s="207" t="s">
        <v>10111</v>
      </c>
      <c r="J53" s="207" t="s">
        <v>10026</v>
      </c>
      <c r="K53" s="336">
        <v>0</v>
      </c>
      <c r="L53" s="207" t="s">
        <v>10027</v>
      </c>
      <c r="M53" s="207">
        <v>2</v>
      </c>
      <c r="N53" s="207" t="s">
        <v>3321</v>
      </c>
      <c r="O53" s="334">
        <v>41000000</v>
      </c>
    </row>
    <row r="54" spans="1:15" ht="51">
      <c r="A54" s="867" t="s">
        <v>10109</v>
      </c>
      <c r="B54" s="207" t="s">
        <v>10108</v>
      </c>
      <c r="C54" s="207"/>
      <c r="D54" s="26">
        <v>2697</v>
      </c>
      <c r="E54" s="207" t="s">
        <v>10107</v>
      </c>
      <c r="F54" s="207" t="s">
        <v>10051</v>
      </c>
      <c r="G54" s="207">
        <v>150</v>
      </c>
      <c r="H54" s="207" t="s">
        <v>10024</v>
      </c>
      <c r="I54" s="207" t="s">
        <v>10106</v>
      </c>
      <c r="J54" s="207" t="s">
        <v>10026</v>
      </c>
      <c r="K54" s="336">
        <v>20000000</v>
      </c>
      <c r="L54" s="207" t="s">
        <v>10027</v>
      </c>
      <c r="M54" s="207">
        <v>1</v>
      </c>
      <c r="N54" s="207" t="s">
        <v>10105</v>
      </c>
      <c r="O54" s="334">
        <v>151000000</v>
      </c>
    </row>
    <row r="55" spans="1:15" ht="15.75">
      <c r="A55" s="865" t="s">
        <v>189</v>
      </c>
      <c r="B55" s="817"/>
      <c r="C55" s="817"/>
      <c r="D55" s="817"/>
      <c r="E55" s="816"/>
      <c r="F55" s="816"/>
      <c r="G55" s="816"/>
      <c r="H55" s="817"/>
      <c r="I55" s="816"/>
      <c r="J55" s="818"/>
      <c r="K55" s="860">
        <f>SUM(K51:K54)</f>
        <v>22500000</v>
      </c>
      <c r="L55" s="816"/>
      <c r="M55" s="816"/>
      <c r="N55" s="818"/>
      <c r="O55" s="829">
        <f>SUM(O51:O54)</f>
        <v>294000000</v>
      </c>
    </row>
    <row r="56" spans="1:15" ht="15.75">
      <c r="A56" s="828" t="s">
        <v>1482</v>
      </c>
      <c r="B56" s="817"/>
      <c r="C56" s="817"/>
      <c r="D56" s="817"/>
      <c r="E56" s="816"/>
      <c r="F56" s="816"/>
      <c r="G56" s="816"/>
      <c r="H56" s="817"/>
      <c r="I56" s="816"/>
      <c r="J56" s="818"/>
      <c r="K56" s="860"/>
      <c r="L56" s="816"/>
      <c r="M56" s="816"/>
      <c r="N56" s="818"/>
      <c r="O56" s="829"/>
    </row>
    <row r="57" spans="1:15" ht="51">
      <c r="A57" s="867" t="s">
        <v>1484</v>
      </c>
      <c r="B57" s="207" t="s">
        <v>10126</v>
      </c>
      <c r="C57" s="207"/>
      <c r="D57" s="26">
        <v>2563</v>
      </c>
      <c r="E57" s="207" t="s">
        <v>10126</v>
      </c>
      <c r="F57" s="21" t="s">
        <v>10125</v>
      </c>
      <c r="G57" s="207">
        <v>600</v>
      </c>
      <c r="H57" s="207" t="s">
        <v>10024</v>
      </c>
      <c r="I57" s="207" t="s">
        <v>10124</v>
      </c>
      <c r="J57" s="207" t="s">
        <v>10026</v>
      </c>
      <c r="K57" s="336">
        <v>5000000</v>
      </c>
      <c r="L57" s="207" t="s">
        <v>10027</v>
      </c>
      <c r="M57" s="207">
        <v>2</v>
      </c>
      <c r="N57" s="207" t="s">
        <v>10123</v>
      </c>
      <c r="O57" s="334">
        <v>96000000</v>
      </c>
    </row>
    <row r="58" spans="1:15" ht="15.75">
      <c r="A58" s="865" t="s">
        <v>189</v>
      </c>
      <c r="B58" s="817"/>
      <c r="C58" s="817"/>
      <c r="D58" s="817"/>
      <c r="E58" s="816"/>
      <c r="F58" s="816"/>
      <c r="G58" s="816"/>
      <c r="H58" s="817"/>
      <c r="I58" s="816"/>
      <c r="J58" s="818"/>
      <c r="K58" s="860">
        <f>SUM(K57)</f>
        <v>5000000</v>
      </c>
      <c r="L58" s="816"/>
      <c r="M58" s="816"/>
      <c r="N58" s="818"/>
      <c r="O58" s="829">
        <f>SUM(O57)</f>
        <v>96000000</v>
      </c>
    </row>
    <row r="59" spans="1:15" ht="15.75">
      <c r="A59" s="828" t="s">
        <v>704</v>
      </c>
      <c r="B59" s="817"/>
      <c r="C59" s="817"/>
      <c r="D59" s="817"/>
      <c r="E59" s="816"/>
      <c r="F59" s="816"/>
      <c r="G59" s="816"/>
      <c r="H59" s="817"/>
      <c r="I59" s="816"/>
      <c r="J59" s="818"/>
      <c r="K59" s="860"/>
      <c r="L59" s="816"/>
      <c r="M59" s="816"/>
      <c r="N59" s="818"/>
      <c r="O59" s="829"/>
    </row>
    <row r="60" spans="1:15" ht="76.5">
      <c r="A60" s="863" t="s">
        <v>705</v>
      </c>
      <c r="B60" s="331" t="s">
        <v>836</v>
      </c>
      <c r="C60" s="331"/>
      <c r="D60" s="331">
        <v>5692</v>
      </c>
      <c r="E60" s="331" t="s">
        <v>10129</v>
      </c>
      <c r="F60" s="331" t="s">
        <v>10128</v>
      </c>
      <c r="G60" s="330">
        <v>500</v>
      </c>
      <c r="H60" s="207" t="s">
        <v>10024</v>
      </c>
      <c r="I60" s="331" t="s">
        <v>10119</v>
      </c>
      <c r="J60" s="330" t="s">
        <v>10026</v>
      </c>
      <c r="K60" s="333">
        <v>1000000</v>
      </c>
      <c r="L60" s="331" t="s">
        <v>10027</v>
      </c>
      <c r="M60" s="332">
        <v>1</v>
      </c>
      <c r="N60" s="331" t="s">
        <v>10127</v>
      </c>
      <c r="O60" s="334">
        <v>4300000</v>
      </c>
    </row>
    <row r="61" spans="1:15" ht="15.75">
      <c r="A61" s="865" t="s">
        <v>189</v>
      </c>
      <c r="B61" s="817"/>
      <c r="C61" s="817"/>
      <c r="D61" s="817"/>
      <c r="E61" s="816"/>
      <c r="F61" s="816"/>
      <c r="G61" s="816"/>
      <c r="H61" s="817"/>
      <c r="I61" s="816"/>
      <c r="J61" s="818"/>
      <c r="K61" s="860">
        <f>SUM(K60)</f>
        <v>1000000</v>
      </c>
      <c r="L61" s="816"/>
      <c r="M61" s="816"/>
      <c r="N61" s="818"/>
      <c r="O61" s="829">
        <f>SUM(O60)</f>
        <v>4300000</v>
      </c>
    </row>
    <row r="62" spans="1:15" ht="15.75">
      <c r="A62" s="828" t="s">
        <v>1261</v>
      </c>
      <c r="B62" s="817"/>
      <c r="C62" s="817"/>
      <c r="D62" s="817"/>
      <c r="E62" s="816"/>
      <c r="F62" s="816"/>
      <c r="G62" s="816"/>
      <c r="H62" s="817"/>
      <c r="I62" s="816"/>
      <c r="J62" s="818"/>
      <c r="K62" s="860"/>
      <c r="L62" s="816"/>
      <c r="M62" s="816"/>
      <c r="N62" s="818"/>
      <c r="O62" s="829"/>
    </row>
    <row r="63" spans="1:15" ht="51">
      <c r="A63" s="867" t="s">
        <v>1268</v>
      </c>
      <c r="B63" s="207" t="s">
        <v>4525</v>
      </c>
      <c r="C63" s="207"/>
      <c r="D63" s="26">
        <v>2549</v>
      </c>
      <c r="E63" s="21" t="s">
        <v>10140</v>
      </c>
      <c r="F63" s="21" t="s">
        <v>10125</v>
      </c>
      <c r="G63" s="207">
        <v>650</v>
      </c>
      <c r="H63" s="207" t="s">
        <v>10024</v>
      </c>
      <c r="I63" s="207" t="s">
        <v>10124</v>
      </c>
      <c r="J63" s="207" t="s">
        <v>10026</v>
      </c>
      <c r="K63" s="336">
        <v>5000000</v>
      </c>
      <c r="L63" s="207" t="s">
        <v>10027</v>
      </c>
      <c r="M63" s="207">
        <v>2</v>
      </c>
      <c r="N63" s="207" t="s">
        <v>10123</v>
      </c>
      <c r="O63" s="334">
        <v>30000000</v>
      </c>
    </row>
    <row r="64" spans="1:15" ht="15.75">
      <c r="A64" s="865" t="s">
        <v>189</v>
      </c>
      <c r="B64" s="817"/>
      <c r="C64" s="817"/>
      <c r="D64" s="817"/>
      <c r="E64" s="816"/>
      <c r="F64" s="816"/>
      <c r="G64" s="816"/>
      <c r="H64" s="817"/>
      <c r="I64" s="816"/>
      <c r="J64" s="818"/>
      <c r="K64" s="860">
        <f>SUM(K63)</f>
        <v>5000000</v>
      </c>
      <c r="L64" s="816"/>
      <c r="M64" s="816"/>
      <c r="N64" s="818"/>
      <c r="O64" s="829">
        <f>SUM(O63)</f>
        <v>30000000</v>
      </c>
    </row>
    <row r="65" spans="1:15" ht="15.75">
      <c r="A65" s="828" t="s">
        <v>10141</v>
      </c>
      <c r="B65" s="817"/>
      <c r="C65" s="817"/>
      <c r="D65" s="817"/>
      <c r="E65" s="816"/>
      <c r="F65" s="816"/>
      <c r="G65" s="816"/>
      <c r="H65" s="817"/>
      <c r="I65" s="816"/>
      <c r="J65" s="818"/>
      <c r="K65" s="860"/>
      <c r="L65" s="816"/>
      <c r="M65" s="816"/>
      <c r="N65" s="818"/>
      <c r="O65" s="829"/>
    </row>
    <row r="66" spans="1:15" ht="76.5">
      <c r="A66" s="777" t="s">
        <v>594</v>
      </c>
      <c r="B66" s="331" t="s">
        <v>1166</v>
      </c>
      <c r="C66" s="331"/>
      <c r="D66" s="331">
        <v>2670</v>
      </c>
      <c r="E66" s="331" t="s">
        <v>10142</v>
      </c>
      <c r="F66" s="331" t="s">
        <v>10143</v>
      </c>
      <c r="G66" s="330">
        <v>360</v>
      </c>
      <c r="H66" s="332" t="s">
        <v>10032</v>
      </c>
      <c r="I66" s="331" t="s">
        <v>10144</v>
      </c>
      <c r="J66" s="330" t="s">
        <v>10026</v>
      </c>
      <c r="K66" s="333">
        <v>0</v>
      </c>
      <c r="L66" s="331" t="s">
        <v>10027</v>
      </c>
      <c r="M66" s="332">
        <v>1</v>
      </c>
      <c r="N66" s="331" t="s">
        <v>10145</v>
      </c>
      <c r="O66" s="334">
        <v>77000000</v>
      </c>
    </row>
    <row r="67" spans="1:15" ht="15.75">
      <c r="A67" s="865" t="s">
        <v>189</v>
      </c>
      <c r="B67" s="817"/>
      <c r="C67" s="817"/>
      <c r="D67" s="817"/>
      <c r="E67" s="816"/>
      <c r="F67" s="816"/>
      <c r="G67" s="816"/>
      <c r="H67" s="817"/>
      <c r="I67" s="816"/>
      <c r="J67" s="818"/>
      <c r="K67" s="860">
        <f>SUM(K66)</f>
        <v>0</v>
      </c>
      <c r="L67" s="816"/>
      <c r="M67" s="816"/>
      <c r="N67" s="818"/>
      <c r="O67" s="829">
        <f>SUM(O66)</f>
        <v>77000000</v>
      </c>
    </row>
    <row r="68" spans="1:15" ht="15.75">
      <c r="A68" s="828" t="s">
        <v>10146</v>
      </c>
      <c r="B68" s="817"/>
      <c r="C68" s="817"/>
      <c r="D68" s="817"/>
      <c r="E68" s="816"/>
      <c r="F68" s="816"/>
      <c r="G68" s="816"/>
      <c r="H68" s="817"/>
      <c r="I68" s="816"/>
      <c r="J68" s="818"/>
      <c r="K68" s="860"/>
      <c r="L68" s="816"/>
      <c r="M68" s="816"/>
      <c r="N68" s="818"/>
      <c r="O68" s="829"/>
    </row>
    <row r="69" spans="1:15" ht="76.5">
      <c r="A69" s="867" t="s">
        <v>4781</v>
      </c>
      <c r="B69" s="207" t="s">
        <v>10147</v>
      </c>
      <c r="C69" s="207"/>
      <c r="D69" s="26">
        <v>2720</v>
      </c>
      <c r="E69" s="21" t="s">
        <v>10148</v>
      </c>
      <c r="F69" s="21" t="s">
        <v>10023</v>
      </c>
      <c r="G69" s="207">
        <v>288</v>
      </c>
      <c r="H69" s="207" t="s">
        <v>10032</v>
      </c>
      <c r="I69" s="207" t="s">
        <v>10033</v>
      </c>
      <c r="J69" s="207" t="s">
        <v>3149</v>
      </c>
      <c r="K69" s="333">
        <v>80000000</v>
      </c>
      <c r="L69" s="331" t="s">
        <v>10027</v>
      </c>
      <c r="M69" s="332">
        <v>1</v>
      </c>
      <c r="N69" s="337" t="s">
        <v>10034</v>
      </c>
      <c r="O69" s="334">
        <f>250000000+14000000</f>
        <v>264000000</v>
      </c>
    </row>
    <row r="70" spans="1:15" ht="51">
      <c r="A70" s="867" t="s">
        <v>10149</v>
      </c>
      <c r="B70" s="207" t="s">
        <v>10150</v>
      </c>
      <c r="C70" s="207"/>
      <c r="D70" s="26">
        <v>2853</v>
      </c>
      <c r="E70" s="21" t="s">
        <v>10151</v>
      </c>
      <c r="F70" s="21" t="s">
        <v>10125</v>
      </c>
      <c r="G70" s="207">
        <v>780</v>
      </c>
      <c r="H70" s="207" t="s">
        <v>10024</v>
      </c>
      <c r="I70" s="207" t="s">
        <v>10124</v>
      </c>
      <c r="J70" s="207" t="s">
        <v>10026</v>
      </c>
      <c r="K70" s="336">
        <v>6000000</v>
      </c>
      <c r="L70" s="207" t="s">
        <v>10027</v>
      </c>
      <c r="M70" s="207">
        <v>2</v>
      </c>
      <c r="N70" s="207" t="s">
        <v>10123</v>
      </c>
      <c r="O70" s="334">
        <v>77000000</v>
      </c>
    </row>
    <row r="71" spans="1:15" ht="15.75">
      <c r="A71" s="865" t="s">
        <v>189</v>
      </c>
      <c r="B71" s="817"/>
      <c r="C71" s="817"/>
      <c r="D71" s="817"/>
      <c r="E71" s="816"/>
      <c r="F71" s="816"/>
      <c r="G71" s="816"/>
      <c r="H71" s="817"/>
      <c r="I71" s="816"/>
      <c r="J71" s="818"/>
      <c r="K71" s="860">
        <f>SUM(K69:K70)</f>
        <v>86000000</v>
      </c>
      <c r="L71" s="816"/>
      <c r="M71" s="816"/>
      <c r="N71" s="818"/>
      <c r="O71" s="829">
        <f>SUM(O69:O70)</f>
        <v>341000000</v>
      </c>
    </row>
    <row r="72" spans="1:15" ht="15.75">
      <c r="A72" s="828" t="s">
        <v>10139</v>
      </c>
      <c r="B72" s="817"/>
      <c r="C72" s="817"/>
      <c r="D72" s="817"/>
      <c r="E72" s="816"/>
      <c r="F72" s="816"/>
      <c r="G72" s="816"/>
      <c r="H72" s="817"/>
      <c r="I72" s="816"/>
      <c r="J72" s="818"/>
      <c r="K72" s="860"/>
      <c r="L72" s="816"/>
      <c r="M72" s="816"/>
      <c r="N72" s="818"/>
      <c r="O72" s="829"/>
    </row>
    <row r="73" spans="1:15" ht="63.75">
      <c r="A73" s="866" t="s">
        <v>8541</v>
      </c>
      <c r="B73" s="331" t="s">
        <v>10166</v>
      </c>
      <c r="C73" s="331"/>
      <c r="D73" s="331">
        <v>3263</v>
      </c>
      <c r="E73" s="331" t="s">
        <v>10185</v>
      </c>
      <c r="F73" s="331" t="s">
        <v>10164</v>
      </c>
      <c r="G73" s="330">
        <v>2130</v>
      </c>
      <c r="H73" s="332" t="s">
        <v>10032</v>
      </c>
      <c r="I73" s="331" t="s">
        <v>10184</v>
      </c>
      <c r="J73" s="330" t="s">
        <v>10026</v>
      </c>
      <c r="K73" s="333">
        <v>4300000</v>
      </c>
      <c r="L73" s="331" t="s">
        <v>10027</v>
      </c>
      <c r="M73" s="332">
        <v>1</v>
      </c>
      <c r="N73" s="331" t="s">
        <v>10162</v>
      </c>
      <c r="O73" s="334">
        <v>4300000</v>
      </c>
    </row>
    <row r="74" spans="1:15" ht="38.25">
      <c r="A74" s="863" t="s">
        <v>3773</v>
      </c>
      <c r="B74" s="331" t="s">
        <v>10183</v>
      </c>
      <c r="C74" s="335"/>
      <c r="D74" s="331">
        <v>3167</v>
      </c>
      <c r="E74" s="331" t="s">
        <v>10182</v>
      </c>
      <c r="F74" s="331" t="s">
        <v>10169</v>
      </c>
      <c r="G74" s="330"/>
      <c r="H74" s="332" t="s">
        <v>10032</v>
      </c>
      <c r="I74" s="331" t="s">
        <v>10168</v>
      </c>
      <c r="J74" s="330" t="s">
        <v>10073</v>
      </c>
      <c r="K74" s="333">
        <v>4300000</v>
      </c>
      <c r="L74" s="331" t="s">
        <v>10167</v>
      </c>
      <c r="M74" s="332">
        <v>1</v>
      </c>
      <c r="N74" s="331" t="s">
        <v>10162</v>
      </c>
      <c r="O74" s="334">
        <v>4300000</v>
      </c>
    </row>
    <row r="75" spans="1:15" ht="51">
      <c r="A75" s="863" t="s">
        <v>3773</v>
      </c>
      <c r="B75" s="331" t="s">
        <v>10181</v>
      </c>
      <c r="C75" s="335"/>
      <c r="D75" s="331">
        <v>3174</v>
      </c>
      <c r="E75" s="331" t="s">
        <v>10180</v>
      </c>
      <c r="F75" s="331" t="s">
        <v>10169</v>
      </c>
      <c r="G75" s="330"/>
      <c r="H75" s="332" t="s">
        <v>10032</v>
      </c>
      <c r="I75" s="331" t="s">
        <v>10168</v>
      </c>
      <c r="J75" s="330" t="s">
        <v>10073</v>
      </c>
      <c r="K75" s="333">
        <v>4300000</v>
      </c>
      <c r="L75" s="331" t="s">
        <v>10167</v>
      </c>
      <c r="M75" s="332">
        <v>1</v>
      </c>
      <c r="N75" s="331" t="s">
        <v>10162</v>
      </c>
      <c r="O75" s="334">
        <v>4300000</v>
      </c>
    </row>
    <row r="76" spans="1:15" ht="38.25">
      <c r="A76" s="863" t="s">
        <v>3773</v>
      </c>
      <c r="B76" s="331" t="s">
        <v>10179</v>
      </c>
      <c r="C76" s="331"/>
      <c r="D76" s="331">
        <v>3176</v>
      </c>
      <c r="E76" s="331" t="s">
        <v>10178</v>
      </c>
      <c r="F76" s="331" t="s">
        <v>10169</v>
      </c>
      <c r="G76" s="330"/>
      <c r="H76" s="332" t="s">
        <v>10032</v>
      </c>
      <c r="I76" s="331" t="s">
        <v>10168</v>
      </c>
      <c r="J76" s="330" t="s">
        <v>10073</v>
      </c>
      <c r="K76" s="333">
        <v>4300000</v>
      </c>
      <c r="L76" s="331" t="s">
        <v>10167</v>
      </c>
      <c r="M76" s="332">
        <v>1</v>
      </c>
      <c r="N76" s="331" t="s">
        <v>10162</v>
      </c>
      <c r="O76" s="334">
        <v>4300000</v>
      </c>
    </row>
    <row r="77" spans="1:15" ht="38.25">
      <c r="A77" s="863" t="s">
        <v>3773</v>
      </c>
      <c r="B77" s="331" t="s">
        <v>10177</v>
      </c>
      <c r="C77" s="331"/>
      <c r="D77" s="331">
        <v>3177</v>
      </c>
      <c r="E77" s="331" t="s">
        <v>10176</v>
      </c>
      <c r="F77" s="331" t="s">
        <v>10169</v>
      </c>
      <c r="G77" s="330"/>
      <c r="H77" s="332" t="s">
        <v>10032</v>
      </c>
      <c r="I77" s="331" t="s">
        <v>10168</v>
      </c>
      <c r="J77" s="330" t="s">
        <v>10073</v>
      </c>
      <c r="K77" s="333">
        <v>4300000</v>
      </c>
      <c r="L77" s="331" t="s">
        <v>10167</v>
      </c>
      <c r="M77" s="332">
        <v>1</v>
      </c>
      <c r="N77" s="331" t="s">
        <v>10162</v>
      </c>
      <c r="O77" s="334">
        <v>4300000</v>
      </c>
    </row>
    <row r="78" spans="1:15" ht="38.25">
      <c r="A78" s="863" t="s">
        <v>3773</v>
      </c>
      <c r="B78" s="331" t="s">
        <v>10175</v>
      </c>
      <c r="C78" s="335"/>
      <c r="D78" s="331">
        <v>3171</v>
      </c>
      <c r="E78" s="331" t="s">
        <v>10174</v>
      </c>
      <c r="F78" s="331" t="s">
        <v>10169</v>
      </c>
      <c r="G78" s="330"/>
      <c r="H78" s="332" t="s">
        <v>10032</v>
      </c>
      <c r="I78" s="331" t="s">
        <v>10168</v>
      </c>
      <c r="J78" s="330" t="s">
        <v>10073</v>
      </c>
      <c r="K78" s="333">
        <v>4300000</v>
      </c>
      <c r="L78" s="331" t="s">
        <v>10167</v>
      </c>
      <c r="M78" s="332">
        <v>1</v>
      </c>
      <c r="N78" s="331" t="s">
        <v>10162</v>
      </c>
      <c r="O78" s="334">
        <v>4300000</v>
      </c>
    </row>
    <row r="79" spans="1:15" ht="38.25">
      <c r="A79" s="863" t="s">
        <v>3773</v>
      </c>
      <c r="B79" s="331" t="s">
        <v>10173</v>
      </c>
      <c r="C79" s="331"/>
      <c r="D79" s="331">
        <v>3173</v>
      </c>
      <c r="E79" s="331" t="s">
        <v>10172</v>
      </c>
      <c r="F79" s="331" t="s">
        <v>10169</v>
      </c>
      <c r="G79" s="330"/>
      <c r="H79" s="332" t="s">
        <v>10032</v>
      </c>
      <c r="I79" s="331" t="s">
        <v>10168</v>
      </c>
      <c r="J79" s="330" t="s">
        <v>10073</v>
      </c>
      <c r="K79" s="333">
        <v>4300000</v>
      </c>
      <c r="L79" s="331" t="s">
        <v>10167</v>
      </c>
      <c r="M79" s="332">
        <v>1</v>
      </c>
      <c r="N79" s="331" t="s">
        <v>10162</v>
      </c>
      <c r="O79" s="334">
        <v>4300000</v>
      </c>
    </row>
    <row r="80" spans="1:15" ht="38.25">
      <c r="A80" s="863" t="s">
        <v>3773</v>
      </c>
      <c r="B80" s="331" t="s">
        <v>10171</v>
      </c>
      <c r="C80" s="331"/>
      <c r="D80" s="331">
        <v>3169</v>
      </c>
      <c r="E80" s="331" t="s">
        <v>10170</v>
      </c>
      <c r="F80" s="331" t="s">
        <v>10169</v>
      </c>
      <c r="G80" s="330"/>
      <c r="H80" s="332" t="s">
        <v>10032</v>
      </c>
      <c r="I80" s="331" t="s">
        <v>10168</v>
      </c>
      <c r="J80" s="330" t="s">
        <v>10073</v>
      </c>
      <c r="K80" s="333">
        <v>4300000</v>
      </c>
      <c r="L80" s="331" t="s">
        <v>10167</v>
      </c>
      <c r="M80" s="332">
        <v>1</v>
      </c>
      <c r="N80" s="331" t="s">
        <v>10162</v>
      </c>
      <c r="O80" s="334">
        <v>4300000</v>
      </c>
    </row>
    <row r="81" spans="1:15" ht="51">
      <c r="A81" s="863" t="s">
        <v>3773</v>
      </c>
      <c r="B81" s="331" t="s">
        <v>10166</v>
      </c>
      <c r="C81" s="335"/>
      <c r="D81" s="331">
        <v>6720</v>
      </c>
      <c r="E81" s="331" t="s">
        <v>10165</v>
      </c>
      <c r="F81" s="331" t="s">
        <v>10164</v>
      </c>
      <c r="G81" s="330"/>
      <c r="H81" s="332" t="s">
        <v>10032</v>
      </c>
      <c r="I81" s="331" t="s">
        <v>10163</v>
      </c>
      <c r="J81" s="330" t="s">
        <v>10073</v>
      </c>
      <c r="K81" s="333">
        <v>4300000</v>
      </c>
      <c r="L81" s="331" t="s">
        <v>10027</v>
      </c>
      <c r="M81" s="332">
        <v>1</v>
      </c>
      <c r="N81" s="331" t="s">
        <v>10162</v>
      </c>
      <c r="O81" s="334">
        <v>4300000</v>
      </c>
    </row>
    <row r="82" spans="1:15" ht="15.75">
      <c r="A82" s="865" t="s">
        <v>189</v>
      </c>
      <c r="B82" s="817"/>
      <c r="C82" s="817"/>
      <c r="D82" s="817"/>
      <c r="E82" s="816"/>
      <c r="F82" s="816"/>
      <c r="G82" s="816"/>
      <c r="H82" s="817"/>
      <c r="I82" s="816"/>
      <c r="J82" s="818"/>
      <c r="K82" s="860">
        <f>SUM(K73:K81)</f>
        <v>38700000</v>
      </c>
      <c r="L82" s="816"/>
      <c r="M82" s="816"/>
      <c r="N82" s="818"/>
      <c r="O82" s="829">
        <f>SUM(O73:O81)</f>
        <v>38700000</v>
      </c>
    </row>
    <row r="83" spans="1:15" ht="15.75">
      <c r="A83" s="828" t="s">
        <v>9983</v>
      </c>
      <c r="B83" s="817"/>
      <c r="C83" s="817"/>
      <c r="D83" s="817"/>
      <c r="E83" s="816"/>
      <c r="F83" s="816"/>
      <c r="G83" s="816"/>
      <c r="H83" s="817"/>
      <c r="I83" s="816"/>
      <c r="J83" s="818"/>
      <c r="K83" s="860"/>
      <c r="L83" s="816"/>
      <c r="M83" s="816"/>
      <c r="N83" s="818"/>
      <c r="O83" s="829"/>
    </row>
    <row r="84" spans="1:15" ht="51">
      <c r="A84" s="867" t="s">
        <v>4738</v>
      </c>
      <c r="B84" s="207" t="s">
        <v>10160</v>
      </c>
      <c r="C84" s="207"/>
      <c r="D84" s="207" t="s">
        <v>10161</v>
      </c>
      <c r="E84" s="207" t="s">
        <v>10160</v>
      </c>
      <c r="F84" s="207" t="s">
        <v>10159</v>
      </c>
      <c r="G84" s="207">
        <v>288</v>
      </c>
      <c r="H84" s="207" t="s">
        <v>10032</v>
      </c>
      <c r="I84" s="207" t="s">
        <v>10153</v>
      </c>
      <c r="J84" s="207" t="s">
        <v>10026</v>
      </c>
      <c r="K84" s="336">
        <v>119658013.49865186</v>
      </c>
      <c r="L84" s="207" t="s">
        <v>10027</v>
      </c>
      <c r="M84" s="207">
        <v>1</v>
      </c>
      <c r="N84" s="207" t="s">
        <v>10156</v>
      </c>
      <c r="O84" s="334">
        <v>266000000</v>
      </c>
    </row>
    <row r="85" spans="1:15" ht="51">
      <c r="A85" s="867" t="s">
        <v>4738</v>
      </c>
      <c r="B85" s="207" t="s">
        <v>1697</v>
      </c>
      <c r="C85" s="207"/>
      <c r="D85" s="207" t="s">
        <v>10158</v>
      </c>
      <c r="E85" s="207" t="s">
        <v>10157</v>
      </c>
      <c r="F85" s="207" t="s">
        <v>10125</v>
      </c>
      <c r="G85" s="207">
        <v>216</v>
      </c>
      <c r="H85" s="207" t="s">
        <v>10032</v>
      </c>
      <c r="I85" s="207" t="s">
        <v>10153</v>
      </c>
      <c r="J85" s="207" t="s">
        <v>10026</v>
      </c>
      <c r="K85" s="336">
        <v>62469995.383165389</v>
      </c>
      <c r="L85" s="207" t="s">
        <v>10027</v>
      </c>
      <c r="M85" s="207">
        <v>1</v>
      </c>
      <c r="N85" s="207" t="s">
        <v>10156</v>
      </c>
      <c r="O85" s="334">
        <v>298000000</v>
      </c>
    </row>
    <row r="86" spans="1:15" ht="127.5">
      <c r="A86" s="867" t="s">
        <v>4738</v>
      </c>
      <c r="B86" s="207" t="s">
        <v>1697</v>
      </c>
      <c r="C86" s="207"/>
      <c r="D86" s="207" t="s">
        <v>10155</v>
      </c>
      <c r="E86" s="207" t="s">
        <v>10154</v>
      </c>
      <c r="F86" s="207" t="s">
        <v>10125</v>
      </c>
      <c r="G86" s="207">
        <v>150</v>
      </c>
      <c r="H86" s="207" t="s">
        <v>10032</v>
      </c>
      <c r="I86" s="207" t="s">
        <v>10153</v>
      </c>
      <c r="J86" s="207" t="s">
        <v>10026</v>
      </c>
      <c r="K86" s="336">
        <v>0</v>
      </c>
      <c r="L86" s="207" t="s">
        <v>10027</v>
      </c>
      <c r="M86" s="207">
        <v>2</v>
      </c>
      <c r="N86" s="207" t="s">
        <v>10152</v>
      </c>
      <c r="O86" s="334">
        <v>260000000</v>
      </c>
    </row>
    <row r="87" spans="1:15" ht="15.75">
      <c r="A87" s="865" t="s">
        <v>189</v>
      </c>
      <c r="B87" s="817"/>
      <c r="C87" s="817"/>
      <c r="D87" s="817"/>
      <c r="E87" s="816"/>
      <c r="F87" s="816"/>
      <c r="G87" s="816"/>
      <c r="H87" s="817"/>
      <c r="I87" s="816"/>
      <c r="J87" s="818"/>
      <c r="K87" s="860">
        <f>SUM(K84:K86)</f>
        <v>182128008.88181725</v>
      </c>
      <c r="L87" s="816"/>
      <c r="M87" s="816"/>
      <c r="N87" s="818"/>
      <c r="O87" s="829">
        <f>SUM(O84:O86)</f>
        <v>824000000</v>
      </c>
    </row>
    <row r="88" spans="1:15" ht="15.75">
      <c r="A88" s="828" t="s">
        <v>10191</v>
      </c>
      <c r="B88" s="817"/>
      <c r="C88" s="817"/>
      <c r="D88" s="817"/>
      <c r="E88" s="816"/>
      <c r="F88" s="816"/>
      <c r="G88" s="816"/>
      <c r="H88" s="817"/>
      <c r="I88" s="816"/>
      <c r="J88" s="818"/>
      <c r="K88" s="860"/>
      <c r="L88" s="816"/>
      <c r="M88" s="816"/>
      <c r="N88" s="818"/>
      <c r="O88" s="829"/>
    </row>
    <row r="89" spans="1:15" ht="76.5">
      <c r="A89" s="863" t="s">
        <v>10190</v>
      </c>
      <c r="B89" s="331" t="s">
        <v>10189</v>
      </c>
      <c r="C89" s="331"/>
      <c r="D89" s="331">
        <v>2827</v>
      </c>
      <c r="E89" s="331" t="s">
        <v>10188</v>
      </c>
      <c r="F89" s="331" t="s">
        <v>10023</v>
      </c>
      <c r="G89" s="330">
        <v>288</v>
      </c>
      <c r="H89" s="332" t="s">
        <v>10032</v>
      </c>
      <c r="I89" s="331" t="s">
        <v>10187</v>
      </c>
      <c r="J89" s="330" t="s">
        <v>10026</v>
      </c>
      <c r="K89" s="333">
        <v>0</v>
      </c>
      <c r="L89" s="331" t="s">
        <v>10027</v>
      </c>
      <c r="M89" s="332">
        <v>2</v>
      </c>
      <c r="N89" s="337" t="s">
        <v>10186</v>
      </c>
      <c r="O89" s="334">
        <v>250000000</v>
      </c>
    </row>
    <row r="90" spans="1:15" ht="15.75">
      <c r="A90" s="865" t="s">
        <v>189</v>
      </c>
      <c r="B90" s="817"/>
      <c r="C90" s="817"/>
      <c r="D90" s="817"/>
      <c r="E90" s="816"/>
      <c r="F90" s="816"/>
      <c r="G90" s="816"/>
      <c r="H90" s="817"/>
      <c r="I90" s="816"/>
      <c r="J90" s="818"/>
      <c r="K90" s="860">
        <f>SUM(K89)</f>
        <v>0</v>
      </c>
      <c r="L90" s="816"/>
      <c r="M90" s="816"/>
      <c r="N90" s="818"/>
      <c r="O90" s="829">
        <f>SUM(O89)</f>
        <v>250000000</v>
      </c>
    </row>
    <row r="91" spans="1:15" ht="15.75">
      <c r="A91" s="828" t="s">
        <v>10200</v>
      </c>
      <c r="B91" s="817"/>
      <c r="C91" s="817"/>
      <c r="D91" s="817"/>
      <c r="E91" s="816"/>
      <c r="F91" s="816"/>
      <c r="G91" s="816"/>
      <c r="H91" s="817"/>
      <c r="I91" s="816"/>
      <c r="J91" s="818"/>
      <c r="K91" s="860"/>
      <c r="L91" s="816"/>
      <c r="M91" s="816"/>
      <c r="N91" s="818"/>
      <c r="O91" s="829"/>
    </row>
    <row r="92" spans="1:15" ht="51">
      <c r="A92" s="863" t="s">
        <v>3918</v>
      </c>
      <c r="B92" s="330" t="s">
        <v>10199</v>
      </c>
      <c r="C92" s="335"/>
      <c r="D92" s="331">
        <v>1042</v>
      </c>
      <c r="E92" s="331" t="s">
        <v>10198</v>
      </c>
      <c r="F92" s="331" t="s">
        <v>10197</v>
      </c>
      <c r="G92" s="330">
        <v>136</v>
      </c>
      <c r="H92" s="332" t="s">
        <v>10032</v>
      </c>
      <c r="I92" s="331" t="s">
        <v>10196</v>
      </c>
      <c r="J92" s="330" t="s">
        <v>3149</v>
      </c>
      <c r="K92" s="333">
        <v>5750000</v>
      </c>
      <c r="L92" s="331" t="s">
        <v>10027</v>
      </c>
      <c r="M92" s="332">
        <v>1</v>
      </c>
      <c r="N92" s="331" t="s">
        <v>10072</v>
      </c>
      <c r="O92" s="334">
        <f>65620000+16000000</f>
        <v>81620000</v>
      </c>
    </row>
    <row r="93" spans="1:15" ht="51">
      <c r="A93" s="863" t="s">
        <v>3893</v>
      </c>
      <c r="B93" s="331" t="s">
        <v>10195</v>
      </c>
      <c r="C93" s="331"/>
      <c r="D93" s="331">
        <v>6498</v>
      </c>
      <c r="E93" s="331" t="s">
        <v>10194</v>
      </c>
      <c r="F93" s="331" t="s">
        <v>10193</v>
      </c>
      <c r="G93" s="330">
        <v>1150</v>
      </c>
      <c r="H93" s="332" t="s">
        <v>10032</v>
      </c>
      <c r="I93" s="331" t="s">
        <v>10192</v>
      </c>
      <c r="J93" s="331" t="s">
        <v>10073</v>
      </c>
      <c r="K93" s="333">
        <v>195200000</v>
      </c>
      <c r="L93" s="331" t="s">
        <v>10027</v>
      </c>
      <c r="M93" s="332">
        <v>1</v>
      </c>
      <c r="N93" s="331" t="s">
        <v>10072</v>
      </c>
      <c r="O93" s="334">
        <f>490000000+45000000</f>
        <v>535000000</v>
      </c>
    </row>
    <row r="94" spans="1:15" ht="15.75">
      <c r="A94" s="865" t="s">
        <v>189</v>
      </c>
      <c r="B94" s="817"/>
      <c r="C94" s="817"/>
      <c r="D94" s="817"/>
      <c r="E94" s="816"/>
      <c r="F94" s="816"/>
      <c r="G94" s="816"/>
      <c r="H94" s="817"/>
      <c r="I94" s="816"/>
      <c r="J94" s="818"/>
      <c r="K94" s="860">
        <f>SUM(K92:K93)</f>
        <v>200950000</v>
      </c>
      <c r="L94" s="816"/>
      <c r="M94" s="816"/>
      <c r="N94" s="818"/>
      <c r="O94" s="829">
        <f>SUM(O92:O93)</f>
        <v>616620000</v>
      </c>
    </row>
    <row r="95" spans="1:15" ht="15.75">
      <c r="A95" s="828" t="s">
        <v>91</v>
      </c>
      <c r="B95" s="817"/>
      <c r="C95" s="817"/>
      <c r="D95" s="817"/>
      <c r="E95" s="816"/>
      <c r="F95" s="816"/>
      <c r="G95" s="816"/>
      <c r="H95" s="817"/>
      <c r="I95" s="816"/>
      <c r="J95" s="818"/>
      <c r="K95" s="860"/>
      <c r="L95" s="816"/>
      <c r="M95" s="816"/>
      <c r="N95" s="818"/>
      <c r="O95" s="829"/>
    </row>
    <row r="96" spans="1:15">
      <c r="A96" s="868"/>
      <c r="B96" s="861"/>
      <c r="C96" s="861"/>
      <c r="D96" s="861"/>
      <c r="E96" s="861"/>
      <c r="F96" s="861"/>
      <c r="G96" s="861"/>
      <c r="H96" s="861"/>
      <c r="I96" s="861"/>
      <c r="J96" s="861"/>
      <c r="K96" s="862"/>
      <c r="L96" s="861"/>
      <c r="M96" s="861"/>
      <c r="N96" s="861"/>
      <c r="O96" s="869"/>
    </row>
    <row r="97" spans="1:15" ht="16.5" thickBot="1">
      <c r="A97" s="1111" t="s">
        <v>91</v>
      </c>
      <c r="B97" s="1112"/>
      <c r="C97" s="1112"/>
      <c r="D97" s="1112"/>
      <c r="E97" s="1112"/>
      <c r="F97" s="1112"/>
      <c r="G97" s="1112"/>
      <c r="H97" s="1112"/>
      <c r="I97" s="1112"/>
      <c r="J97" s="1112"/>
      <c r="K97" s="870">
        <f>K94+K90+K87+K82+K71+K67+K64+K61+K58+K55+K49+K46+K42+K37+K34+K30+K26+K18+K14+K11+K8</f>
        <v>1027278008.8818172</v>
      </c>
      <c r="L97" s="1112" t="s">
        <v>3149</v>
      </c>
      <c r="M97" s="1112"/>
      <c r="N97" s="1112"/>
      <c r="O97" s="871">
        <f>O94+O90+O87+O82+O71+O67+O64+O61+O58+O55+O49+O46+O42+O37+O34+O30+O26+O18+O14+O11+O8</f>
        <v>4303293034</v>
      </c>
    </row>
  </sheetData>
  <mergeCells count="15">
    <mergeCell ref="A1:O1"/>
    <mergeCell ref="A2:O2"/>
    <mergeCell ref="A3:O3"/>
    <mergeCell ref="A4:A5"/>
    <mergeCell ref="B4:C4"/>
    <mergeCell ref="D4:D5"/>
    <mergeCell ref="E4:E5"/>
    <mergeCell ref="F4:H4"/>
    <mergeCell ref="I4:K4"/>
    <mergeCell ref="L4:L5"/>
    <mergeCell ref="A97:J97"/>
    <mergeCell ref="L97:N97"/>
    <mergeCell ref="A6:O6"/>
    <mergeCell ref="A9:N9"/>
    <mergeCell ref="M4:O4"/>
  </mergeCells>
  <printOptions horizontalCentered="1" verticalCentered="1"/>
  <pageMargins left="0.23622047244094491" right="0.23622047244094491" top="0.74803149606299213" bottom="0.74803149606299213" header="0.31496062992125984" footer="0.31496062992125984"/>
  <pageSetup scale="55" fitToHeight="0" orientation="landscape" r:id="rId1"/>
  <headerFooter>
    <oddFooter>&amp;C&amp;P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I283"/>
  <sheetViews>
    <sheetView view="pageBreakPreview" topLeftCell="A278" zoomScale="72" zoomScaleNormal="75" zoomScaleSheetLayoutView="72" workbookViewId="0">
      <selection activeCell="A4" sqref="A4:I5"/>
    </sheetView>
  </sheetViews>
  <sheetFormatPr baseColWidth="10" defaultRowHeight="15"/>
  <cols>
    <col min="1" max="1" width="13.5703125" customWidth="1"/>
    <col min="2" max="2" width="19.7109375" customWidth="1"/>
    <col min="3" max="3" width="14.7109375" customWidth="1"/>
    <col min="4" max="4" width="26.5703125" bestFit="1" customWidth="1"/>
    <col min="5" max="5" width="20" customWidth="1"/>
    <col min="6" max="6" width="28.28515625" style="431" customWidth="1"/>
    <col min="7" max="7" width="29.7109375" customWidth="1"/>
    <col min="8" max="8" width="27.5703125" bestFit="1" customWidth="1"/>
    <col min="9" max="9" width="29.42578125" style="431" bestFit="1" customWidth="1"/>
  </cols>
  <sheetData>
    <row r="1" spans="1:9" ht="15.75">
      <c r="A1" s="1045" t="s">
        <v>0</v>
      </c>
      <c r="B1" s="1045"/>
      <c r="C1" s="1045"/>
      <c r="D1" s="1045"/>
      <c r="E1" s="1045"/>
      <c r="F1" s="1045"/>
      <c r="G1" s="1045"/>
      <c r="H1" s="1045"/>
      <c r="I1" s="1045"/>
    </row>
    <row r="2" spans="1:9" ht="15.75">
      <c r="A2" s="1045" t="s">
        <v>116</v>
      </c>
      <c r="B2" s="1045"/>
      <c r="C2" s="1045"/>
      <c r="D2" s="1045"/>
      <c r="E2" s="1045"/>
      <c r="F2" s="1045"/>
      <c r="G2" s="1045"/>
      <c r="H2" s="1045"/>
      <c r="I2" s="1045"/>
    </row>
    <row r="3" spans="1:9" ht="16.5" thickBot="1">
      <c r="A3" s="1045" t="s">
        <v>39</v>
      </c>
      <c r="B3" s="1045"/>
      <c r="C3" s="1045"/>
      <c r="D3" s="1045"/>
      <c r="E3" s="1045"/>
      <c r="F3" s="1045"/>
      <c r="G3" s="1045"/>
      <c r="H3" s="1045"/>
      <c r="I3" s="1045"/>
    </row>
    <row r="4" spans="1:9" ht="15.75">
      <c r="A4" s="1126" t="s">
        <v>1</v>
      </c>
      <c r="B4" s="1128" t="s">
        <v>3</v>
      </c>
      <c r="C4" s="1128" t="s">
        <v>40</v>
      </c>
      <c r="D4" s="1128"/>
      <c r="E4" s="1128" t="s">
        <v>22</v>
      </c>
      <c r="F4" s="1128"/>
      <c r="G4" s="1128" t="s">
        <v>7</v>
      </c>
      <c r="H4" s="1128"/>
      <c r="I4" s="1130"/>
    </row>
    <row r="5" spans="1:9" ht="47.25" customHeight="1" thickBot="1">
      <c r="A5" s="1127"/>
      <c r="B5" s="1129"/>
      <c r="C5" s="836" t="s">
        <v>41</v>
      </c>
      <c r="D5" s="836" t="s">
        <v>42</v>
      </c>
      <c r="E5" s="836" t="s">
        <v>25</v>
      </c>
      <c r="F5" s="837" t="s">
        <v>26</v>
      </c>
      <c r="G5" s="836" t="s">
        <v>27</v>
      </c>
      <c r="H5" s="836" t="s">
        <v>43</v>
      </c>
      <c r="I5" s="838" t="s">
        <v>29</v>
      </c>
    </row>
    <row r="6" spans="1:9" ht="15.75">
      <c r="A6" s="1131" t="s">
        <v>10001</v>
      </c>
      <c r="B6" s="1132"/>
      <c r="C6" s="1132"/>
      <c r="D6" s="1132"/>
      <c r="E6" s="1132"/>
      <c r="F6" s="1132"/>
      <c r="G6" s="1132"/>
      <c r="H6" s="1132"/>
      <c r="I6" s="1133"/>
    </row>
    <row r="7" spans="1:9" ht="204">
      <c r="A7" s="850" t="s">
        <v>1187</v>
      </c>
      <c r="B7" s="839" t="s">
        <v>9597</v>
      </c>
      <c r="C7" s="839" t="s">
        <v>9598</v>
      </c>
      <c r="D7" s="839" t="s">
        <v>9599</v>
      </c>
      <c r="E7" s="840" t="s">
        <v>9600</v>
      </c>
      <c r="F7" s="841">
        <v>58916000</v>
      </c>
      <c r="G7" s="839">
        <v>1</v>
      </c>
      <c r="H7" s="840" t="s">
        <v>9601</v>
      </c>
      <c r="I7" s="851">
        <v>58916000</v>
      </c>
    </row>
    <row r="8" spans="1:9">
      <c r="A8" s="1053" t="s">
        <v>189</v>
      </c>
      <c r="B8" s="1054"/>
      <c r="C8" s="1054"/>
      <c r="D8" s="1054"/>
      <c r="E8" s="1054"/>
      <c r="F8" s="521">
        <f>SUM(F7)</f>
        <v>58916000</v>
      </c>
      <c r="G8" s="570"/>
      <c r="H8" s="570"/>
      <c r="I8" s="852">
        <f>SUM(I7)</f>
        <v>58916000</v>
      </c>
    </row>
    <row r="9" spans="1:9" ht="16.5" customHeight="1">
      <c r="A9" s="1053" t="s">
        <v>1920</v>
      </c>
      <c r="B9" s="1054"/>
      <c r="C9" s="1054"/>
      <c r="D9" s="1054"/>
      <c r="E9" s="1054"/>
      <c r="F9" s="1054"/>
      <c r="G9" s="1054"/>
      <c r="H9" s="1054"/>
      <c r="I9" s="1055"/>
    </row>
    <row r="10" spans="1:9" ht="63.75">
      <c r="A10" s="853" t="s">
        <v>2952</v>
      </c>
      <c r="B10" s="26" t="s">
        <v>842</v>
      </c>
      <c r="C10" s="842" t="s">
        <v>2953</v>
      </c>
      <c r="D10" s="26" t="s">
        <v>2954</v>
      </c>
      <c r="E10" s="843" t="s">
        <v>2955</v>
      </c>
      <c r="F10" s="381">
        <v>1000000</v>
      </c>
      <c r="G10" s="844" t="s">
        <v>2956</v>
      </c>
      <c r="H10" s="843" t="s">
        <v>2957</v>
      </c>
      <c r="I10" s="530">
        <v>3500000</v>
      </c>
    </row>
    <row r="11" spans="1:9" ht="77.25">
      <c r="A11" s="854" t="s">
        <v>1137</v>
      </c>
      <c r="B11" s="96" t="s">
        <v>2958</v>
      </c>
      <c r="C11" s="96" t="s">
        <v>2953</v>
      </c>
      <c r="D11" s="26" t="s">
        <v>2959</v>
      </c>
      <c r="E11" s="26" t="s">
        <v>2959</v>
      </c>
      <c r="F11" s="845">
        <v>60000000</v>
      </c>
      <c r="G11" s="96">
        <v>1</v>
      </c>
      <c r="H11" s="91" t="s">
        <v>2960</v>
      </c>
      <c r="I11" s="519">
        <v>100000000</v>
      </c>
    </row>
    <row r="12" spans="1:9" ht="156.75">
      <c r="A12" s="854" t="s">
        <v>1137</v>
      </c>
      <c r="B12" s="96" t="s">
        <v>2654</v>
      </c>
      <c r="C12" s="96" t="s">
        <v>2953</v>
      </c>
      <c r="D12" s="96" t="s">
        <v>2954</v>
      </c>
      <c r="E12" s="92" t="s">
        <v>2961</v>
      </c>
      <c r="F12" s="845">
        <v>5000000</v>
      </c>
      <c r="G12" s="96">
        <v>1</v>
      </c>
      <c r="H12" s="26" t="s">
        <v>2962</v>
      </c>
      <c r="I12" s="519">
        <v>8000000</v>
      </c>
    </row>
    <row r="13" spans="1:9" ht="77.25">
      <c r="A13" s="854" t="s">
        <v>1137</v>
      </c>
      <c r="B13" s="96" t="s">
        <v>2963</v>
      </c>
      <c r="C13" s="96" t="s">
        <v>2953</v>
      </c>
      <c r="D13" s="96" t="s">
        <v>2954</v>
      </c>
      <c r="E13" s="91" t="s">
        <v>2964</v>
      </c>
      <c r="F13" s="845">
        <v>3000000</v>
      </c>
      <c r="G13" s="96">
        <v>1</v>
      </c>
      <c r="H13" s="91" t="s">
        <v>2965</v>
      </c>
      <c r="I13" s="519">
        <v>8500000</v>
      </c>
    </row>
    <row r="14" spans="1:9" ht="77.25">
      <c r="A14" s="855" t="s">
        <v>2807</v>
      </c>
      <c r="B14" s="26" t="s">
        <v>2621</v>
      </c>
      <c r="C14" s="26" t="s">
        <v>2953</v>
      </c>
      <c r="D14" s="26" t="s">
        <v>2966</v>
      </c>
      <c r="E14" s="91" t="s">
        <v>2967</v>
      </c>
      <c r="F14" s="845">
        <v>10000000</v>
      </c>
      <c r="G14" s="96">
        <v>1</v>
      </c>
      <c r="H14" s="91" t="s">
        <v>2968</v>
      </c>
      <c r="I14" s="519">
        <v>20000000</v>
      </c>
    </row>
    <row r="15" spans="1:9" ht="90">
      <c r="A15" s="855" t="s">
        <v>2807</v>
      </c>
      <c r="B15" s="26" t="s">
        <v>2808</v>
      </c>
      <c r="C15" s="26" t="s">
        <v>2953</v>
      </c>
      <c r="D15" s="846" t="s">
        <v>2966</v>
      </c>
      <c r="E15" s="846" t="s">
        <v>2964</v>
      </c>
      <c r="F15" s="845">
        <v>5000000</v>
      </c>
      <c r="G15" s="96">
        <v>1</v>
      </c>
      <c r="H15" s="91" t="s">
        <v>2968</v>
      </c>
      <c r="I15" s="519">
        <v>6000000</v>
      </c>
    </row>
    <row r="16" spans="1:9" ht="90">
      <c r="A16" s="103" t="s">
        <v>2969</v>
      </c>
      <c r="B16" s="26" t="s">
        <v>2863</v>
      </c>
      <c r="C16" s="26" t="s">
        <v>2953</v>
      </c>
      <c r="D16" s="26" t="s">
        <v>2954</v>
      </c>
      <c r="E16" s="91" t="s">
        <v>2970</v>
      </c>
      <c r="F16" s="845">
        <v>60000000</v>
      </c>
      <c r="G16" s="96">
        <v>1</v>
      </c>
      <c r="H16" s="91" t="s">
        <v>2971</v>
      </c>
      <c r="I16" s="519">
        <v>70000000</v>
      </c>
    </row>
    <row r="17" spans="1:9" ht="102">
      <c r="A17" s="103" t="s">
        <v>2826</v>
      </c>
      <c r="B17" s="26" t="s">
        <v>2916</v>
      </c>
      <c r="C17" s="26" t="s">
        <v>2953</v>
      </c>
      <c r="D17" s="26" t="s">
        <v>2954</v>
      </c>
      <c r="E17" s="93" t="s">
        <v>2972</v>
      </c>
      <c r="F17" s="845">
        <v>20000000</v>
      </c>
      <c r="G17" s="96">
        <v>1</v>
      </c>
      <c r="H17" s="26" t="s">
        <v>2973</v>
      </c>
      <c r="I17" s="519">
        <v>35000000</v>
      </c>
    </row>
    <row r="18" spans="1:9" ht="51">
      <c r="A18" s="850" t="s">
        <v>3145</v>
      </c>
      <c r="B18" s="839" t="s">
        <v>9438</v>
      </c>
      <c r="C18" s="839" t="s">
        <v>2953</v>
      </c>
      <c r="D18" s="839" t="s">
        <v>9306</v>
      </c>
      <c r="E18" s="840" t="s">
        <v>9439</v>
      </c>
      <c r="F18" s="841">
        <v>1039650.9774021057</v>
      </c>
      <c r="G18" s="839">
        <v>1</v>
      </c>
      <c r="H18" s="840" t="s">
        <v>9440</v>
      </c>
      <c r="I18" s="851">
        <v>1039650.9774021057</v>
      </c>
    </row>
    <row r="19" spans="1:9" ht="178.5">
      <c r="A19" s="850" t="s">
        <v>2900</v>
      </c>
      <c r="B19" s="839" t="s">
        <v>9623</v>
      </c>
      <c r="C19" s="839" t="s">
        <v>9624</v>
      </c>
      <c r="D19" s="839" t="s">
        <v>9625</v>
      </c>
      <c r="E19" s="840" t="s">
        <v>9626</v>
      </c>
      <c r="F19" s="841">
        <v>120120000</v>
      </c>
      <c r="G19" s="839">
        <v>2</v>
      </c>
      <c r="H19" s="840" t="s">
        <v>9627</v>
      </c>
      <c r="I19" s="851">
        <v>120120000</v>
      </c>
    </row>
    <row r="20" spans="1:9" ht="255">
      <c r="A20" s="850" t="s">
        <v>2900</v>
      </c>
      <c r="B20" s="839" t="s">
        <v>9623</v>
      </c>
      <c r="C20" s="839" t="s">
        <v>9624</v>
      </c>
      <c r="D20" s="839" t="s">
        <v>9628</v>
      </c>
      <c r="E20" s="840" t="s">
        <v>9629</v>
      </c>
      <c r="F20" s="841">
        <v>77220000</v>
      </c>
      <c r="G20" s="839">
        <v>1</v>
      </c>
      <c r="H20" s="840" t="s">
        <v>9630</v>
      </c>
      <c r="I20" s="851">
        <v>77220000</v>
      </c>
    </row>
    <row r="21" spans="1:9" ht="191.25">
      <c r="A21" s="850" t="s">
        <v>2799</v>
      </c>
      <c r="B21" s="839" t="s">
        <v>9643</v>
      </c>
      <c r="C21" s="839" t="s">
        <v>9602</v>
      </c>
      <c r="D21" s="839" t="s">
        <v>9644</v>
      </c>
      <c r="E21" s="840" t="s">
        <v>9645</v>
      </c>
      <c r="F21" s="841">
        <v>148720000</v>
      </c>
      <c r="G21" s="839">
        <v>1</v>
      </c>
      <c r="H21" s="840" t="s">
        <v>9646</v>
      </c>
      <c r="I21" s="851">
        <v>148720000</v>
      </c>
    </row>
    <row r="22" spans="1:9">
      <c r="A22" s="1053" t="s">
        <v>189</v>
      </c>
      <c r="B22" s="1054"/>
      <c r="C22" s="1054"/>
      <c r="D22" s="1054"/>
      <c r="E22" s="1054"/>
      <c r="F22" s="521">
        <f>SUM(F10:F21)</f>
        <v>511099650.97740209</v>
      </c>
      <c r="G22" s="570"/>
      <c r="H22" s="570"/>
      <c r="I22" s="852">
        <f>SUM(I10:I21)</f>
        <v>598099650.97740209</v>
      </c>
    </row>
    <row r="23" spans="1:9">
      <c r="A23" s="1053" t="s">
        <v>1968</v>
      </c>
      <c r="B23" s="1054"/>
      <c r="C23" s="1054"/>
      <c r="D23" s="1054"/>
      <c r="E23" s="1054"/>
      <c r="F23" s="1054"/>
      <c r="G23" s="1054"/>
      <c r="H23" s="1054"/>
      <c r="I23" s="1055"/>
    </row>
    <row r="24" spans="1:9" ht="45">
      <c r="A24" s="65" t="s">
        <v>1969</v>
      </c>
      <c r="B24" s="847" t="s">
        <v>2253</v>
      </c>
      <c r="C24" s="67" t="s">
        <v>2254</v>
      </c>
      <c r="D24" s="67" t="s">
        <v>2255</v>
      </c>
      <c r="E24" s="67" t="s">
        <v>2256</v>
      </c>
      <c r="F24" s="848">
        <v>4000000</v>
      </c>
      <c r="G24" s="67">
        <v>1</v>
      </c>
      <c r="H24" s="67" t="s">
        <v>2257</v>
      </c>
      <c r="I24" s="520">
        <v>8000000</v>
      </c>
    </row>
    <row r="25" spans="1:9" ht="22.5">
      <c r="A25" s="65" t="s">
        <v>1969</v>
      </c>
      <c r="B25" s="847" t="s">
        <v>2258</v>
      </c>
      <c r="C25" s="67" t="s">
        <v>2259</v>
      </c>
      <c r="D25" s="67" t="s">
        <v>2260</v>
      </c>
      <c r="E25" s="67" t="s">
        <v>2261</v>
      </c>
      <c r="F25" s="848">
        <v>12000000</v>
      </c>
      <c r="G25" s="67">
        <v>1</v>
      </c>
      <c r="H25" s="67" t="s">
        <v>2262</v>
      </c>
      <c r="I25" s="520">
        <v>45000000</v>
      </c>
    </row>
    <row r="26" spans="1:9" ht="33.75">
      <c r="A26" s="65" t="s">
        <v>1969</v>
      </c>
      <c r="B26" s="847" t="s">
        <v>2253</v>
      </c>
      <c r="C26" s="67" t="s">
        <v>2254</v>
      </c>
      <c r="D26" s="67" t="s">
        <v>2263</v>
      </c>
      <c r="E26" s="67" t="s">
        <v>10003</v>
      </c>
      <c r="F26" s="848">
        <v>12420000</v>
      </c>
      <c r="G26" s="67">
        <v>1</v>
      </c>
      <c r="H26" s="67" t="s">
        <v>2264</v>
      </c>
      <c r="I26" s="520">
        <v>20000000</v>
      </c>
    </row>
    <row r="27" spans="1:9" ht="33.75">
      <c r="A27" s="65" t="s">
        <v>1969</v>
      </c>
      <c r="B27" s="847" t="s">
        <v>2265</v>
      </c>
      <c r="C27" s="67" t="s">
        <v>2254</v>
      </c>
      <c r="D27" s="67" t="s">
        <v>2255</v>
      </c>
      <c r="E27" s="67" t="s">
        <v>2266</v>
      </c>
      <c r="F27" s="848">
        <v>1500000</v>
      </c>
      <c r="G27" s="67">
        <v>1</v>
      </c>
      <c r="H27" s="67" t="s">
        <v>2267</v>
      </c>
      <c r="I27" s="520">
        <v>4500000</v>
      </c>
    </row>
    <row r="28" spans="1:9" ht="22.5">
      <c r="A28" s="65" t="s">
        <v>1969</v>
      </c>
      <c r="B28" s="847" t="s">
        <v>2067</v>
      </c>
      <c r="C28" s="67" t="s">
        <v>2268</v>
      </c>
      <c r="D28" s="67" t="s">
        <v>2269</v>
      </c>
      <c r="E28" s="67" t="s">
        <v>2270</v>
      </c>
      <c r="F28" s="848">
        <v>2500000</v>
      </c>
      <c r="G28" s="67">
        <v>1</v>
      </c>
      <c r="H28" s="67" t="s">
        <v>2271</v>
      </c>
      <c r="I28" s="520">
        <v>12500000</v>
      </c>
    </row>
    <row r="29" spans="1:9" ht="22.5">
      <c r="A29" s="65" t="s">
        <v>1969</v>
      </c>
      <c r="B29" s="847" t="s">
        <v>2272</v>
      </c>
      <c r="C29" s="67" t="s">
        <v>2254</v>
      </c>
      <c r="D29" s="67" t="s">
        <v>2273</v>
      </c>
      <c r="E29" s="67" t="s">
        <v>2274</v>
      </c>
      <c r="F29" s="848">
        <v>2500000</v>
      </c>
      <c r="G29" s="67">
        <v>1</v>
      </c>
      <c r="H29" s="67" t="s">
        <v>2271</v>
      </c>
      <c r="I29" s="520">
        <v>12500000</v>
      </c>
    </row>
    <row r="30" spans="1:9" ht="22.5">
      <c r="A30" s="65" t="s">
        <v>1969</v>
      </c>
      <c r="B30" s="847" t="s">
        <v>2272</v>
      </c>
      <c r="C30" s="67" t="s">
        <v>2254</v>
      </c>
      <c r="D30" s="67" t="s">
        <v>2275</v>
      </c>
      <c r="E30" s="67" t="s">
        <v>2276</v>
      </c>
      <c r="F30" s="848">
        <v>4500000</v>
      </c>
      <c r="G30" s="67">
        <v>1</v>
      </c>
      <c r="H30" s="67" t="s">
        <v>2277</v>
      </c>
      <c r="I30" s="520">
        <v>8000000</v>
      </c>
    </row>
    <row r="31" spans="1:9" ht="45">
      <c r="A31" s="65" t="s">
        <v>1969</v>
      </c>
      <c r="B31" s="847" t="s">
        <v>2272</v>
      </c>
      <c r="C31" s="67" t="s">
        <v>2254</v>
      </c>
      <c r="D31" s="67" t="s">
        <v>2278</v>
      </c>
      <c r="E31" s="67" t="s">
        <v>2279</v>
      </c>
      <c r="F31" s="848">
        <v>6500000</v>
      </c>
      <c r="G31" s="67">
        <v>1</v>
      </c>
      <c r="H31" s="67" t="s">
        <v>2280</v>
      </c>
      <c r="I31" s="520">
        <v>12200000</v>
      </c>
    </row>
    <row r="32" spans="1:9" ht="33.75">
      <c r="A32" s="65" t="s">
        <v>1969</v>
      </c>
      <c r="B32" s="847" t="s">
        <v>2272</v>
      </c>
      <c r="C32" s="67" t="s">
        <v>2254</v>
      </c>
      <c r="D32" s="67" t="s">
        <v>2281</v>
      </c>
      <c r="E32" s="67" t="s">
        <v>2282</v>
      </c>
      <c r="F32" s="848">
        <v>1375000</v>
      </c>
      <c r="G32" s="67">
        <v>1</v>
      </c>
      <c r="H32" s="67" t="s">
        <v>2283</v>
      </c>
      <c r="I32" s="520">
        <v>6500000</v>
      </c>
    </row>
    <row r="33" spans="1:9" ht="22.5">
      <c r="A33" s="65" t="s">
        <v>2067</v>
      </c>
      <c r="B33" s="847" t="s">
        <v>2268</v>
      </c>
      <c r="C33" s="67" t="s">
        <v>2254</v>
      </c>
      <c r="D33" s="67" t="s">
        <v>2284</v>
      </c>
      <c r="E33" s="67" t="s">
        <v>10003</v>
      </c>
      <c r="F33" s="848">
        <v>4200000</v>
      </c>
      <c r="G33" s="67">
        <v>1</v>
      </c>
      <c r="H33" s="67" t="s">
        <v>2285</v>
      </c>
      <c r="I33" s="520">
        <v>25000000</v>
      </c>
    </row>
    <row r="34" spans="1:9" ht="33.75">
      <c r="A34" s="65" t="s">
        <v>2067</v>
      </c>
      <c r="B34" s="847" t="s">
        <v>2268</v>
      </c>
      <c r="C34" s="67" t="s">
        <v>2254</v>
      </c>
      <c r="D34" s="67" t="s">
        <v>2286</v>
      </c>
      <c r="E34" s="67" t="s">
        <v>2287</v>
      </c>
      <c r="F34" s="848">
        <v>3425000</v>
      </c>
      <c r="G34" s="67">
        <v>1</v>
      </c>
      <c r="H34" s="67" t="s">
        <v>2288</v>
      </c>
      <c r="I34" s="520">
        <v>8000000</v>
      </c>
    </row>
    <row r="35" spans="1:9" ht="22.5">
      <c r="A35" s="65" t="s">
        <v>2067</v>
      </c>
      <c r="B35" s="847" t="s">
        <v>2268</v>
      </c>
      <c r="C35" s="67" t="s">
        <v>2254</v>
      </c>
      <c r="D35" s="67" t="s">
        <v>2289</v>
      </c>
      <c r="E35" s="67" t="s">
        <v>2290</v>
      </c>
      <c r="F35" s="848">
        <v>1620000</v>
      </c>
      <c r="G35" s="67">
        <v>1</v>
      </c>
      <c r="H35" s="67" t="s">
        <v>2291</v>
      </c>
      <c r="I35" s="520">
        <v>20000000</v>
      </c>
    </row>
    <row r="36" spans="1:9" ht="89.25">
      <c r="A36" s="850" t="s">
        <v>2020</v>
      </c>
      <c r="B36" s="839" t="s">
        <v>2020</v>
      </c>
      <c r="C36" s="839" t="s">
        <v>2254</v>
      </c>
      <c r="D36" s="839" t="s">
        <v>9429</v>
      </c>
      <c r="E36" s="840" t="s">
        <v>10004</v>
      </c>
      <c r="F36" s="841">
        <v>12490822.688821048</v>
      </c>
      <c r="G36" s="839">
        <v>2</v>
      </c>
      <c r="H36" s="840" t="s">
        <v>9430</v>
      </c>
      <c r="I36" s="851">
        <v>12490822.688821048</v>
      </c>
    </row>
    <row r="37" spans="1:9" ht="89.25">
      <c r="A37" s="850" t="s">
        <v>1989</v>
      </c>
      <c r="B37" s="839" t="s">
        <v>1998</v>
      </c>
      <c r="C37" s="839" t="s">
        <v>2953</v>
      </c>
      <c r="D37" s="839" t="s">
        <v>9433</v>
      </c>
      <c r="E37" s="840" t="s">
        <v>9436</v>
      </c>
      <c r="F37" s="841">
        <v>13556183.3039637</v>
      </c>
      <c r="G37" s="839">
        <v>2</v>
      </c>
      <c r="H37" s="840" t="s">
        <v>9437</v>
      </c>
      <c r="I37" s="851">
        <v>13556183.3039637</v>
      </c>
    </row>
    <row r="38" spans="1:9" ht="191.25">
      <c r="A38" s="850" t="s">
        <v>9540</v>
      </c>
      <c r="B38" s="839" t="s">
        <v>9540</v>
      </c>
      <c r="C38" s="839" t="s">
        <v>2953</v>
      </c>
      <c r="D38" s="839" t="s">
        <v>9306</v>
      </c>
      <c r="E38" s="840" t="s">
        <v>9541</v>
      </c>
      <c r="F38" s="841">
        <v>295861.28000000003</v>
      </c>
      <c r="G38" s="839">
        <v>1</v>
      </c>
      <c r="H38" s="840" t="s">
        <v>9542</v>
      </c>
      <c r="I38" s="851">
        <v>295861.28000000003</v>
      </c>
    </row>
    <row r="39" spans="1:9" ht="102">
      <c r="A39" s="850" t="s">
        <v>9540</v>
      </c>
      <c r="B39" s="839" t="s">
        <v>2063</v>
      </c>
      <c r="C39" s="839" t="s">
        <v>2953</v>
      </c>
      <c r="D39" s="839" t="s">
        <v>9354</v>
      </c>
      <c r="E39" s="840" t="s">
        <v>9543</v>
      </c>
      <c r="F39" s="841">
        <v>532549.16</v>
      </c>
      <c r="G39" s="839">
        <v>2</v>
      </c>
      <c r="H39" s="840" t="s">
        <v>9544</v>
      </c>
      <c r="I39" s="851">
        <v>532549.16</v>
      </c>
    </row>
    <row r="40" spans="1:9" ht="267.75">
      <c r="A40" s="850" t="s">
        <v>9545</v>
      </c>
      <c r="B40" s="839" t="s">
        <v>9380</v>
      </c>
      <c r="C40" s="839" t="s">
        <v>2254</v>
      </c>
      <c r="D40" s="839" t="s">
        <v>9534</v>
      </c>
      <c r="E40" s="840" t="s">
        <v>9546</v>
      </c>
      <c r="F40" s="841">
        <v>78506582.439999998</v>
      </c>
      <c r="G40" s="839">
        <v>2</v>
      </c>
      <c r="H40" s="840" t="s">
        <v>9547</v>
      </c>
      <c r="I40" s="851">
        <v>78506582.439999998</v>
      </c>
    </row>
    <row r="41" spans="1:9" ht="409.5">
      <c r="A41" s="850" t="s">
        <v>1969</v>
      </c>
      <c r="B41" s="839" t="s">
        <v>2079</v>
      </c>
      <c r="C41" s="839" t="s">
        <v>2254</v>
      </c>
      <c r="D41" s="839" t="s">
        <v>9548</v>
      </c>
      <c r="E41" s="840" t="s">
        <v>10005</v>
      </c>
      <c r="F41" s="841">
        <v>908597198.07999992</v>
      </c>
      <c r="G41" s="839">
        <v>3</v>
      </c>
      <c r="H41" s="840" t="s">
        <v>9549</v>
      </c>
      <c r="I41" s="851">
        <v>908597198.07999992</v>
      </c>
    </row>
    <row r="42" spans="1:9">
      <c r="A42" s="1053" t="s">
        <v>189</v>
      </c>
      <c r="B42" s="1054"/>
      <c r="C42" s="1054"/>
      <c r="D42" s="1054"/>
      <c r="E42" s="1054"/>
      <c r="F42" s="521">
        <f>SUM(F24:F41)</f>
        <v>1070519196.9527847</v>
      </c>
      <c r="G42" s="570"/>
      <c r="H42" s="570"/>
      <c r="I42" s="852">
        <f>SUM(I24:I41)</f>
        <v>1196179196.9527845</v>
      </c>
    </row>
    <row r="43" spans="1:9">
      <c r="A43" s="1053" t="s">
        <v>3444</v>
      </c>
      <c r="B43" s="1054"/>
      <c r="C43" s="1054"/>
      <c r="D43" s="1054"/>
      <c r="E43" s="1054"/>
      <c r="F43" s="1054"/>
      <c r="G43" s="1054"/>
      <c r="H43" s="1054"/>
      <c r="I43" s="1055"/>
    </row>
    <row r="44" spans="1:9" ht="51.75">
      <c r="A44" s="103" t="s">
        <v>3475</v>
      </c>
      <c r="B44" s="91" t="s">
        <v>3476</v>
      </c>
      <c r="C44" s="91" t="s">
        <v>3477</v>
      </c>
      <c r="D44" s="91" t="s">
        <v>3478</v>
      </c>
      <c r="E44" s="91" t="s">
        <v>3479</v>
      </c>
      <c r="F44" s="849">
        <v>600000</v>
      </c>
      <c r="G44" s="846">
        <v>3</v>
      </c>
      <c r="H44" s="91" t="s">
        <v>3480</v>
      </c>
      <c r="I44" s="522">
        <v>1000000</v>
      </c>
    </row>
    <row r="45" spans="1:9" ht="64.5">
      <c r="A45" s="103" t="s">
        <v>3475</v>
      </c>
      <c r="B45" s="91" t="s">
        <v>3476</v>
      </c>
      <c r="C45" s="91" t="s">
        <v>3477</v>
      </c>
      <c r="D45" s="91" t="s">
        <v>3481</v>
      </c>
      <c r="E45" s="91" t="s">
        <v>3482</v>
      </c>
      <c r="F45" s="849">
        <v>700000</v>
      </c>
      <c r="G45" s="846">
        <v>2</v>
      </c>
      <c r="H45" s="91" t="s">
        <v>3483</v>
      </c>
      <c r="I45" s="522">
        <v>1000000</v>
      </c>
    </row>
    <row r="46" spans="1:9" ht="51.75">
      <c r="A46" s="103" t="s">
        <v>3475</v>
      </c>
      <c r="B46" s="91" t="s">
        <v>3484</v>
      </c>
      <c r="C46" s="91" t="s">
        <v>3485</v>
      </c>
      <c r="D46" s="91" t="s">
        <v>3481</v>
      </c>
      <c r="E46" s="91" t="s">
        <v>3486</v>
      </c>
      <c r="F46" s="849">
        <v>700000</v>
      </c>
      <c r="G46" s="846">
        <v>2</v>
      </c>
      <c r="H46" s="91" t="s">
        <v>3480</v>
      </c>
      <c r="I46" s="522">
        <v>1000000</v>
      </c>
    </row>
    <row r="47" spans="1:9" ht="90">
      <c r="A47" s="103" t="s">
        <v>3475</v>
      </c>
      <c r="B47" s="91" t="s">
        <v>3484</v>
      </c>
      <c r="C47" s="91" t="s">
        <v>3487</v>
      </c>
      <c r="D47" s="91" t="s">
        <v>3481</v>
      </c>
      <c r="E47" s="91" t="s">
        <v>3488</v>
      </c>
      <c r="F47" s="849">
        <v>1000000</v>
      </c>
      <c r="G47" s="846">
        <v>1</v>
      </c>
      <c r="H47" s="91" t="s">
        <v>3489</v>
      </c>
      <c r="I47" s="522">
        <v>2000000</v>
      </c>
    </row>
    <row r="48" spans="1:9" ht="51.75">
      <c r="A48" s="103" t="s">
        <v>3475</v>
      </c>
      <c r="B48" s="91" t="s">
        <v>3490</v>
      </c>
      <c r="C48" s="91" t="s">
        <v>3491</v>
      </c>
      <c r="D48" s="91" t="s">
        <v>3481</v>
      </c>
      <c r="E48" s="91" t="s">
        <v>3492</v>
      </c>
      <c r="F48" s="849">
        <v>3000000</v>
      </c>
      <c r="G48" s="846">
        <v>3</v>
      </c>
      <c r="H48" s="91" t="s">
        <v>3493</v>
      </c>
      <c r="I48" s="522">
        <v>5000000</v>
      </c>
    </row>
    <row r="49" spans="1:9" ht="64.5">
      <c r="A49" s="103" t="s">
        <v>3494</v>
      </c>
      <c r="B49" s="91" t="s">
        <v>2053</v>
      </c>
      <c r="C49" s="91" t="s">
        <v>3495</v>
      </c>
      <c r="D49" s="91" t="s">
        <v>3478</v>
      </c>
      <c r="E49" s="91" t="s">
        <v>3496</v>
      </c>
      <c r="F49" s="849">
        <v>2000000</v>
      </c>
      <c r="G49" s="846">
        <v>1</v>
      </c>
      <c r="H49" s="91" t="s">
        <v>3497</v>
      </c>
      <c r="I49" s="522">
        <v>5000000</v>
      </c>
    </row>
    <row r="50" spans="1:9" ht="51.75">
      <c r="A50" s="103" t="s">
        <v>3475</v>
      </c>
      <c r="B50" s="91" t="s">
        <v>2053</v>
      </c>
      <c r="C50" s="91" t="s">
        <v>3498</v>
      </c>
      <c r="D50" s="91" t="s">
        <v>3499</v>
      </c>
      <c r="E50" s="91" t="s">
        <v>3500</v>
      </c>
      <c r="F50" s="845">
        <v>500000</v>
      </c>
      <c r="G50" s="846">
        <v>1</v>
      </c>
      <c r="H50" s="91" t="s">
        <v>3501</v>
      </c>
      <c r="I50" s="519">
        <v>3000000</v>
      </c>
    </row>
    <row r="51" spans="1:9">
      <c r="A51" s="1053" t="s">
        <v>189</v>
      </c>
      <c r="B51" s="1054"/>
      <c r="C51" s="1054"/>
      <c r="D51" s="1054"/>
      <c r="E51" s="1054"/>
      <c r="F51" s="521">
        <f>SUM(F44:F50)</f>
        <v>8500000</v>
      </c>
      <c r="G51" s="570"/>
      <c r="H51" s="570"/>
      <c r="I51" s="852">
        <f>SUM(I44:I50)</f>
        <v>18000000</v>
      </c>
    </row>
    <row r="52" spans="1:9">
      <c r="A52" s="1053" t="s">
        <v>23610</v>
      </c>
      <c r="B52" s="1054"/>
      <c r="C52" s="1054"/>
      <c r="D52" s="1054"/>
      <c r="E52" s="1054"/>
      <c r="F52" s="1054"/>
      <c r="G52" s="1054"/>
      <c r="H52" s="1054"/>
      <c r="I52" s="1055"/>
    </row>
    <row r="53" spans="1:9" ht="45">
      <c r="A53" s="663" t="s">
        <v>3955</v>
      </c>
      <c r="B53" s="589" t="s">
        <v>25214</v>
      </c>
      <c r="C53" s="844" t="s">
        <v>7154</v>
      </c>
      <c r="D53" s="569" t="s">
        <v>25215</v>
      </c>
      <c r="E53" s="844" t="s">
        <v>25216</v>
      </c>
      <c r="F53" s="73">
        <v>100000000</v>
      </c>
      <c r="G53" s="844" t="s">
        <v>2956</v>
      </c>
      <c r="H53" s="844" t="s">
        <v>25217</v>
      </c>
      <c r="I53" s="531">
        <v>150000000</v>
      </c>
    </row>
    <row r="54" spans="1:9">
      <c r="A54" s="1053"/>
      <c r="B54" s="1054"/>
      <c r="C54" s="1054"/>
      <c r="D54" s="1054"/>
      <c r="E54" s="1054"/>
      <c r="F54" s="521">
        <f>+F53</f>
        <v>100000000</v>
      </c>
      <c r="G54" s="570"/>
      <c r="H54" s="570"/>
      <c r="I54" s="852">
        <f>+I53</f>
        <v>150000000</v>
      </c>
    </row>
    <row r="55" spans="1:9">
      <c r="A55" s="1053" t="s">
        <v>10002</v>
      </c>
      <c r="B55" s="1054"/>
      <c r="C55" s="1054"/>
      <c r="D55" s="1054"/>
      <c r="E55" s="1054"/>
      <c r="F55" s="1054"/>
      <c r="G55" s="1054"/>
      <c r="H55" s="1054"/>
      <c r="I55" s="1055"/>
    </row>
    <row r="56" spans="1:9" ht="178.5">
      <c r="A56" s="856" t="s">
        <v>4733</v>
      </c>
      <c r="B56" s="283" t="s">
        <v>7229</v>
      </c>
      <c r="C56" s="283" t="s">
        <v>7230</v>
      </c>
      <c r="D56" s="284" t="s">
        <v>7231</v>
      </c>
      <c r="E56" s="285"/>
      <c r="F56" s="401">
        <v>10000000</v>
      </c>
      <c r="G56" s="283">
        <v>1</v>
      </c>
      <c r="H56" s="275" t="s">
        <v>7232</v>
      </c>
      <c r="I56" s="639">
        <v>45000000</v>
      </c>
    </row>
    <row r="57" spans="1:9">
      <c r="A57" s="1053" t="s">
        <v>189</v>
      </c>
      <c r="B57" s="1054"/>
      <c r="C57" s="1054"/>
      <c r="D57" s="1054"/>
      <c r="E57" s="1054"/>
      <c r="F57" s="521">
        <f>SUM(F56)</f>
        <v>10000000</v>
      </c>
      <c r="G57" s="570"/>
      <c r="H57" s="570"/>
      <c r="I57" s="852">
        <f>SUM(I56)</f>
        <v>45000000</v>
      </c>
    </row>
    <row r="58" spans="1:9">
      <c r="A58" s="1053" t="s">
        <v>5761</v>
      </c>
      <c r="B58" s="1054"/>
      <c r="C58" s="1054"/>
      <c r="D58" s="1054"/>
      <c r="E58" s="1054"/>
      <c r="F58" s="1054"/>
      <c r="G58" s="1054"/>
      <c r="H58" s="1054"/>
      <c r="I58" s="1055"/>
    </row>
    <row r="59" spans="1:9" ht="331.5">
      <c r="A59" s="850" t="s">
        <v>4085</v>
      </c>
      <c r="B59" s="839" t="s">
        <v>4302</v>
      </c>
      <c r="C59" s="839" t="s">
        <v>2953</v>
      </c>
      <c r="D59" s="839" t="s">
        <v>9296</v>
      </c>
      <c r="E59" s="840" t="s">
        <v>9297</v>
      </c>
      <c r="F59" s="841">
        <v>25099249.251901396</v>
      </c>
      <c r="G59" s="839">
        <v>2</v>
      </c>
      <c r="H59" s="840" t="s">
        <v>9298</v>
      </c>
      <c r="I59" s="851">
        <v>25099249.251901396</v>
      </c>
    </row>
    <row r="60" spans="1:9" ht="408">
      <c r="A60" s="850" t="s">
        <v>4085</v>
      </c>
      <c r="B60" s="839" t="s">
        <v>9299</v>
      </c>
      <c r="C60" s="839" t="s">
        <v>2953</v>
      </c>
      <c r="D60" s="839" t="s">
        <v>9296</v>
      </c>
      <c r="E60" s="840" t="s">
        <v>9300</v>
      </c>
      <c r="F60" s="841">
        <v>11083359.226384817</v>
      </c>
      <c r="G60" s="839">
        <v>2</v>
      </c>
      <c r="H60" s="840" t="s">
        <v>9301</v>
      </c>
      <c r="I60" s="851">
        <v>11083359.226384817</v>
      </c>
    </row>
    <row r="61" spans="1:9" ht="165" customHeight="1">
      <c r="A61" s="850" t="s">
        <v>4085</v>
      </c>
      <c r="B61" s="839" t="s">
        <v>9302</v>
      </c>
      <c r="C61" s="839" t="s">
        <v>2953</v>
      </c>
      <c r="D61" s="839" t="s">
        <v>9296</v>
      </c>
      <c r="E61" s="840" t="s">
        <v>9303</v>
      </c>
      <c r="F61" s="841">
        <v>53105596.989253379</v>
      </c>
      <c r="G61" s="839">
        <v>2</v>
      </c>
      <c r="H61" s="840" t="s">
        <v>9304</v>
      </c>
      <c r="I61" s="851">
        <v>53105596.989253379</v>
      </c>
    </row>
    <row r="62" spans="1:9" ht="222" customHeight="1">
      <c r="A62" s="850" t="s">
        <v>4085</v>
      </c>
      <c r="B62" s="839" t="s">
        <v>9305</v>
      </c>
      <c r="C62" s="839" t="s">
        <v>2953</v>
      </c>
      <c r="D62" s="839" t="s">
        <v>9306</v>
      </c>
      <c r="E62" s="840" t="s">
        <v>9307</v>
      </c>
      <c r="F62" s="841">
        <v>2399836.1996858967</v>
      </c>
      <c r="G62" s="839">
        <v>1</v>
      </c>
      <c r="H62" s="840" t="s">
        <v>9308</v>
      </c>
      <c r="I62" s="851">
        <v>2399836.1996858967</v>
      </c>
    </row>
    <row r="63" spans="1:9" ht="220.5" customHeight="1">
      <c r="A63" s="850" t="s">
        <v>4085</v>
      </c>
      <c r="B63" s="839" t="s">
        <v>9309</v>
      </c>
      <c r="C63" s="839" t="s">
        <v>2953</v>
      </c>
      <c r="D63" s="839" t="s">
        <v>9306</v>
      </c>
      <c r="E63" s="840" t="s">
        <v>9310</v>
      </c>
      <c r="F63" s="841">
        <v>2958733.5650884951</v>
      </c>
      <c r="G63" s="839">
        <v>1</v>
      </c>
      <c r="H63" s="840" t="s">
        <v>9311</v>
      </c>
      <c r="I63" s="851">
        <v>2958733.5650884951</v>
      </c>
    </row>
    <row r="64" spans="1:9" ht="127.5">
      <c r="A64" s="850" t="s">
        <v>4085</v>
      </c>
      <c r="B64" s="839" t="s">
        <v>4431</v>
      </c>
      <c r="C64" s="839" t="s">
        <v>2953</v>
      </c>
      <c r="D64" s="839" t="s">
        <v>9306</v>
      </c>
      <c r="E64" s="840" t="s">
        <v>9312</v>
      </c>
      <c r="F64" s="841">
        <v>1083058.2646596914</v>
      </c>
      <c r="G64" s="839">
        <v>1</v>
      </c>
      <c r="H64" s="840" t="s">
        <v>9313</v>
      </c>
      <c r="I64" s="851">
        <v>1083058.2646596914</v>
      </c>
    </row>
    <row r="65" spans="1:9" ht="217.5" customHeight="1">
      <c r="A65" s="850" t="s">
        <v>4085</v>
      </c>
      <c r="B65" s="839" t="s">
        <v>9314</v>
      </c>
      <c r="C65" s="839" t="s">
        <v>2953</v>
      </c>
      <c r="D65" s="839" t="s">
        <v>9296</v>
      </c>
      <c r="E65" s="840" t="s">
        <v>9315</v>
      </c>
      <c r="F65" s="841">
        <v>3129814.9772894923</v>
      </c>
      <c r="G65" s="839">
        <v>2</v>
      </c>
      <c r="H65" s="840" t="s">
        <v>9316</v>
      </c>
      <c r="I65" s="851">
        <v>3129814.9772894923</v>
      </c>
    </row>
    <row r="66" spans="1:9" ht="165.75">
      <c r="A66" s="850" t="s">
        <v>4085</v>
      </c>
      <c r="B66" s="839" t="s">
        <v>9317</v>
      </c>
      <c r="C66" s="839" t="s">
        <v>2953</v>
      </c>
      <c r="D66" s="839" t="s">
        <v>9306</v>
      </c>
      <c r="E66" s="840" t="s">
        <v>9318</v>
      </c>
      <c r="F66" s="841">
        <v>2909210.8348479746</v>
      </c>
      <c r="G66" s="839">
        <v>1</v>
      </c>
      <c r="H66" s="840" t="s">
        <v>9308</v>
      </c>
      <c r="I66" s="851">
        <v>2909210.8348479746</v>
      </c>
    </row>
    <row r="67" spans="1:9" ht="229.5">
      <c r="A67" s="850" t="s">
        <v>4085</v>
      </c>
      <c r="B67" s="839" t="s">
        <v>9319</v>
      </c>
      <c r="C67" s="839" t="s">
        <v>2953</v>
      </c>
      <c r="D67" s="839" t="s">
        <v>9296</v>
      </c>
      <c r="E67" s="840" t="s">
        <v>9320</v>
      </c>
      <c r="F67" s="841">
        <v>21714447.402565747</v>
      </c>
      <c r="G67" s="839">
        <v>2</v>
      </c>
      <c r="H67" s="840" t="s">
        <v>9321</v>
      </c>
      <c r="I67" s="851">
        <v>21714447.402565747</v>
      </c>
    </row>
    <row r="68" spans="1:9" ht="220.5" customHeight="1">
      <c r="A68" s="850" t="s">
        <v>4126</v>
      </c>
      <c r="B68" s="839" t="s">
        <v>9322</v>
      </c>
      <c r="C68" s="839" t="s">
        <v>2953</v>
      </c>
      <c r="D68" s="839" t="s">
        <v>9306</v>
      </c>
      <c r="E68" s="840" t="s">
        <v>9323</v>
      </c>
      <c r="F68" s="841">
        <v>9758591.1168363895</v>
      </c>
      <c r="G68" s="839">
        <v>1</v>
      </c>
      <c r="H68" s="840" t="s">
        <v>9324</v>
      </c>
      <c r="I68" s="851">
        <v>9758591.1168363895</v>
      </c>
    </row>
    <row r="69" spans="1:9" ht="89.25">
      <c r="A69" s="850" t="s">
        <v>4126</v>
      </c>
      <c r="B69" s="839" t="s">
        <v>9325</v>
      </c>
      <c r="C69" s="839" t="s">
        <v>2953</v>
      </c>
      <c r="D69" s="839" t="s">
        <v>9306</v>
      </c>
      <c r="E69" s="840" t="s">
        <v>9323</v>
      </c>
      <c r="F69" s="841">
        <v>3589320.4397465959</v>
      </c>
      <c r="G69" s="839">
        <v>1</v>
      </c>
      <c r="H69" s="840" t="s">
        <v>9326</v>
      </c>
      <c r="I69" s="851">
        <v>3589320.4397465959</v>
      </c>
    </row>
    <row r="70" spans="1:9" ht="318.75">
      <c r="A70" s="850" t="s">
        <v>9552</v>
      </c>
      <c r="B70" s="839" t="s">
        <v>9553</v>
      </c>
      <c r="C70" s="839" t="s">
        <v>9554</v>
      </c>
      <c r="D70" s="839" t="s">
        <v>9354</v>
      </c>
      <c r="E70" s="840" t="s">
        <v>9555</v>
      </c>
      <c r="F70" s="841">
        <v>0</v>
      </c>
      <c r="G70" s="839">
        <v>2</v>
      </c>
      <c r="H70" s="840" t="s">
        <v>9556</v>
      </c>
      <c r="I70" s="851">
        <v>18304000</v>
      </c>
    </row>
    <row r="71" spans="1:9" ht="280.5">
      <c r="A71" s="850" t="s">
        <v>4318</v>
      </c>
      <c r="B71" s="839" t="s">
        <v>9557</v>
      </c>
      <c r="C71" s="839" t="s">
        <v>9558</v>
      </c>
      <c r="D71" s="839" t="s">
        <v>9296</v>
      </c>
      <c r="E71" s="840" t="s">
        <v>9559</v>
      </c>
      <c r="F71" s="841">
        <v>0</v>
      </c>
      <c r="G71" s="839">
        <v>2</v>
      </c>
      <c r="H71" s="840" t="s">
        <v>9560</v>
      </c>
      <c r="I71" s="851">
        <v>31460000</v>
      </c>
    </row>
    <row r="72" spans="1:9" ht="229.5">
      <c r="A72" s="850" t="s">
        <v>9647</v>
      </c>
      <c r="B72" s="839" t="s">
        <v>9648</v>
      </c>
      <c r="C72" s="839" t="s">
        <v>9649</v>
      </c>
      <c r="D72" s="839" t="s">
        <v>9650</v>
      </c>
      <c r="E72" s="840" t="s">
        <v>9651</v>
      </c>
      <c r="F72" s="841">
        <v>57200000</v>
      </c>
      <c r="G72" s="839">
        <v>1</v>
      </c>
      <c r="H72" s="840" t="s">
        <v>9652</v>
      </c>
      <c r="I72" s="851">
        <v>57200000</v>
      </c>
    </row>
    <row r="73" spans="1:9">
      <c r="A73" s="1053" t="s">
        <v>189</v>
      </c>
      <c r="B73" s="1054"/>
      <c r="C73" s="1054"/>
      <c r="D73" s="1054"/>
      <c r="E73" s="1054"/>
      <c r="F73" s="521">
        <f>SUM(F59:F72)</f>
        <v>194031218.26825988</v>
      </c>
      <c r="G73" s="570"/>
      <c r="H73" s="570"/>
      <c r="I73" s="852">
        <f>SUM(I59:I72)</f>
        <v>243795218.26825988</v>
      </c>
    </row>
    <row r="74" spans="1:9">
      <c r="A74" s="1053" t="s">
        <v>1787</v>
      </c>
      <c r="B74" s="1054"/>
      <c r="C74" s="1054"/>
      <c r="D74" s="1054"/>
      <c r="E74" s="1054"/>
      <c r="F74" s="1054"/>
      <c r="G74" s="1054"/>
      <c r="H74" s="1054"/>
      <c r="I74" s="1055"/>
    </row>
    <row r="75" spans="1:9" ht="130.5" customHeight="1">
      <c r="A75" s="850" t="s">
        <v>1800</v>
      </c>
      <c r="B75" s="839" t="s">
        <v>4109</v>
      </c>
      <c r="C75" s="839" t="s">
        <v>2953</v>
      </c>
      <c r="D75" s="839" t="s">
        <v>9296</v>
      </c>
      <c r="E75" s="840" t="s">
        <v>9327</v>
      </c>
      <c r="F75" s="841">
        <v>1357401.0481921318</v>
      </c>
      <c r="G75" s="839">
        <v>2</v>
      </c>
      <c r="H75" s="840" t="s">
        <v>9328</v>
      </c>
      <c r="I75" s="851">
        <v>1357401.0481921318</v>
      </c>
    </row>
    <row r="76" spans="1:9" ht="161.25" customHeight="1">
      <c r="A76" s="850" t="s">
        <v>57</v>
      </c>
      <c r="B76" s="839" t="s">
        <v>9329</v>
      </c>
      <c r="C76" s="839" t="s">
        <v>2953</v>
      </c>
      <c r="D76" s="839" t="s">
        <v>9306</v>
      </c>
      <c r="E76" s="840" t="s">
        <v>9330</v>
      </c>
      <c r="F76" s="841">
        <v>6090943.549383264</v>
      </c>
      <c r="G76" s="839">
        <v>1</v>
      </c>
      <c r="H76" s="840" t="s">
        <v>9331</v>
      </c>
      <c r="I76" s="851">
        <v>6090943.549383264</v>
      </c>
    </row>
    <row r="77" spans="1:9" ht="140.25">
      <c r="A77" s="850" t="s">
        <v>1800</v>
      </c>
      <c r="B77" s="839" t="s">
        <v>9332</v>
      </c>
      <c r="C77" s="839" t="s">
        <v>2953</v>
      </c>
      <c r="D77" s="839" t="s">
        <v>9306</v>
      </c>
      <c r="E77" s="840" t="s">
        <v>9333</v>
      </c>
      <c r="F77" s="841">
        <v>4470853.9060156345</v>
      </c>
      <c r="G77" s="839">
        <v>1</v>
      </c>
      <c r="H77" s="840" t="s">
        <v>9334</v>
      </c>
      <c r="I77" s="851">
        <v>4470853.9060156345</v>
      </c>
    </row>
    <row r="78" spans="1:9" ht="153">
      <c r="A78" s="850" t="s">
        <v>1800</v>
      </c>
      <c r="B78" s="839" t="s">
        <v>9335</v>
      </c>
      <c r="C78" s="839" t="s">
        <v>2953</v>
      </c>
      <c r="D78" s="839" t="s">
        <v>9306</v>
      </c>
      <c r="E78" s="840" t="s">
        <v>9336</v>
      </c>
      <c r="F78" s="841">
        <v>3387446.3992659119</v>
      </c>
      <c r="G78" s="839">
        <v>1</v>
      </c>
      <c r="H78" s="840" t="s">
        <v>9337</v>
      </c>
      <c r="I78" s="851">
        <v>3387446.3992659119</v>
      </c>
    </row>
    <row r="79" spans="1:9" ht="306">
      <c r="A79" s="850" t="s">
        <v>1792</v>
      </c>
      <c r="B79" s="839" t="s">
        <v>4123</v>
      </c>
      <c r="C79" s="839" t="s">
        <v>2254</v>
      </c>
      <c r="D79" s="839" t="s">
        <v>9296</v>
      </c>
      <c r="E79" s="840" t="s">
        <v>9338</v>
      </c>
      <c r="F79" s="841">
        <v>13291386.825248361</v>
      </c>
      <c r="G79" s="839">
        <v>2</v>
      </c>
      <c r="H79" s="840" t="s">
        <v>9339</v>
      </c>
      <c r="I79" s="851">
        <v>13291386.825248361</v>
      </c>
    </row>
    <row r="80" spans="1:9" ht="102">
      <c r="A80" s="850" t="s">
        <v>57</v>
      </c>
      <c r="B80" s="839" t="s">
        <v>9537</v>
      </c>
      <c r="C80" s="839" t="s">
        <v>2953</v>
      </c>
      <c r="D80" s="839" t="s">
        <v>9306</v>
      </c>
      <c r="E80" s="840" t="s">
        <v>9538</v>
      </c>
      <c r="F80" s="841">
        <v>3877805.36</v>
      </c>
      <c r="G80" s="839">
        <v>1</v>
      </c>
      <c r="H80" s="840" t="s">
        <v>9539</v>
      </c>
      <c r="I80" s="851">
        <v>3877805.36</v>
      </c>
    </row>
    <row r="81" spans="1:9">
      <c r="A81" s="1053" t="s">
        <v>189</v>
      </c>
      <c r="B81" s="1054"/>
      <c r="C81" s="1054"/>
      <c r="D81" s="1054"/>
      <c r="E81" s="1054"/>
      <c r="F81" s="521">
        <f>SUM(F75:F80)</f>
        <v>32475837.088105302</v>
      </c>
      <c r="G81" s="570"/>
      <c r="H81" s="570"/>
      <c r="I81" s="852">
        <f>SUM(I75:I80)</f>
        <v>32475837.088105302</v>
      </c>
    </row>
    <row r="82" spans="1:9">
      <c r="A82" s="1053" t="s">
        <v>5636</v>
      </c>
      <c r="B82" s="1054"/>
      <c r="C82" s="1054"/>
      <c r="D82" s="1054"/>
      <c r="E82" s="1054"/>
      <c r="F82" s="1054"/>
      <c r="G82" s="1054"/>
      <c r="H82" s="1054"/>
      <c r="I82" s="1055"/>
    </row>
    <row r="83" spans="1:9" ht="150.75" customHeight="1">
      <c r="A83" s="850" t="s">
        <v>2458</v>
      </c>
      <c r="B83" s="839" t="s">
        <v>9340</v>
      </c>
      <c r="C83" s="839" t="s">
        <v>2953</v>
      </c>
      <c r="D83" s="839" t="s">
        <v>9296</v>
      </c>
      <c r="E83" s="840" t="s">
        <v>9341</v>
      </c>
      <c r="F83" s="841">
        <v>25574084.688261423</v>
      </c>
      <c r="G83" s="839">
        <v>2</v>
      </c>
      <c r="H83" s="840" t="s">
        <v>9342</v>
      </c>
      <c r="I83" s="851">
        <v>25574084.688261423</v>
      </c>
    </row>
    <row r="84" spans="1:9" ht="51">
      <c r="A84" s="850" t="s">
        <v>19</v>
      </c>
      <c r="B84" s="839" t="s">
        <v>9343</v>
      </c>
      <c r="C84" s="839" t="s">
        <v>2953</v>
      </c>
      <c r="D84" s="839" t="s">
        <v>9306</v>
      </c>
      <c r="E84" s="840" t="s">
        <v>9344</v>
      </c>
      <c r="F84" s="841">
        <v>86989.038098431047</v>
      </c>
      <c r="G84" s="839">
        <v>1</v>
      </c>
      <c r="H84" s="840" t="s">
        <v>9345</v>
      </c>
      <c r="I84" s="851">
        <v>86989.038098431047</v>
      </c>
    </row>
    <row r="85" spans="1:9" ht="89.25">
      <c r="A85" s="850" t="s">
        <v>19</v>
      </c>
      <c r="B85" s="839" t="s">
        <v>9346</v>
      </c>
      <c r="C85" s="839" t="s">
        <v>2953</v>
      </c>
      <c r="D85" s="839" t="s">
        <v>9306</v>
      </c>
      <c r="E85" s="840" t="s">
        <v>9347</v>
      </c>
      <c r="F85" s="841">
        <v>1128492.4882758614</v>
      </c>
      <c r="G85" s="839">
        <v>1</v>
      </c>
      <c r="H85" s="840" t="s">
        <v>9348</v>
      </c>
      <c r="I85" s="851">
        <v>1128492.4882758614</v>
      </c>
    </row>
    <row r="86" spans="1:9" ht="229.5">
      <c r="A86" s="850" t="s">
        <v>19</v>
      </c>
      <c r="B86" s="839" t="s">
        <v>9349</v>
      </c>
      <c r="C86" s="839" t="s">
        <v>2953</v>
      </c>
      <c r="D86" s="839" t="s">
        <v>9296</v>
      </c>
      <c r="E86" s="840" t="s">
        <v>9350</v>
      </c>
      <c r="F86" s="841">
        <v>30635633.698126715</v>
      </c>
      <c r="G86" s="839">
        <v>2</v>
      </c>
      <c r="H86" s="840" t="s">
        <v>9351</v>
      </c>
      <c r="I86" s="851">
        <v>30635633.698126715</v>
      </c>
    </row>
    <row r="87" spans="1:9" ht="76.5">
      <c r="A87" s="850" t="s">
        <v>9561</v>
      </c>
      <c r="B87" s="839" t="s">
        <v>5233</v>
      </c>
      <c r="C87" s="839" t="s">
        <v>2953</v>
      </c>
      <c r="D87" s="839" t="s">
        <v>9306</v>
      </c>
      <c r="E87" s="840" t="s">
        <v>9562</v>
      </c>
      <c r="F87" s="841">
        <v>0</v>
      </c>
      <c r="G87" s="839">
        <v>1</v>
      </c>
      <c r="H87" s="840" t="s">
        <v>9563</v>
      </c>
      <c r="I87" s="851">
        <v>1144000</v>
      </c>
    </row>
    <row r="88" spans="1:9">
      <c r="A88" s="1053" t="s">
        <v>189</v>
      </c>
      <c r="B88" s="1054"/>
      <c r="C88" s="1054"/>
      <c r="D88" s="1054"/>
      <c r="E88" s="1054"/>
      <c r="F88" s="521">
        <f>SUM(F83:F87)</f>
        <v>57425199.912762433</v>
      </c>
      <c r="G88" s="570"/>
      <c r="H88" s="570"/>
      <c r="I88" s="852">
        <f>SUM(I83:I87)</f>
        <v>58569199.912762433</v>
      </c>
    </row>
    <row r="89" spans="1:9" ht="15" customHeight="1">
      <c r="A89" s="1053" t="s">
        <v>7313</v>
      </c>
      <c r="B89" s="1054"/>
      <c r="C89" s="1054"/>
      <c r="D89" s="1054"/>
      <c r="E89" s="1054"/>
      <c r="F89" s="1054"/>
      <c r="G89" s="1054"/>
      <c r="H89" s="1054"/>
      <c r="I89" s="1055"/>
    </row>
    <row r="90" spans="1:9" ht="199.5" customHeight="1">
      <c r="A90" s="850" t="s">
        <v>9352</v>
      </c>
      <c r="B90" s="839" t="s">
        <v>9353</v>
      </c>
      <c r="C90" s="839" t="s">
        <v>2953</v>
      </c>
      <c r="D90" s="839" t="s">
        <v>9354</v>
      </c>
      <c r="E90" s="840" t="s">
        <v>9355</v>
      </c>
      <c r="F90" s="841">
        <v>2523425.5060085785</v>
      </c>
      <c r="G90" s="839">
        <v>2</v>
      </c>
      <c r="H90" s="840" t="s">
        <v>9356</v>
      </c>
      <c r="I90" s="851">
        <v>2523425.5060085785</v>
      </c>
    </row>
    <row r="91" spans="1:9" ht="102">
      <c r="A91" s="850" t="s">
        <v>5919</v>
      </c>
      <c r="B91" s="839" t="s">
        <v>1658</v>
      </c>
      <c r="C91" s="839" t="s">
        <v>2953</v>
      </c>
      <c r="D91" s="839" t="s">
        <v>9306</v>
      </c>
      <c r="E91" s="840" t="s">
        <v>9550</v>
      </c>
      <c r="F91" s="841">
        <v>4650714.6399999997</v>
      </c>
      <c r="G91" s="839">
        <v>1</v>
      </c>
      <c r="H91" s="840" t="s">
        <v>9551</v>
      </c>
      <c r="I91" s="851">
        <v>4650714.6399999997</v>
      </c>
    </row>
    <row r="92" spans="1:9" ht="267.75">
      <c r="A92" s="850" t="s">
        <v>9732</v>
      </c>
      <c r="B92" s="839" t="s">
        <v>9733</v>
      </c>
      <c r="C92" s="839" t="s">
        <v>9734</v>
      </c>
      <c r="D92" s="839" t="s">
        <v>9735</v>
      </c>
      <c r="E92" s="840" t="s">
        <v>9736</v>
      </c>
      <c r="F92" s="841">
        <v>457600000</v>
      </c>
      <c r="G92" s="839">
        <v>1</v>
      </c>
      <c r="H92" s="840" t="s">
        <v>10006</v>
      </c>
      <c r="I92" s="851">
        <v>457600000</v>
      </c>
    </row>
    <row r="93" spans="1:9" ht="204">
      <c r="A93" s="850" t="s">
        <v>110</v>
      </c>
      <c r="B93" s="839" t="s">
        <v>1656</v>
      </c>
      <c r="C93" s="839" t="s">
        <v>9746</v>
      </c>
      <c r="D93" s="839" t="s">
        <v>9729</v>
      </c>
      <c r="E93" s="840" t="s">
        <v>9747</v>
      </c>
      <c r="F93" s="841">
        <v>68640000</v>
      </c>
      <c r="G93" s="839">
        <v>1</v>
      </c>
      <c r="H93" s="840" t="s">
        <v>9748</v>
      </c>
      <c r="I93" s="851">
        <v>68640000</v>
      </c>
    </row>
    <row r="94" spans="1:9">
      <c r="A94" s="1053" t="s">
        <v>189</v>
      </c>
      <c r="B94" s="1054"/>
      <c r="C94" s="1054"/>
      <c r="D94" s="1054"/>
      <c r="E94" s="1054"/>
      <c r="F94" s="521">
        <f>SUM(F90:F93)</f>
        <v>533414140.14600855</v>
      </c>
      <c r="G94" s="570"/>
      <c r="H94" s="570"/>
      <c r="I94" s="852">
        <f>SUM(I90:I93)</f>
        <v>533414140.14600855</v>
      </c>
    </row>
    <row r="95" spans="1:9" ht="15" customHeight="1">
      <c r="A95" s="1053" t="s">
        <v>9981</v>
      </c>
      <c r="B95" s="1054"/>
      <c r="C95" s="1054"/>
      <c r="D95" s="1054"/>
      <c r="E95" s="1054"/>
      <c r="F95" s="1054"/>
      <c r="G95" s="1054"/>
      <c r="H95" s="1054"/>
      <c r="I95" s="1055"/>
    </row>
    <row r="96" spans="1:9" ht="178.5">
      <c r="A96" s="850" t="s">
        <v>3848</v>
      </c>
      <c r="B96" s="839" t="s">
        <v>9357</v>
      </c>
      <c r="C96" s="839" t="s">
        <v>2953</v>
      </c>
      <c r="D96" s="839" t="s">
        <v>9306</v>
      </c>
      <c r="E96" s="840" t="s">
        <v>9358</v>
      </c>
      <c r="F96" s="841">
        <v>51885027.96237801</v>
      </c>
      <c r="G96" s="839">
        <v>1</v>
      </c>
      <c r="H96" s="840" t="s">
        <v>9359</v>
      </c>
      <c r="I96" s="851">
        <v>51885027.96237801</v>
      </c>
    </row>
    <row r="97" spans="1:9" ht="220.5" customHeight="1">
      <c r="A97" s="850" t="s">
        <v>5242</v>
      </c>
      <c r="B97" s="839" t="s">
        <v>2042</v>
      </c>
      <c r="C97" s="839" t="s">
        <v>2953</v>
      </c>
      <c r="D97" s="839" t="s">
        <v>9296</v>
      </c>
      <c r="E97" s="840" t="s">
        <v>9370</v>
      </c>
      <c r="F97" s="841">
        <v>7211950.0961725358</v>
      </c>
      <c r="G97" s="839">
        <v>2</v>
      </c>
      <c r="H97" s="840" t="s">
        <v>9371</v>
      </c>
      <c r="I97" s="851">
        <v>7211950.0961725358</v>
      </c>
    </row>
    <row r="98" spans="1:9" ht="89.25">
      <c r="A98" s="850" t="s">
        <v>5242</v>
      </c>
      <c r="B98" s="839" t="s">
        <v>9463</v>
      </c>
      <c r="C98" s="839" t="s">
        <v>2953</v>
      </c>
      <c r="D98" s="839" t="s">
        <v>9306</v>
      </c>
      <c r="E98" s="840" t="s">
        <v>9464</v>
      </c>
      <c r="F98" s="841">
        <v>14074752.119999999</v>
      </c>
      <c r="G98" s="839">
        <v>1</v>
      </c>
      <c r="H98" s="840" t="s">
        <v>9465</v>
      </c>
      <c r="I98" s="851">
        <v>14074752.119999999</v>
      </c>
    </row>
    <row r="99" spans="1:9">
      <c r="A99" s="1053" t="s">
        <v>189</v>
      </c>
      <c r="B99" s="1054"/>
      <c r="C99" s="1054"/>
      <c r="D99" s="1054"/>
      <c r="E99" s="1054"/>
      <c r="F99" s="521">
        <f>SUM(F96:F98)</f>
        <v>73171730.178550541</v>
      </c>
      <c r="G99" s="570"/>
      <c r="H99" s="570"/>
      <c r="I99" s="852">
        <f>SUM(I96:I98)</f>
        <v>73171730.178550541</v>
      </c>
    </row>
    <row r="100" spans="1:9">
      <c r="A100" s="1053" t="s">
        <v>9982</v>
      </c>
      <c r="B100" s="1054"/>
      <c r="C100" s="1054"/>
      <c r="D100" s="1054"/>
      <c r="E100" s="1054"/>
      <c r="F100" s="1054"/>
      <c r="G100" s="1054"/>
      <c r="H100" s="1054"/>
      <c r="I100" s="1055"/>
    </row>
    <row r="101" spans="1:9" ht="76.5">
      <c r="A101" s="850" t="s">
        <v>701</v>
      </c>
      <c r="B101" s="839" t="s">
        <v>9360</v>
      </c>
      <c r="C101" s="839" t="s">
        <v>2953</v>
      </c>
      <c r="D101" s="839" t="s">
        <v>9296</v>
      </c>
      <c r="E101" s="840" t="s">
        <v>9361</v>
      </c>
      <c r="F101" s="841">
        <v>4219653.9624838969</v>
      </c>
      <c r="G101" s="839">
        <v>2</v>
      </c>
      <c r="H101" s="840" t="s">
        <v>9362</v>
      </c>
      <c r="I101" s="851">
        <v>4219653.9624838969</v>
      </c>
    </row>
    <row r="102" spans="1:9">
      <c r="A102" s="1053" t="s">
        <v>189</v>
      </c>
      <c r="B102" s="1054"/>
      <c r="C102" s="1054"/>
      <c r="D102" s="1054"/>
      <c r="E102" s="1054"/>
      <c r="F102" s="521">
        <f>SUM(F101)</f>
        <v>4219653.9624838969</v>
      </c>
      <c r="G102" s="570"/>
      <c r="H102" s="570"/>
      <c r="I102" s="852">
        <f>SUM(I101)</f>
        <v>4219653.9624838969</v>
      </c>
    </row>
    <row r="103" spans="1:9" ht="15" customHeight="1">
      <c r="A103" s="1053" t="s">
        <v>9983</v>
      </c>
      <c r="B103" s="1054"/>
      <c r="C103" s="1054"/>
      <c r="D103" s="1054"/>
      <c r="E103" s="1054"/>
      <c r="F103" s="1054"/>
      <c r="G103" s="1054"/>
      <c r="H103" s="1054"/>
      <c r="I103" s="1055"/>
    </row>
    <row r="104" spans="1:9" ht="63.75">
      <c r="A104" s="850" t="s">
        <v>4738</v>
      </c>
      <c r="B104" s="839" t="s">
        <v>9363</v>
      </c>
      <c r="C104" s="839" t="s">
        <v>9364</v>
      </c>
      <c r="D104" s="839" t="s">
        <v>9306</v>
      </c>
      <c r="E104" s="840" t="s">
        <v>9365</v>
      </c>
      <c r="F104" s="841">
        <v>3827531.8075138088</v>
      </c>
      <c r="G104" s="839">
        <v>1</v>
      </c>
      <c r="H104" s="840" t="s">
        <v>9366</v>
      </c>
      <c r="I104" s="851">
        <v>3827531.8075138088</v>
      </c>
    </row>
    <row r="105" spans="1:9" ht="102">
      <c r="A105" s="850" t="s">
        <v>4738</v>
      </c>
      <c r="B105" s="839" t="s">
        <v>4738</v>
      </c>
      <c r="C105" s="839" t="s">
        <v>9703</v>
      </c>
      <c r="D105" s="839" t="s">
        <v>9704</v>
      </c>
      <c r="E105" s="840" t="s">
        <v>9705</v>
      </c>
      <c r="F105" s="841">
        <v>248264016</v>
      </c>
      <c r="G105" s="839">
        <v>1</v>
      </c>
      <c r="H105" s="840" t="s">
        <v>9706</v>
      </c>
      <c r="I105" s="851">
        <v>248264016</v>
      </c>
    </row>
    <row r="106" spans="1:9">
      <c r="A106" s="1053" t="s">
        <v>189</v>
      </c>
      <c r="B106" s="1054"/>
      <c r="C106" s="1054"/>
      <c r="D106" s="1054"/>
      <c r="E106" s="1054"/>
      <c r="F106" s="521">
        <f>SUM(F104:F105)</f>
        <v>252091547.8075138</v>
      </c>
      <c r="G106" s="570"/>
      <c r="H106" s="570"/>
      <c r="I106" s="852">
        <f>SUM(I104:I105)</f>
        <v>252091547.8075138</v>
      </c>
    </row>
    <row r="107" spans="1:9">
      <c r="A107" s="1053" t="s">
        <v>9984</v>
      </c>
      <c r="B107" s="1054"/>
      <c r="C107" s="1054"/>
      <c r="D107" s="1054"/>
      <c r="E107" s="1054"/>
      <c r="F107" s="1054"/>
      <c r="G107" s="1054"/>
      <c r="H107" s="1054"/>
      <c r="I107" s="1055"/>
    </row>
    <row r="108" spans="1:9" ht="76.5">
      <c r="A108" s="850" t="s">
        <v>4848</v>
      </c>
      <c r="B108" s="839" t="s">
        <v>9367</v>
      </c>
      <c r="C108" s="839" t="s">
        <v>2953</v>
      </c>
      <c r="D108" s="839" t="s">
        <v>9354</v>
      </c>
      <c r="E108" s="840" t="s">
        <v>9368</v>
      </c>
      <c r="F108" s="841">
        <v>3730446.5439658388</v>
      </c>
      <c r="G108" s="839">
        <v>2</v>
      </c>
      <c r="H108" s="840" t="s">
        <v>9369</v>
      </c>
      <c r="I108" s="851">
        <v>3730446.5439658388</v>
      </c>
    </row>
    <row r="109" spans="1:9" ht="102">
      <c r="A109" s="850" t="s">
        <v>4848</v>
      </c>
      <c r="B109" s="839" t="s">
        <v>9473</v>
      </c>
      <c r="C109" s="839" t="s">
        <v>2953</v>
      </c>
      <c r="D109" s="839" t="s">
        <v>9306</v>
      </c>
      <c r="E109" s="840" t="s">
        <v>9474</v>
      </c>
      <c r="F109" s="841">
        <v>2880220.2</v>
      </c>
      <c r="G109" s="839">
        <v>1</v>
      </c>
      <c r="H109" s="840" t="s">
        <v>9475</v>
      </c>
      <c r="I109" s="851">
        <v>2880220.2</v>
      </c>
    </row>
    <row r="110" spans="1:9" ht="216.75">
      <c r="A110" s="850" t="s">
        <v>5326</v>
      </c>
      <c r="B110" s="839" t="s">
        <v>912</v>
      </c>
      <c r="C110" s="839" t="s">
        <v>2953</v>
      </c>
      <c r="D110" s="839" t="s">
        <v>9534</v>
      </c>
      <c r="E110" s="840" t="s">
        <v>9535</v>
      </c>
      <c r="F110" s="841">
        <v>52849053.399999999</v>
      </c>
      <c r="G110" s="839">
        <v>2</v>
      </c>
      <c r="H110" s="840" t="s">
        <v>9536</v>
      </c>
      <c r="I110" s="851">
        <v>52849053.399999999</v>
      </c>
    </row>
    <row r="111" spans="1:9" ht="140.25">
      <c r="A111" s="850" t="s">
        <v>4848</v>
      </c>
      <c r="B111" s="839" t="s">
        <v>7837</v>
      </c>
      <c r="C111" s="839" t="s">
        <v>9737</v>
      </c>
      <c r="D111" s="839" t="s">
        <v>9724</v>
      </c>
      <c r="E111" s="840" t="s">
        <v>10007</v>
      </c>
      <c r="F111" s="841">
        <v>44616000</v>
      </c>
      <c r="G111" s="839">
        <v>1</v>
      </c>
      <c r="H111" s="840" t="s">
        <v>9738</v>
      </c>
      <c r="I111" s="851">
        <v>44616000</v>
      </c>
    </row>
    <row r="112" spans="1:9" ht="191.25">
      <c r="A112" s="850" t="s">
        <v>4848</v>
      </c>
      <c r="B112" s="839" t="s">
        <v>9739</v>
      </c>
      <c r="C112" s="839" t="s">
        <v>9737</v>
      </c>
      <c r="D112" s="839" t="s">
        <v>9740</v>
      </c>
      <c r="E112" s="840" t="s">
        <v>9741</v>
      </c>
      <c r="F112" s="841">
        <v>54626000</v>
      </c>
      <c r="G112" s="839">
        <v>1</v>
      </c>
      <c r="H112" s="840" t="s">
        <v>9742</v>
      </c>
      <c r="I112" s="851">
        <v>54626000</v>
      </c>
    </row>
    <row r="113" spans="1:9" ht="165.75">
      <c r="A113" s="850" t="s">
        <v>4848</v>
      </c>
      <c r="B113" s="839" t="s">
        <v>9743</v>
      </c>
      <c r="C113" s="839" t="s">
        <v>9737</v>
      </c>
      <c r="D113" s="839" t="s">
        <v>9729</v>
      </c>
      <c r="E113" s="840" t="s">
        <v>9744</v>
      </c>
      <c r="F113" s="841">
        <v>93808000</v>
      </c>
      <c r="G113" s="839">
        <v>1</v>
      </c>
      <c r="H113" s="840" t="s">
        <v>9745</v>
      </c>
      <c r="I113" s="851">
        <v>93808000</v>
      </c>
    </row>
    <row r="114" spans="1:9">
      <c r="A114" s="1053" t="s">
        <v>189</v>
      </c>
      <c r="B114" s="1054"/>
      <c r="C114" s="1054"/>
      <c r="D114" s="1054"/>
      <c r="E114" s="1054"/>
      <c r="F114" s="521">
        <f>SUM(F108:F113)</f>
        <v>252509720.14396584</v>
      </c>
      <c r="G114" s="570"/>
      <c r="H114" s="570"/>
      <c r="I114" s="852">
        <f>SUM(I108:I113)</f>
        <v>252509720.14396584</v>
      </c>
    </row>
    <row r="115" spans="1:9">
      <c r="A115" s="1053" t="s">
        <v>1706</v>
      </c>
      <c r="B115" s="1054"/>
      <c r="C115" s="1054"/>
      <c r="D115" s="1054"/>
      <c r="E115" s="1054"/>
      <c r="F115" s="1054"/>
      <c r="G115" s="1054"/>
      <c r="H115" s="1054"/>
      <c r="I115" s="1055"/>
    </row>
    <row r="116" spans="1:9" ht="89.25">
      <c r="A116" s="850" t="s">
        <v>58</v>
      </c>
      <c r="B116" s="839" t="s">
        <v>435</v>
      </c>
      <c r="C116" s="839">
        <v>0</v>
      </c>
      <c r="D116" s="839" t="s">
        <v>9306</v>
      </c>
      <c r="E116" s="840" t="s">
        <v>9372</v>
      </c>
      <c r="F116" s="841">
        <v>9398297.2709594537</v>
      </c>
      <c r="G116" s="839">
        <v>1</v>
      </c>
      <c r="H116" s="840" t="s">
        <v>9373</v>
      </c>
      <c r="I116" s="851">
        <v>9398297.2709594537</v>
      </c>
    </row>
    <row r="117" spans="1:9" ht="63.75">
      <c r="A117" s="850" t="s">
        <v>58</v>
      </c>
      <c r="B117" s="839" t="s">
        <v>9374</v>
      </c>
      <c r="C117" s="839" t="s">
        <v>9364</v>
      </c>
      <c r="D117" s="839" t="s">
        <v>9354</v>
      </c>
      <c r="E117" s="840" t="s">
        <v>9375</v>
      </c>
      <c r="F117" s="841">
        <v>2762646.2439781921</v>
      </c>
      <c r="G117" s="839">
        <v>2</v>
      </c>
      <c r="H117" s="840" t="s">
        <v>9376</v>
      </c>
      <c r="I117" s="851">
        <v>2762646.2439781921</v>
      </c>
    </row>
    <row r="118" spans="1:9" ht="102">
      <c r="A118" s="850" t="s">
        <v>58</v>
      </c>
      <c r="B118" s="839" t="s">
        <v>9392</v>
      </c>
      <c r="C118" s="839" t="s">
        <v>9364</v>
      </c>
      <c r="D118" s="839" t="s">
        <v>9354</v>
      </c>
      <c r="E118" s="840" t="s">
        <v>9393</v>
      </c>
      <c r="F118" s="841">
        <v>702324.8744827573</v>
      </c>
      <c r="G118" s="839">
        <v>2</v>
      </c>
      <c r="H118" s="840" t="s">
        <v>9394</v>
      </c>
      <c r="I118" s="851">
        <v>702324.8744827573</v>
      </c>
    </row>
    <row r="119" spans="1:9" ht="145.5" customHeight="1">
      <c r="A119" s="850" t="s">
        <v>58</v>
      </c>
      <c r="B119" s="839" t="s">
        <v>1191</v>
      </c>
      <c r="C119" s="839" t="s">
        <v>2953</v>
      </c>
      <c r="D119" s="839" t="s">
        <v>9354</v>
      </c>
      <c r="E119" s="840" t="s">
        <v>9398</v>
      </c>
      <c r="F119" s="841">
        <v>709972.53121741803</v>
      </c>
      <c r="G119" s="839">
        <v>2</v>
      </c>
      <c r="H119" s="840" t="s">
        <v>9399</v>
      </c>
      <c r="I119" s="851">
        <v>709972.53121741803</v>
      </c>
    </row>
    <row r="120" spans="1:9" ht="409.5">
      <c r="A120" s="850" t="s">
        <v>1266</v>
      </c>
      <c r="B120" s="839" t="s">
        <v>1266</v>
      </c>
      <c r="C120" s="839" t="s">
        <v>9471</v>
      </c>
      <c r="D120" s="839" t="s">
        <v>9354</v>
      </c>
      <c r="E120" s="840" t="s">
        <v>9472</v>
      </c>
      <c r="F120" s="841">
        <v>16661150.219999999</v>
      </c>
      <c r="G120" s="839">
        <v>2</v>
      </c>
      <c r="H120" s="840" t="s">
        <v>10008</v>
      </c>
      <c r="I120" s="851">
        <v>16661150.219999999</v>
      </c>
    </row>
    <row r="121" spans="1:9" ht="204">
      <c r="A121" s="850" t="s">
        <v>58</v>
      </c>
      <c r="B121" s="839" t="s">
        <v>58</v>
      </c>
      <c r="C121" s="839" t="s">
        <v>9660</v>
      </c>
      <c r="D121" s="839" t="s">
        <v>9661</v>
      </c>
      <c r="E121" s="840" t="s">
        <v>10009</v>
      </c>
      <c r="F121" s="841">
        <v>68640000</v>
      </c>
      <c r="G121" s="839">
        <v>1</v>
      </c>
      <c r="H121" s="840" t="s">
        <v>9662</v>
      </c>
      <c r="I121" s="851">
        <v>68640000</v>
      </c>
    </row>
    <row r="122" spans="1:9">
      <c r="A122" s="1053" t="s">
        <v>189</v>
      </c>
      <c r="B122" s="1054"/>
      <c r="C122" s="1054"/>
      <c r="D122" s="1054"/>
      <c r="E122" s="1054"/>
      <c r="F122" s="521">
        <f>SUM(F116:F121)</f>
        <v>98874391.140637815</v>
      </c>
      <c r="G122" s="570"/>
      <c r="H122" s="570"/>
      <c r="I122" s="852">
        <f>SUM(I116:I121)</f>
        <v>98874391.140637815</v>
      </c>
    </row>
    <row r="123" spans="1:9" ht="15" customHeight="1">
      <c r="A123" s="1053" t="s">
        <v>9985</v>
      </c>
      <c r="B123" s="1054"/>
      <c r="C123" s="1054"/>
      <c r="D123" s="1054"/>
      <c r="E123" s="1054"/>
      <c r="F123" s="1054"/>
      <c r="G123" s="1054"/>
      <c r="H123" s="1054"/>
      <c r="I123" s="1055"/>
    </row>
    <row r="124" spans="1:9" ht="267.75">
      <c r="A124" s="850" t="s">
        <v>4924</v>
      </c>
      <c r="B124" s="839" t="s">
        <v>9377</v>
      </c>
      <c r="C124" s="839" t="s">
        <v>2953</v>
      </c>
      <c r="D124" s="839" t="s">
        <v>9296</v>
      </c>
      <c r="E124" s="840" t="s">
        <v>9378</v>
      </c>
      <c r="F124" s="841">
        <v>26943303.466939572</v>
      </c>
      <c r="G124" s="839">
        <v>2</v>
      </c>
      <c r="H124" s="840" t="s">
        <v>9379</v>
      </c>
      <c r="I124" s="851">
        <v>26943303.466939572</v>
      </c>
    </row>
    <row r="125" spans="1:9" ht="102">
      <c r="A125" s="850" t="s">
        <v>19</v>
      </c>
      <c r="B125" s="839" t="s">
        <v>9380</v>
      </c>
      <c r="C125" s="839" t="s">
        <v>2953</v>
      </c>
      <c r="D125" s="839" t="s">
        <v>9306</v>
      </c>
      <c r="E125" s="840" t="s">
        <v>9383</v>
      </c>
      <c r="F125" s="841">
        <v>1552411.371296477</v>
      </c>
      <c r="G125" s="839">
        <v>1</v>
      </c>
      <c r="H125" s="840" t="s">
        <v>9384</v>
      </c>
      <c r="I125" s="851">
        <v>1552411.371296477</v>
      </c>
    </row>
    <row r="126" spans="1:9" ht="127.5">
      <c r="A126" s="850" t="s">
        <v>1127</v>
      </c>
      <c r="B126" s="839" t="s">
        <v>9380</v>
      </c>
      <c r="C126" s="839" t="s">
        <v>2953</v>
      </c>
      <c r="D126" s="839" t="s">
        <v>9296</v>
      </c>
      <c r="E126" s="840" t="s">
        <v>9385</v>
      </c>
      <c r="F126" s="841">
        <v>94562293.267924204</v>
      </c>
      <c r="G126" s="839">
        <v>2</v>
      </c>
      <c r="H126" s="840" t="s">
        <v>9386</v>
      </c>
      <c r="I126" s="851">
        <v>94562293.267924204</v>
      </c>
    </row>
    <row r="127" spans="1:9" ht="89.25">
      <c r="A127" s="850" t="s">
        <v>19</v>
      </c>
      <c r="B127" s="839" t="s">
        <v>9380</v>
      </c>
      <c r="C127" s="839" t="s">
        <v>2953</v>
      </c>
      <c r="D127" s="839" t="s">
        <v>9306</v>
      </c>
      <c r="E127" s="840" t="s">
        <v>9387</v>
      </c>
      <c r="F127" s="841">
        <v>4226233.037463163</v>
      </c>
      <c r="G127" s="839">
        <v>1</v>
      </c>
      <c r="H127" s="840" t="s">
        <v>9388</v>
      </c>
      <c r="I127" s="851">
        <v>4226233.037463163</v>
      </c>
    </row>
    <row r="128" spans="1:9" ht="76.5">
      <c r="A128" s="850" t="s">
        <v>4942</v>
      </c>
      <c r="B128" s="839" t="s">
        <v>9479</v>
      </c>
      <c r="C128" s="839" t="s">
        <v>2953</v>
      </c>
      <c r="D128" s="839" t="s">
        <v>9296</v>
      </c>
      <c r="E128" s="840" t="s">
        <v>9480</v>
      </c>
      <c r="F128" s="841">
        <v>15214170.174355838</v>
      </c>
      <c r="G128" s="839">
        <v>2</v>
      </c>
      <c r="H128" s="840" t="s">
        <v>9481</v>
      </c>
      <c r="I128" s="851">
        <v>15214170.174355838</v>
      </c>
    </row>
    <row r="129" spans="1:9" ht="127.5">
      <c r="A129" s="850" t="s">
        <v>4942</v>
      </c>
      <c r="B129" s="839" t="s">
        <v>9482</v>
      </c>
      <c r="C129" s="839" t="s">
        <v>2953</v>
      </c>
      <c r="D129" s="839" t="s">
        <v>9296</v>
      </c>
      <c r="E129" s="840" t="s">
        <v>9483</v>
      </c>
      <c r="F129" s="841">
        <v>2048619.6363144855</v>
      </c>
      <c r="G129" s="839">
        <v>2</v>
      </c>
      <c r="H129" s="840" t="s">
        <v>9484</v>
      </c>
      <c r="I129" s="851">
        <v>2048619.6363144855</v>
      </c>
    </row>
    <row r="130" spans="1:9" ht="89.25">
      <c r="A130" s="850" t="s">
        <v>9485</v>
      </c>
      <c r="B130" s="839" t="s">
        <v>9486</v>
      </c>
      <c r="C130" s="839" t="s">
        <v>2953</v>
      </c>
      <c r="D130" s="839" t="s">
        <v>9306</v>
      </c>
      <c r="E130" s="840" t="s">
        <v>9487</v>
      </c>
      <c r="F130" s="841">
        <v>980615.84507586132</v>
      </c>
      <c r="G130" s="839">
        <v>1</v>
      </c>
      <c r="H130" s="840" t="s">
        <v>9488</v>
      </c>
      <c r="I130" s="851">
        <v>980615.84507586132</v>
      </c>
    </row>
    <row r="131" spans="1:9" ht="318.75">
      <c r="A131" s="850" t="s">
        <v>4940</v>
      </c>
      <c r="B131" s="839" t="s">
        <v>9380</v>
      </c>
      <c r="C131" s="839" t="s">
        <v>2953</v>
      </c>
      <c r="D131" s="839" t="s">
        <v>9354</v>
      </c>
      <c r="E131" s="840" t="s">
        <v>9492</v>
      </c>
      <c r="F131" s="841">
        <v>18897629.091227572</v>
      </c>
      <c r="G131" s="839">
        <v>2</v>
      </c>
      <c r="H131" s="840" t="s">
        <v>9493</v>
      </c>
      <c r="I131" s="851">
        <v>18897629.091227572</v>
      </c>
    </row>
    <row r="132" spans="1:9" ht="102">
      <c r="A132" s="850" t="s">
        <v>4942</v>
      </c>
      <c r="B132" s="839" t="s">
        <v>9496</v>
      </c>
      <c r="C132" s="839" t="s">
        <v>2953</v>
      </c>
      <c r="D132" s="839" t="s">
        <v>9306</v>
      </c>
      <c r="E132" s="840" t="s">
        <v>9497</v>
      </c>
      <c r="F132" s="841">
        <v>1373641.3903034509</v>
      </c>
      <c r="G132" s="839">
        <v>1</v>
      </c>
      <c r="H132" s="840" t="s">
        <v>9498</v>
      </c>
      <c r="I132" s="851">
        <v>1373641.3903034509</v>
      </c>
    </row>
    <row r="133" spans="1:9" ht="216.75">
      <c r="A133" s="850" t="s">
        <v>4924</v>
      </c>
      <c r="B133" s="839" t="s">
        <v>9514</v>
      </c>
      <c r="C133" s="839" t="s">
        <v>2953</v>
      </c>
      <c r="D133" s="839" t="s">
        <v>9515</v>
      </c>
      <c r="E133" s="840" t="s">
        <v>9516</v>
      </c>
      <c r="F133" s="841">
        <v>49109693.628068954</v>
      </c>
      <c r="G133" s="839">
        <v>2</v>
      </c>
      <c r="H133" s="840" t="s">
        <v>9517</v>
      </c>
      <c r="I133" s="851">
        <v>49109693.628068954</v>
      </c>
    </row>
    <row r="134" spans="1:9" ht="153">
      <c r="A134" s="850" t="s">
        <v>4924</v>
      </c>
      <c r="B134" s="839" t="s">
        <v>9518</v>
      </c>
      <c r="C134" s="839" t="s">
        <v>2953</v>
      </c>
      <c r="D134" s="839" t="s">
        <v>9306</v>
      </c>
      <c r="E134" s="840" t="s">
        <v>9519</v>
      </c>
      <c r="F134" s="841">
        <v>648749.42151724268</v>
      </c>
      <c r="G134" s="839">
        <v>1</v>
      </c>
      <c r="H134" s="840" t="s">
        <v>9520</v>
      </c>
      <c r="I134" s="851">
        <v>648749.42151724268</v>
      </c>
    </row>
    <row r="135" spans="1:9" ht="140.25">
      <c r="A135" s="850" t="s">
        <v>9521</v>
      </c>
      <c r="B135" s="839" t="s">
        <v>9522</v>
      </c>
      <c r="C135" s="839" t="s">
        <v>2254</v>
      </c>
      <c r="D135" s="839" t="s">
        <v>9296</v>
      </c>
      <c r="E135" s="840" t="s">
        <v>9523</v>
      </c>
      <c r="F135" s="841">
        <v>4426658.3882703464</v>
      </c>
      <c r="G135" s="839">
        <v>2</v>
      </c>
      <c r="H135" s="840" t="s">
        <v>9524</v>
      </c>
      <c r="I135" s="851">
        <v>4426658.3882703464</v>
      </c>
    </row>
    <row r="136" spans="1:9" ht="165.75">
      <c r="A136" s="850" t="s">
        <v>4924</v>
      </c>
      <c r="B136" s="839" t="s">
        <v>9525</v>
      </c>
      <c r="C136" s="839" t="s">
        <v>2953</v>
      </c>
      <c r="D136" s="839" t="s">
        <v>9354</v>
      </c>
      <c r="E136" s="840" t="s">
        <v>10010</v>
      </c>
      <c r="F136" s="841">
        <v>34669501.575674511</v>
      </c>
      <c r="G136" s="839">
        <v>2</v>
      </c>
      <c r="H136" s="840" t="s">
        <v>9526</v>
      </c>
      <c r="I136" s="851">
        <v>34669501.575674511</v>
      </c>
    </row>
    <row r="137" spans="1:9" ht="89.25">
      <c r="A137" s="850" t="s">
        <v>19</v>
      </c>
      <c r="B137" s="839" t="s">
        <v>9380</v>
      </c>
      <c r="C137" s="839" t="s">
        <v>2953</v>
      </c>
      <c r="D137" s="839" t="s">
        <v>9296</v>
      </c>
      <c r="E137" s="840" t="s">
        <v>9527</v>
      </c>
      <c r="F137" s="841">
        <v>40251561.202068962</v>
      </c>
      <c r="G137" s="839">
        <v>2</v>
      </c>
      <c r="H137" s="840" t="s">
        <v>9528</v>
      </c>
      <c r="I137" s="851">
        <v>40251561.202068962</v>
      </c>
    </row>
    <row r="138" spans="1:9" ht="216.75">
      <c r="A138" s="850" t="s">
        <v>4942</v>
      </c>
      <c r="B138" s="839" t="s">
        <v>1169</v>
      </c>
      <c r="C138" s="839" t="s">
        <v>2953</v>
      </c>
      <c r="D138" s="839" t="s">
        <v>9354</v>
      </c>
      <c r="E138" s="840" t="s">
        <v>9576</v>
      </c>
      <c r="F138" s="841">
        <v>11325600</v>
      </c>
      <c r="G138" s="839">
        <v>2</v>
      </c>
      <c r="H138" s="840" t="s">
        <v>9577</v>
      </c>
      <c r="I138" s="851">
        <v>11325600</v>
      </c>
    </row>
    <row r="139" spans="1:9" ht="242.25">
      <c r="A139" s="850" t="s">
        <v>4924</v>
      </c>
      <c r="B139" s="839" t="s">
        <v>2063</v>
      </c>
      <c r="C139" s="839" t="s">
        <v>2953</v>
      </c>
      <c r="D139" s="839" t="s">
        <v>9306</v>
      </c>
      <c r="E139" s="840" t="s">
        <v>9591</v>
      </c>
      <c r="F139" s="841">
        <v>366080</v>
      </c>
      <c r="G139" s="839">
        <v>1</v>
      </c>
      <c r="H139" s="840" t="s">
        <v>9592</v>
      </c>
      <c r="I139" s="851">
        <v>366080</v>
      </c>
    </row>
    <row r="140" spans="1:9" ht="369.75">
      <c r="A140" s="850" t="s">
        <v>6321</v>
      </c>
      <c r="B140" s="839" t="s">
        <v>9593</v>
      </c>
      <c r="C140" s="839" t="s">
        <v>2254</v>
      </c>
      <c r="D140" s="839" t="s">
        <v>9594</v>
      </c>
      <c r="E140" s="840" t="s">
        <v>9595</v>
      </c>
      <c r="F140" s="841">
        <v>131937520</v>
      </c>
      <c r="G140" s="839">
        <v>2</v>
      </c>
      <c r="H140" s="840" t="s">
        <v>9596</v>
      </c>
      <c r="I140" s="851">
        <v>131937520</v>
      </c>
    </row>
    <row r="141" spans="1:9" ht="102">
      <c r="A141" s="850" t="s">
        <v>9531</v>
      </c>
      <c r="B141" s="839" t="s">
        <v>4431</v>
      </c>
      <c r="C141" s="839" t="s">
        <v>2953</v>
      </c>
      <c r="D141" s="839" t="s">
        <v>9306</v>
      </c>
      <c r="E141" s="840" t="s">
        <v>9532</v>
      </c>
      <c r="F141" s="841">
        <v>473123.92220689653</v>
      </c>
      <c r="G141" s="839">
        <v>1</v>
      </c>
      <c r="H141" s="840" t="s">
        <v>9533</v>
      </c>
      <c r="I141" s="851">
        <v>473123.92220689653</v>
      </c>
    </row>
    <row r="142" spans="1:9" ht="255">
      <c r="A142" s="850" t="s">
        <v>9749</v>
      </c>
      <c r="B142" s="839" t="s">
        <v>9750</v>
      </c>
      <c r="C142" s="839" t="s">
        <v>9751</v>
      </c>
      <c r="D142" s="839" t="s">
        <v>9752</v>
      </c>
      <c r="E142" s="840" t="s">
        <v>9753</v>
      </c>
      <c r="F142" s="841">
        <v>20020000</v>
      </c>
      <c r="G142" s="839">
        <v>1</v>
      </c>
      <c r="H142" s="840" t="s">
        <v>9754</v>
      </c>
      <c r="I142" s="851">
        <v>20020000</v>
      </c>
    </row>
    <row r="143" spans="1:9" ht="216.75">
      <c r="A143" s="850" t="s">
        <v>3825</v>
      </c>
      <c r="B143" s="839" t="s">
        <v>9760</v>
      </c>
      <c r="C143" s="839">
        <v>0</v>
      </c>
      <c r="D143" s="839" t="s">
        <v>9761</v>
      </c>
      <c r="E143" s="840" t="s">
        <v>9762</v>
      </c>
      <c r="F143" s="841">
        <v>70655914.168239981</v>
      </c>
      <c r="G143" s="839">
        <v>2</v>
      </c>
      <c r="H143" s="840" t="s">
        <v>9763</v>
      </c>
      <c r="I143" s="851">
        <v>70655914.168239981</v>
      </c>
    </row>
    <row r="144" spans="1:9" ht="369.75">
      <c r="A144" s="850" t="s">
        <v>9779</v>
      </c>
      <c r="B144" s="839" t="s">
        <v>9780</v>
      </c>
      <c r="C144" s="839" t="s">
        <v>9781</v>
      </c>
      <c r="D144" s="839" t="s">
        <v>9782</v>
      </c>
      <c r="E144" s="840" t="s">
        <v>9783</v>
      </c>
      <c r="F144" s="841">
        <v>40040000</v>
      </c>
      <c r="G144" s="839">
        <v>1</v>
      </c>
      <c r="H144" s="840" t="s">
        <v>9784</v>
      </c>
      <c r="I144" s="851">
        <v>40040000</v>
      </c>
    </row>
    <row r="145" spans="1:9" ht="255">
      <c r="A145" s="850" t="s">
        <v>19</v>
      </c>
      <c r="B145" s="839" t="s">
        <v>9785</v>
      </c>
      <c r="C145" s="839" t="s">
        <v>9786</v>
      </c>
      <c r="D145" s="839" t="s">
        <v>9787</v>
      </c>
      <c r="E145" s="840" t="s">
        <v>10011</v>
      </c>
      <c r="F145" s="841">
        <v>57200000</v>
      </c>
      <c r="G145" s="839">
        <v>1</v>
      </c>
      <c r="H145" s="840" t="s">
        <v>9788</v>
      </c>
      <c r="I145" s="851">
        <v>57200000</v>
      </c>
    </row>
    <row r="146" spans="1:9" ht="229.5">
      <c r="A146" s="850" t="s">
        <v>19</v>
      </c>
      <c r="B146" s="839" t="s">
        <v>9785</v>
      </c>
      <c r="C146" s="839" t="s">
        <v>9786</v>
      </c>
      <c r="D146" s="839" t="s">
        <v>9787</v>
      </c>
      <c r="E146" s="840" t="s">
        <v>10012</v>
      </c>
      <c r="F146" s="841">
        <v>68640000</v>
      </c>
      <c r="G146" s="839">
        <v>1</v>
      </c>
      <c r="H146" s="840" t="s">
        <v>9789</v>
      </c>
      <c r="I146" s="851">
        <v>68640000</v>
      </c>
    </row>
    <row r="147" spans="1:9" ht="409.5">
      <c r="A147" s="850" t="s">
        <v>19</v>
      </c>
      <c r="B147" s="839" t="s">
        <v>9790</v>
      </c>
      <c r="C147" s="839" t="s">
        <v>9791</v>
      </c>
      <c r="D147" s="839" t="s">
        <v>9598</v>
      </c>
      <c r="E147" s="840" t="s">
        <v>9792</v>
      </c>
      <c r="F147" s="841">
        <v>71500000</v>
      </c>
      <c r="G147" s="839">
        <v>1</v>
      </c>
      <c r="H147" s="840" t="s">
        <v>9793</v>
      </c>
      <c r="I147" s="851">
        <v>71500000</v>
      </c>
    </row>
    <row r="148" spans="1:9">
      <c r="A148" s="1053" t="s">
        <v>189</v>
      </c>
      <c r="B148" s="1054"/>
      <c r="C148" s="1054"/>
      <c r="D148" s="1054"/>
      <c r="E148" s="1054"/>
      <c r="F148" s="521">
        <f>SUM(F124:F147)</f>
        <v>767063319.58694756</v>
      </c>
      <c r="G148" s="570"/>
      <c r="H148" s="570"/>
      <c r="I148" s="852">
        <f>SUM(I124:I147)</f>
        <v>767063319.58694756</v>
      </c>
    </row>
    <row r="149" spans="1:9" ht="15" customHeight="1">
      <c r="A149" s="1053" t="s">
        <v>9986</v>
      </c>
      <c r="B149" s="1054"/>
      <c r="C149" s="1054"/>
      <c r="D149" s="1054"/>
      <c r="E149" s="1054"/>
      <c r="F149" s="1054"/>
      <c r="G149" s="1054"/>
      <c r="H149" s="1054"/>
      <c r="I149" s="1055"/>
    </row>
    <row r="150" spans="1:9" ht="89.25">
      <c r="A150" s="850" t="s">
        <v>7576</v>
      </c>
      <c r="B150" s="839" t="s">
        <v>9380</v>
      </c>
      <c r="C150" s="839" t="s">
        <v>2254</v>
      </c>
      <c r="D150" s="839" t="s">
        <v>9354</v>
      </c>
      <c r="E150" s="840" t="s">
        <v>9381</v>
      </c>
      <c r="F150" s="841">
        <v>49964556.812366538</v>
      </c>
      <c r="G150" s="839">
        <v>2</v>
      </c>
      <c r="H150" s="840" t="s">
        <v>9382</v>
      </c>
      <c r="I150" s="851">
        <v>49964556.812366538</v>
      </c>
    </row>
    <row r="151" spans="1:9" ht="409.5">
      <c r="A151" s="850" t="s">
        <v>3751</v>
      </c>
      <c r="B151" s="839" t="s">
        <v>9494</v>
      </c>
      <c r="C151" s="839" t="s">
        <v>2254</v>
      </c>
      <c r="D151" s="839" t="s">
        <v>9354</v>
      </c>
      <c r="E151" s="840" t="s">
        <v>10013</v>
      </c>
      <c r="F151" s="841">
        <v>19183359.766013812</v>
      </c>
      <c r="G151" s="839">
        <v>2</v>
      </c>
      <c r="H151" s="840" t="s">
        <v>9495</v>
      </c>
      <c r="I151" s="851">
        <v>19183359.766013812</v>
      </c>
    </row>
    <row r="152" spans="1:9" ht="76.5">
      <c r="A152" s="850" t="s">
        <v>3918</v>
      </c>
      <c r="B152" s="839" t="s">
        <v>9380</v>
      </c>
      <c r="C152" s="839" t="s">
        <v>2953</v>
      </c>
      <c r="D152" s="839" t="s">
        <v>9306</v>
      </c>
      <c r="E152" s="840" t="s">
        <v>9529</v>
      </c>
      <c r="F152" s="841">
        <v>6699782.7448275723</v>
      </c>
      <c r="G152" s="839">
        <v>1</v>
      </c>
      <c r="H152" s="840" t="s">
        <v>9530</v>
      </c>
      <c r="I152" s="851">
        <v>6699782.7448275723</v>
      </c>
    </row>
    <row r="153" spans="1:9" ht="102">
      <c r="A153" s="850" t="s">
        <v>7470</v>
      </c>
      <c r="B153" s="839" t="s">
        <v>9564</v>
      </c>
      <c r="C153" s="839" t="s">
        <v>2953</v>
      </c>
      <c r="D153" s="839" t="s">
        <v>9306</v>
      </c>
      <c r="E153" s="840" t="s">
        <v>9565</v>
      </c>
      <c r="F153" s="841">
        <v>2288000</v>
      </c>
      <c r="G153" s="839">
        <v>1</v>
      </c>
      <c r="H153" s="840" t="s">
        <v>9566</v>
      </c>
      <c r="I153" s="851">
        <v>2288000</v>
      </c>
    </row>
    <row r="154" spans="1:9" ht="63.75">
      <c r="A154" s="850" t="s">
        <v>7576</v>
      </c>
      <c r="B154" s="839" t="s">
        <v>4925</v>
      </c>
      <c r="C154" s="839" t="s">
        <v>9567</v>
      </c>
      <c r="D154" s="839" t="s">
        <v>9568</v>
      </c>
      <c r="E154" s="840" t="s">
        <v>9569</v>
      </c>
      <c r="F154" s="841">
        <v>3861000</v>
      </c>
      <c r="G154" s="839">
        <v>2</v>
      </c>
      <c r="H154" s="840" t="s">
        <v>9570</v>
      </c>
      <c r="I154" s="851">
        <v>3861000</v>
      </c>
    </row>
    <row r="155" spans="1:9" ht="153">
      <c r="A155" s="850" t="s">
        <v>3751</v>
      </c>
      <c r="B155" s="839" t="s">
        <v>7511</v>
      </c>
      <c r="C155" s="839" t="s">
        <v>2953</v>
      </c>
      <c r="D155" s="839" t="s">
        <v>9306</v>
      </c>
      <c r="E155" s="840" t="s">
        <v>9578</v>
      </c>
      <c r="F155" s="841">
        <v>4576000</v>
      </c>
      <c r="G155" s="839">
        <v>1</v>
      </c>
      <c r="H155" s="840" t="s">
        <v>9579</v>
      </c>
      <c r="I155" s="851">
        <v>4576000</v>
      </c>
    </row>
    <row r="156" spans="1:9" ht="153">
      <c r="A156" s="850" t="s">
        <v>7576</v>
      </c>
      <c r="B156" s="839" t="s">
        <v>7578</v>
      </c>
      <c r="C156" s="839" t="s">
        <v>2953</v>
      </c>
      <c r="D156" s="839" t="s">
        <v>9354</v>
      </c>
      <c r="E156" s="840" t="s">
        <v>9590</v>
      </c>
      <c r="F156" s="841">
        <v>0</v>
      </c>
      <c r="G156" s="839">
        <v>2</v>
      </c>
      <c r="H156" s="840" t="s">
        <v>10014</v>
      </c>
      <c r="I156" s="851">
        <v>0</v>
      </c>
    </row>
    <row r="157" spans="1:9" ht="204">
      <c r="A157" s="850" t="s">
        <v>3751</v>
      </c>
      <c r="B157" s="839" t="s">
        <v>9755</v>
      </c>
      <c r="C157" s="839" t="s">
        <v>9756</v>
      </c>
      <c r="D157" s="839" t="s">
        <v>9757</v>
      </c>
      <c r="E157" s="840" t="s">
        <v>9758</v>
      </c>
      <c r="F157" s="841">
        <v>48620000</v>
      </c>
      <c r="G157" s="839">
        <v>1</v>
      </c>
      <c r="H157" s="840" t="s">
        <v>9759</v>
      </c>
      <c r="I157" s="851">
        <v>48620000</v>
      </c>
    </row>
    <row r="158" spans="1:9" ht="280.5">
      <c r="A158" s="850" t="s">
        <v>3751</v>
      </c>
      <c r="B158" s="839" t="s">
        <v>9775</v>
      </c>
      <c r="C158" s="839" t="s">
        <v>9776</v>
      </c>
      <c r="D158" s="839" t="s">
        <v>9777</v>
      </c>
      <c r="E158" s="840" t="s">
        <v>10015</v>
      </c>
      <c r="F158" s="841">
        <v>477620000</v>
      </c>
      <c r="G158" s="839">
        <v>1</v>
      </c>
      <c r="H158" s="840" t="s">
        <v>9778</v>
      </c>
      <c r="I158" s="851">
        <v>477620000</v>
      </c>
    </row>
    <row r="159" spans="1:9">
      <c r="A159" s="1053" t="s">
        <v>189</v>
      </c>
      <c r="B159" s="1054"/>
      <c r="C159" s="1054"/>
      <c r="D159" s="1054"/>
      <c r="E159" s="1054"/>
      <c r="F159" s="521">
        <f>SUM(F150:F158)</f>
        <v>612812699.32320786</v>
      </c>
      <c r="G159" s="570"/>
      <c r="H159" s="570"/>
      <c r="I159" s="852">
        <f>SUM(I150:I158)</f>
        <v>612812699.32320786</v>
      </c>
    </row>
    <row r="160" spans="1:9">
      <c r="A160" s="1053" t="s">
        <v>866</v>
      </c>
      <c r="B160" s="1054"/>
      <c r="C160" s="1054"/>
      <c r="D160" s="1054"/>
      <c r="E160" s="1054"/>
      <c r="F160" s="1054"/>
      <c r="G160" s="1054"/>
      <c r="H160" s="1054"/>
      <c r="I160" s="1055"/>
    </row>
    <row r="161" spans="1:9" ht="76.5">
      <c r="A161" s="850" t="s">
        <v>867</v>
      </c>
      <c r="B161" s="839" t="s">
        <v>9389</v>
      </c>
      <c r="C161" s="839" t="s">
        <v>9364</v>
      </c>
      <c r="D161" s="839" t="s">
        <v>9354</v>
      </c>
      <c r="E161" s="840" t="s">
        <v>9390</v>
      </c>
      <c r="F161" s="841">
        <v>26767093.562194474</v>
      </c>
      <c r="G161" s="839">
        <v>2</v>
      </c>
      <c r="H161" s="840" t="s">
        <v>9391</v>
      </c>
      <c r="I161" s="851">
        <v>26767093.562194474</v>
      </c>
    </row>
    <row r="162" spans="1:9">
      <c r="A162" s="1053" t="s">
        <v>189</v>
      </c>
      <c r="B162" s="1054"/>
      <c r="C162" s="1054"/>
      <c r="D162" s="1054"/>
      <c r="E162" s="1054"/>
      <c r="F162" s="521">
        <f>SUM(F161)</f>
        <v>26767093.562194474</v>
      </c>
      <c r="G162" s="570"/>
      <c r="H162" s="570"/>
      <c r="I162" s="852">
        <f>SUM(I161)</f>
        <v>26767093.562194474</v>
      </c>
    </row>
    <row r="163" spans="1:9">
      <c r="A163" s="1053" t="s">
        <v>1786</v>
      </c>
      <c r="B163" s="1054"/>
      <c r="C163" s="1054"/>
      <c r="D163" s="1054"/>
      <c r="E163" s="1054"/>
      <c r="F163" s="1054"/>
      <c r="G163" s="1054"/>
      <c r="H163" s="1054"/>
      <c r="I163" s="1055"/>
    </row>
    <row r="164" spans="1:9" ht="127.5">
      <c r="A164" s="850" t="s">
        <v>9395</v>
      </c>
      <c r="B164" s="839" t="s">
        <v>4545</v>
      </c>
      <c r="C164" s="839" t="s">
        <v>2953</v>
      </c>
      <c r="D164" s="839" t="s">
        <v>9306</v>
      </c>
      <c r="E164" s="840" t="s">
        <v>9396</v>
      </c>
      <c r="F164" s="841">
        <v>4187718.7861252399</v>
      </c>
      <c r="G164" s="839">
        <v>1</v>
      </c>
      <c r="H164" s="840" t="s">
        <v>9397</v>
      </c>
      <c r="I164" s="851">
        <v>4187718.7861252399</v>
      </c>
    </row>
    <row r="165" spans="1:9" ht="63.75">
      <c r="A165" s="850" t="s">
        <v>9395</v>
      </c>
      <c r="B165" s="839" t="s">
        <v>9400</v>
      </c>
      <c r="C165" s="839" t="s">
        <v>2953</v>
      </c>
      <c r="D165" s="839" t="s">
        <v>9354</v>
      </c>
      <c r="E165" s="840" t="s">
        <v>9401</v>
      </c>
      <c r="F165" s="841">
        <v>67137961.68803151</v>
      </c>
      <c r="G165" s="839">
        <v>2</v>
      </c>
      <c r="H165" s="840" t="s">
        <v>9402</v>
      </c>
      <c r="I165" s="851">
        <v>67137961.68803151</v>
      </c>
    </row>
    <row r="166" spans="1:9">
      <c r="A166" s="1053" t="s">
        <v>189</v>
      </c>
      <c r="B166" s="1054"/>
      <c r="C166" s="1054"/>
      <c r="D166" s="1054"/>
      <c r="E166" s="1054"/>
      <c r="F166" s="521">
        <f>SUM(F164:F165)</f>
        <v>71325680.474156752</v>
      </c>
      <c r="G166" s="570"/>
      <c r="H166" s="570"/>
      <c r="I166" s="852">
        <f>SUM(I164:I165)</f>
        <v>71325680.474156752</v>
      </c>
    </row>
    <row r="167" spans="1:9">
      <c r="A167" s="1053" t="s">
        <v>9987</v>
      </c>
      <c r="B167" s="1054"/>
      <c r="C167" s="1054"/>
      <c r="D167" s="1054"/>
      <c r="E167" s="1054"/>
      <c r="F167" s="1054"/>
      <c r="G167" s="1054"/>
      <c r="H167" s="1054"/>
      <c r="I167" s="1055"/>
    </row>
    <row r="168" spans="1:9" ht="63.75">
      <c r="A168" s="850" t="s">
        <v>602</v>
      </c>
      <c r="B168" s="839" t="s">
        <v>9403</v>
      </c>
      <c r="C168" s="839" t="s">
        <v>9364</v>
      </c>
      <c r="D168" s="839" t="s">
        <v>9306</v>
      </c>
      <c r="E168" s="840" t="s">
        <v>9404</v>
      </c>
      <c r="F168" s="841">
        <v>1183450.8399999999</v>
      </c>
      <c r="G168" s="839">
        <v>1</v>
      </c>
      <c r="H168" s="840" t="s">
        <v>9405</v>
      </c>
      <c r="I168" s="851">
        <v>1183450.8399999999</v>
      </c>
    </row>
    <row r="169" spans="1:9" ht="89.25">
      <c r="A169" s="850" t="s">
        <v>4490</v>
      </c>
      <c r="B169" s="839" t="s">
        <v>9406</v>
      </c>
      <c r="C169" s="839" t="s">
        <v>2953</v>
      </c>
      <c r="D169" s="839" t="s">
        <v>9306</v>
      </c>
      <c r="E169" s="840" t="s">
        <v>9407</v>
      </c>
      <c r="F169" s="841">
        <v>1104486.24</v>
      </c>
      <c r="G169" s="839">
        <v>1</v>
      </c>
      <c r="H169" s="840" t="s">
        <v>9408</v>
      </c>
      <c r="I169" s="851">
        <v>1104486.24</v>
      </c>
    </row>
    <row r="170" spans="1:9" ht="102">
      <c r="A170" s="850" t="s">
        <v>9395</v>
      </c>
      <c r="B170" s="839" t="s">
        <v>9409</v>
      </c>
      <c r="C170" s="839" t="s">
        <v>2953</v>
      </c>
      <c r="D170" s="839" t="s">
        <v>9410</v>
      </c>
      <c r="E170" s="840" t="s">
        <v>9411</v>
      </c>
      <c r="F170" s="841">
        <v>11952796.611409424</v>
      </c>
      <c r="G170" s="839">
        <v>3</v>
      </c>
      <c r="H170" s="840" t="s">
        <v>9412</v>
      </c>
      <c r="I170" s="851">
        <v>11952796.611409424</v>
      </c>
    </row>
    <row r="171" spans="1:9" ht="76.5">
      <c r="A171" s="850" t="s">
        <v>602</v>
      </c>
      <c r="B171" s="839" t="s">
        <v>1707</v>
      </c>
      <c r="C171" s="839" t="s">
        <v>2953</v>
      </c>
      <c r="D171" s="839" t="s">
        <v>9296</v>
      </c>
      <c r="E171" s="840" t="s">
        <v>9413</v>
      </c>
      <c r="F171" s="841">
        <v>997762.48</v>
      </c>
      <c r="G171" s="839">
        <v>2</v>
      </c>
      <c r="H171" s="840" t="s">
        <v>9414</v>
      </c>
      <c r="I171" s="851">
        <v>997762.48</v>
      </c>
    </row>
    <row r="172" spans="1:9" ht="216.75">
      <c r="A172" s="850" t="s">
        <v>5116</v>
      </c>
      <c r="B172" s="839" t="s">
        <v>9508</v>
      </c>
      <c r="C172" s="839" t="s">
        <v>2953</v>
      </c>
      <c r="D172" s="839" t="s">
        <v>9296</v>
      </c>
      <c r="E172" s="840" t="s">
        <v>9509</v>
      </c>
      <c r="F172" s="841">
        <v>54286020.359999999</v>
      </c>
      <c r="G172" s="839">
        <v>2</v>
      </c>
      <c r="H172" s="840" t="s">
        <v>9510</v>
      </c>
      <c r="I172" s="851">
        <v>54286020.359999999</v>
      </c>
    </row>
    <row r="173" spans="1:9" ht="89.25">
      <c r="A173" s="850" t="s">
        <v>617</v>
      </c>
      <c r="B173" s="839" t="s">
        <v>9511</v>
      </c>
      <c r="C173" s="839" t="s">
        <v>2953</v>
      </c>
      <c r="D173" s="839" t="s">
        <v>9354</v>
      </c>
      <c r="E173" s="840" t="s">
        <v>9512</v>
      </c>
      <c r="F173" s="841">
        <v>1074828.04</v>
      </c>
      <c r="G173" s="839">
        <v>2</v>
      </c>
      <c r="H173" s="840" t="s">
        <v>9513</v>
      </c>
      <c r="I173" s="851">
        <v>1074828.04</v>
      </c>
    </row>
    <row r="174" spans="1:9" ht="191.25">
      <c r="A174" s="850" t="s">
        <v>602</v>
      </c>
      <c r="B174" s="839" t="s">
        <v>589</v>
      </c>
      <c r="C174" s="839" t="s">
        <v>9657</v>
      </c>
      <c r="D174" s="839" t="s">
        <v>9654</v>
      </c>
      <c r="E174" s="840" t="s">
        <v>9658</v>
      </c>
      <c r="F174" s="841">
        <v>28600000</v>
      </c>
      <c r="G174" s="839">
        <v>1</v>
      </c>
      <c r="H174" s="840" t="s">
        <v>9659</v>
      </c>
      <c r="I174" s="851">
        <v>28600000</v>
      </c>
    </row>
    <row r="175" spans="1:9">
      <c r="A175" s="1053" t="s">
        <v>189</v>
      </c>
      <c r="B175" s="1054"/>
      <c r="C175" s="1054"/>
      <c r="D175" s="1054"/>
      <c r="E175" s="1054"/>
      <c r="F175" s="521">
        <f>SUM(F168:F174)</f>
        <v>99199344.571409434</v>
      </c>
      <c r="G175" s="570"/>
      <c r="H175" s="570"/>
      <c r="I175" s="852">
        <f>SUM(I168:I174)</f>
        <v>99199344.571409434</v>
      </c>
    </row>
    <row r="176" spans="1:9" ht="15" customHeight="1">
      <c r="A176" s="1053" t="s">
        <v>3719</v>
      </c>
      <c r="B176" s="1054"/>
      <c r="C176" s="1054"/>
      <c r="D176" s="1054"/>
      <c r="E176" s="1054"/>
      <c r="F176" s="1054"/>
      <c r="G176" s="1054"/>
      <c r="H176" s="1054"/>
      <c r="I176" s="1055"/>
    </row>
    <row r="177" spans="1:9" ht="127.5">
      <c r="A177" s="850" t="s">
        <v>2042</v>
      </c>
      <c r="B177" s="839" t="s">
        <v>9415</v>
      </c>
      <c r="C177" s="839" t="s">
        <v>2953</v>
      </c>
      <c r="D177" s="839" t="s">
        <v>9354</v>
      </c>
      <c r="E177" s="840" t="s">
        <v>9416</v>
      </c>
      <c r="F177" s="841">
        <v>19582130.090355519</v>
      </c>
      <c r="G177" s="839">
        <v>2</v>
      </c>
      <c r="H177" s="840" t="s">
        <v>9417</v>
      </c>
      <c r="I177" s="851">
        <v>19582130.090355519</v>
      </c>
    </row>
    <row r="178" spans="1:9" ht="191.25">
      <c r="A178" s="850" t="s">
        <v>2621</v>
      </c>
      <c r="B178" s="839" t="s">
        <v>3716</v>
      </c>
      <c r="C178" s="839" t="s">
        <v>2953</v>
      </c>
      <c r="D178" s="839" t="s">
        <v>9410</v>
      </c>
      <c r="E178" s="840" t="s">
        <v>9418</v>
      </c>
      <c r="F178" s="841">
        <v>59245025.414247818</v>
      </c>
      <c r="G178" s="839">
        <v>2</v>
      </c>
      <c r="H178" s="840" t="s">
        <v>9419</v>
      </c>
      <c r="I178" s="851">
        <v>59245025.414247818</v>
      </c>
    </row>
    <row r="179" spans="1:9" ht="165.75">
      <c r="A179" s="850" t="s">
        <v>3525</v>
      </c>
      <c r="B179" s="839" t="s">
        <v>9420</v>
      </c>
      <c r="C179" s="839" t="s">
        <v>2953</v>
      </c>
      <c r="D179" s="839" t="s">
        <v>9410</v>
      </c>
      <c r="E179" s="840" t="s">
        <v>9421</v>
      </c>
      <c r="F179" s="841">
        <v>74918172.445816696</v>
      </c>
      <c r="G179" s="839">
        <v>2</v>
      </c>
      <c r="H179" s="840" t="s">
        <v>9422</v>
      </c>
      <c r="I179" s="851">
        <v>74918172.445816696</v>
      </c>
    </row>
    <row r="180" spans="1:9" ht="153">
      <c r="A180" s="850" t="s">
        <v>1064</v>
      </c>
      <c r="B180" s="839" t="s">
        <v>1064</v>
      </c>
      <c r="C180" s="839" t="s">
        <v>2953</v>
      </c>
      <c r="D180" s="839" t="s">
        <v>9410</v>
      </c>
      <c r="E180" s="840" t="s">
        <v>9423</v>
      </c>
      <c r="F180" s="841">
        <v>142106587.14904138</v>
      </c>
      <c r="G180" s="839">
        <v>2</v>
      </c>
      <c r="H180" s="840" t="s">
        <v>9424</v>
      </c>
      <c r="I180" s="851">
        <v>142106587.14904138</v>
      </c>
    </row>
    <row r="181" spans="1:9" ht="178.5">
      <c r="A181" s="850" t="s">
        <v>19</v>
      </c>
      <c r="B181" s="839" t="s">
        <v>19</v>
      </c>
      <c r="C181" s="839" t="s">
        <v>2953</v>
      </c>
      <c r="D181" s="839" t="s">
        <v>9410</v>
      </c>
      <c r="E181" s="840" t="s">
        <v>9425</v>
      </c>
      <c r="F181" s="841">
        <v>6831715.2940761298</v>
      </c>
      <c r="G181" s="839">
        <v>2</v>
      </c>
      <c r="H181" s="840" t="s">
        <v>9426</v>
      </c>
      <c r="I181" s="851">
        <v>6831715.2940761298</v>
      </c>
    </row>
    <row r="182" spans="1:9">
      <c r="A182" s="1053" t="s">
        <v>189</v>
      </c>
      <c r="B182" s="1054"/>
      <c r="C182" s="1054"/>
      <c r="D182" s="1054"/>
      <c r="E182" s="1054"/>
      <c r="F182" s="521">
        <f>SUM(F177:F181)</f>
        <v>302683630.39353758</v>
      </c>
      <c r="G182" s="570"/>
      <c r="H182" s="570"/>
      <c r="I182" s="852">
        <f>SUM(I177:I181)</f>
        <v>302683630.39353758</v>
      </c>
    </row>
    <row r="183" spans="1:9">
      <c r="A183" s="1053" t="s">
        <v>2784</v>
      </c>
      <c r="B183" s="1054"/>
      <c r="C183" s="1054"/>
      <c r="D183" s="1054"/>
      <c r="E183" s="1054"/>
      <c r="F183" s="1054"/>
      <c r="G183" s="1054"/>
      <c r="H183" s="1054"/>
      <c r="I183" s="1055"/>
    </row>
    <row r="184" spans="1:9" ht="63.75">
      <c r="A184" s="850" t="s">
        <v>2505</v>
      </c>
      <c r="B184" s="839" t="s">
        <v>1707</v>
      </c>
      <c r="C184" s="839" t="s">
        <v>2953</v>
      </c>
      <c r="D184" s="839" t="s">
        <v>9306</v>
      </c>
      <c r="E184" s="840" t="s">
        <v>9427</v>
      </c>
      <c r="F184" s="841">
        <v>11708934.819929034</v>
      </c>
      <c r="G184" s="839">
        <v>1</v>
      </c>
      <c r="H184" s="840" t="s">
        <v>9428</v>
      </c>
      <c r="I184" s="851">
        <v>11708934.819929034</v>
      </c>
    </row>
    <row r="185" spans="1:9" ht="178.5">
      <c r="A185" s="850" t="s">
        <v>2525</v>
      </c>
      <c r="B185" s="839" t="s">
        <v>2525</v>
      </c>
      <c r="C185" s="839" t="s">
        <v>2953</v>
      </c>
      <c r="D185" s="839" t="s">
        <v>9306</v>
      </c>
      <c r="E185" s="840" t="s">
        <v>9431</v>
      </c>
      <c r="F185" s="841">
        <v>25243083.490721211</v>
      </c>
      <c r="G185" s="839">
        <v>1</v>
      </c>
      <c r="H185" s="840" t="s">
        <v>9432</v>
      </c>
      <c r="I185" s="851">
        <v>25243083.490721211</v>
      </c>
    </row>
    <row r="186" spans="1:9" ht="102">
      <c r="A186" s="850" t="s">
        <v>2595</v>
      </c>
      <c r="B186" s="839" t="s">
        <v>2900</v>
      </c>
      <c r="C186" s="839" t="s">
        <v>2953</v>
      </c>
      <c r="D186" s="839" t="s">
        <v>9433</v>
      </c>
      <c r="E186" s="840" t="s">
        <v>9434</v>
      </c>
      <c r="F186" s="841">
        <v>15329480.399724692</v>
      </c>
      <c r="G186" s="839">
        <v>2</v>
      </c>
      <c r="H186" s="840" t="s">
        <v>9435</v>
      </c>
      <c r="I186" s="851">
        <v>15329480.399724692</v>
      </c>
    </row>
    <row r="187" spans="1:9" ht="165.75">
      <c r="A187" s="850" t="s">
        <v>2525</v>
      </c>
      <c r="B187" s="839" t="s">
        <v>3213</v>
      </c>
      <c r="C187" s="839" t="s">
        <v>2953</v>
      </c>
      <c r="D187" s="839" t="s">
        <v>9306</v>
      </c>
      <c r="E187" s="840" t="s">
        <v>9441</v>
      </c>
      <c r="F187" s="841">
        <v>5220803.6835772647</v>
      </c>
      <c r="G187" s="839">
        <v>1</v>
      </c>
      <c r="H187" s="840" t="s">
        <v>9442</v>
      </c>
      <c r="I187" s="851">
        <v>5220803.6835772647</v>
      </c>
    </row>
    <row r="188" spans="1:9" ht="395.25">
      <c r="A188" s="850" t="s">
        <v>2595</v>
      </c>
      <c r="B188" s="839" t="s">
        <v>9443</v>
      </c>
      <c r="C188" s="839" t="s">
        <v>2953</v>
      </c>
      <c r="D188" s="839" t="s">
        <v>9296</v>
      </c>
      <c r="E188" s="840" t="s">
        <v>10016</v>
      </c>
      <c r="F188" s="841">
        <v>66403132.151648298</v>
      </c>
      <c r="G188" s="839">
        <v>2</v>
      </c>
      <c r="H188" s="840" t="s">
        <v>9444</v>
      </c>
      <c r="I188" s="851">
        <v>66403132.151648298</v>
      </c>
    </row>
    <row r="189" spans="1:9" ht="153">
      <c r="A189" s="850" t="s">
        <v>2595</v>
      </c>
      <c r="B189" s="839" t="s">
        <v>2196</v>
      </c>
      <c r="C189" s="839" t="s">
        <v>2953</v>
      </c>
      <c r="D189" s="839" t="s">
        <v>9296</v>
      </c>
      <c r="E189" s="840" t="s">
        <v>10017</v>
      </c>
      <c r="F189" s="841">
        <v>82565984.863164082</v>
      </c>
      <c r="G189" s="839">
        <v>2</v>
      </c>
      <c r="H189" s="840" t="s">
        <v>9445</v>
      </c>
      <c r="I189" s="851">
        <v>82565984.863164082</v>
      </c>
    </row>
    <row r="190" spans="1:9" ht="344.25">
      <c r="A190" s="850" t="s">
        <v>2595</v>
      </c>
      <c r="B190" s="839" t="s">
        <v>9450</v>
      </c>
      <c r="C190" s="839" t="s">
        <v>2953</v>
      </c>
      <c r="D190" s="839" t="s">
        <v>9296</v>
      </c>
      <c r="E190" s="840" t="s">
        <v>9451</v>
      </c>
      <c r="F190" s="841">
        <v>252148375.85381386</v>
      </c>
      <c r="G190" s="839">
        <v>2</v>
      </c>
      <c r="H190" s="840" t="s">
        <v>9452</v>
      </c>
      <c r="I190" s="851">
        <v>252148375.85381386</v>
      </c>
    </row>
    <row r="191" spans="1:9" ht="409.5">
      <c r="A191" s="850" t="s">
        <v>9699</v>
      </c>
      <c r="B191" s="839" t="s">
        <v>9700</v>
      </c>
      <c r="C191" s="839" t="s">
        <v>2254</v>
      </c>
      <c r="D191" s="839" t="s">
        <v>9701</v>
      </c>
      <c r="E191" s="840" t="s">
        <v>10018</v>
      </c>
      <c r="F191" s="841">
        <v>552125500.71467638</v>
      </c>
      <c r="G191" s="839">
        <v>1</v>
      </c>
      <c r="H191" s="840" t="s">
        <v>9702</v>
      </c>
      <c r="I191" s="851">
        <v>552125500.71467638</v>
      </c>
    </row>
    <row r="192" spans="1:9">
      <c r="A192" s="1053" t="s">
        <v>189</v>
      </c>
      <c r="B192" s="1054"/>
      <c r="C192" s="1054"/>
      <c r="D192" s="1054"/>
      <c r="E192" s="1054"/>
      <c r="F192" s="521">
        <f>SUM(F184:F191)</f>
        <v>1010745295.9772549</v>
      </c>
      <c r="G192" s="570"/>
      <c r="H192" s="570"/>
      <c r="I192" s="852">
        <f>SUM(I184:I191)</f>
        <v>1010745295.9772549</v>
      </c>
    </row>
    <row r="193" spans="1:9">
      <c r="A193" s="1053" t="s">
        <v>9990</v>
      </c>
      <c r="B193" s="1054"/>
      <c r="C193" s="1054"/>
      <c r="D193" s="1054"/>
      <c r="E193" s="1054"/>
      <c r="F193" s="1054"/>
      <c r="G193" s="1054"/>
      <c r="H193" s="1054"/>
      <c r="I193" s="1055"/>
    </row>
    <row r="194" spans="1:9" ht="127.5">
      <c r="A194" s="850" t="s">
        <v>9446</v>
      </c>
      <c r="B194" s="839" t="s">
        <v>9447</v>
      </c>
      <c r="C194" s="839" t="s">
        <v>2953</v>
      </c>
      <c r="D194" s="839" t="s">
        <v>9354</v>
      </c>
      <c r="E194" s="840" t="s">
        <v>9448</v>
      </c>
      <c r="F194" s="841">
        <v>33658570.948163532</v>
      </c>
      <c r="G194" s="839">
        <v>2</v>
      </c>
      <c r="H194" s="840" t="s">
        <v>9449</v>
      </c>
      <c r="I194" s="851">
        <v>33658570.948163532</v>
      </c>
    </row>
    <row r="195" spans="1:9" ht="409.5">
      <c r="A195" s="850" t="s">
        <v>9663</v>
      </c>
      <c r="B195" s="839" t="s">
        <v>9664</v>
      </c>
      <c r="C195" s="839" t="s">
        <v>2254</v>
      </c>
      <c r="D195" s="839" t="s">
        <v>9665</v>
      </c>
      <c r="E195" s="840" t="s">
        <v>9666</v>
      </c>
      <c r="F195" s="841">
        <v>10010000</v>
      </c>
      <c r="G195" s="839">
        <v>1</v>
      </c>
      <c r="H195" s="840" t="s">
        <v>9667</v>
      </c>
      <c r="I195" s="851">
        <v>10010000</v>
      </c>
    </row>
    <row r="196" spans="1:9">
      <c r="A196" s="1053" t="s">
        <v>189</v>
      </c>
      <c r="B196" s="1054"/>
      <c r="C196" s="1054"/>
      <c r="D196" s="1054"/>
      <c r="E196" s="1054"/>
      <c r="F196" s="521">
        <f>SUM(F194:F195)</f>
        <v>43668570.948163532</v>
      </c>
      <c r="G196" s="570"/>
      <c r="H196" s="570"/>
      <c r="I196" s="852">
        <f>SUM(I194:I195)</f>
        <v>43668570.948163532</v>
      </c>
    </row>
    <row r="197" spans="1:9">
      <c r="A197" s="1053" t="s">
        <v>9988</v>
      </c>
      <c r="B197" s="1054"/>
      <c r="C197" s="1054"/>
      <c r="D197" s="1054"/>
      <c r="E197" s="1054"/>
      <c r="F197" s="1054"/>
      <c r="G197" s="1054"/>
      <c r="H197" s="1054"/>
      <c r="I197" s="1055"/>
    </row>
    <row r="198" spans="1:9" ht="153">
      <c r="A198" s="850" t="s">
        <v>938</v>
      </c>
      <c r="B198" s="839" t="s">
        <v>9454</v>
      </c>
      <c r="C198" s="839" t="s">
        <v>2953</v>
      </c>
      <c r="D198" s="839" t="s">
        <v>9306</v>
      </c>
      <c r="E198" s="840" t="s">
        <v>9455</v>
      </c>
      <c r="F198" s="841">
        <v>11265883.904944127</v>
      </c>
      <c r="G198" s="839">
        <v>1</v>
      </c>
      <c r="H198" s="840" t="s">
        <v>9456</v>
      </c>
      <c r="I198" s="851">
        <v>11265883.904944127</v>
      </c>
    </row>
    <row r="199" spans="1:9">
      <c r="A199" s="1053" t="s">
        <v>189</v>
      </c>
      <c r="B199" s="1054"/>
      <c r="C199" s="1054"/>
      <c r="D199" s="1054"/>
      <c r="E199" s="1054"/>
      <c r="F199" s="521">
        <f>SUM(F198)</f>
        <v>11265883.904944127</v>
      </c>
      <c r="G199" s="570"/>
      <c r="H199" s="570"/>
      <c r="I199" s="852">
        <f>SUM(I198)</f>
        <v>11265883.904944127</v>
      </c>
    </row>
    <row r="200" spans="1:9">
      <c r="A200" s="1053" t="s">
        <v>1261</v>
      </c>
      <c r="B200" s="1054"/>
      <c r="C200" s="1054"/>
      <c r="D200" s="1054"/>
      <c r="E200" s="1054"/>
      <c r="F200" s="1054"/>
      <c r="G200" s="1054"/>
      <c r="H200" s="1054"/>
      <c r="I200" s="1055"/>
    </row>
    <row r="201" spans="1:9" ht="178.5">
      <c r="A201" s="850" t="s">
        <v>1266</v>
      </c>
      <c r="B201" s="839" t="s">
        <v>9457</v>
      </c>
      <c r="C201" s="839" t="s">
        <v>9364</v>
      </c>
      <c r="D201" s="839" t="s">
        <v>9364</v>
      </c>
      <c r="E201" s="840" t="s">
        <v>9458</v>
      </c>
      <c r="F201" s="841">
        <v>986206.93599999999</v>
      </c>
      <c r="G201" s="839">
        <v>3</v>
      </c>
      <c r="H201" s="840" t="s">
        <v>9459</v>
      </c>
      <c r="I201" s="851">
        <v>986206.93599999999</v>
      </c>
    </row>
    <row r="202" spans="1:9" ht="76.5">
      <c r="A202" s="850" t="s">
        <v>1262</v>
      </c>
      <c r="B202" s="839" t="s">
        <v>1000</v>
      </c>
      <c r="C202" s="839" t="s">
        <v>9364</v>
      </c>
      <c r="D202" s="839" t="s">
        <v>9468</v>
      </c>
      <c r="E202" s="840" t="s">
        <v>9469</v>
      </c>
      <c r="F202" s="841">
        <v>1183445.1200000001</v>
      </c>
      <c r="G202" s="839">
        <v>3</v>
      </c>
      <c r="H202" s="840" t="s">
        <v>9470</v>
      </c>
      <c r="I202" s="851">
        <v>1183445.1200000001</v>
      </c>
    </row>
    <row r="203" spans="1:9" ht="89.25">
      <c r="A203" s="850" t="s">
        <v>1075</v>
      </c>
      <c r="B203" s="839" t="s">
        <v>1088</v>
      </c>
      <c r="C203" s="839" t="s">
        <v>9364</v>
      </c>
      <c r="D203" s="839" t="s">
        <v>9354</v>
      </c>
      <c r="E203" s="840" t="s">
        <v>9499</v>
      </c>
      <c r="F203" s="841">
        <v>33501424.004608672</v>
      </c>
      <c r="G203" s="839">
        <v>2</v>
      </c>
      <c r="H203" s="840" t="s">
        <v>9500</v>
      </c>
      <c r="I203" s="851">
        <v>33501424.004608672</v>
      </c>
    </row>
    <row r="204" spans="1:9" ht="63.75">
      <c r="A204" s="850" t="s">
        <v>1268</v>
      </c>
      <c r="B204" s="839" t="s">
        <v>9501</v>
      </c>
      <c r="C204" s="839" t="s">
        <v>9364</v>
      </c>
      <c r="D204" s="839" t="s">
        <v>9306</v>
      </c>
      <c r="E204" s="840" t="s">
        <v>9502</v>
      </c>
      <c r="F204" s="841">
        <v>8206751.0151227741</v>
      </c>
      <c r="G204" s="839">
        <v>1</v>
      </c>
      <c r="H204" s="840" t="s">
        <v>9503</v>
      </c>
      <c r="I204" s="851">
        <v>8206751.0151227741</v>
      </c>
    </row>
    <row r="205" spans="1:9" ht="140.25">
      <c r="A205" s="850" t="s">
        <v>1075</v>
      </c>
      <c r="B205" s="839" t="s">
        <v>9504</v>
      </c>
      <c r="C205" s="839" t="s">
        <v>9364</v>
      </c>
      <c r="D205" s="839" t="s">
        <v>9306</v>
      </c>
      <c r="E205" s="840" t="s">
        <v>9505</v>
      </c>
      <c r="F205" s="841">
        <v>499464.68000000005</v>
      </c>
      <c r="G205" s="839">
        <v>1</v>
      </c>
      <c r="H205" s="840" t="s">
        <v>9506</v>
      </c>
      <c r="I205" s="851">
        <v>499464.68000000005</v>
      </c>
    </row>
    <row r="206" spans="1:9" ht="216.75">
      <c r="A206" s="850" t="s">
        <v>1268</v>
      </c>
      <c r="B206" s="839" t="s">
        <v>621</v>
      </c>
      <c r="C206" s="839" t="s">
        <v>9364</v>
      </c>
      <c r="D206" s="839" t="s">
        <v>9364</v>
      </c>
      <c r="E206" s="840" t="s">
        <v>10019</v>
      </c>
      <c r="F206" s="841">
        <v>2465520.2000000002</v>
      </c>
      <c r="G206" s="839">
        <v>3</v>
      </c>
      <c r="H206" s="840" t="s">
        <v>9507</v>
      </c>
      <c r="I206" s="851">
        <v>2465520.2000000002</v>
      </c>
    </row>
    <row r="207" spans="1:9" ht="102">
      <c r="A207" s="850" t="s">
        <v>1262</v>
      </c>
      <c r="B207" s="839" t="s">
        <v>1262</v>
      </c>
      <c r="C207" s="839" t="s">
        <v>9653</v>
      </c>
      <c r="D207" s="839" t="s">
        <v>9654</v>
      </c>
      <c r="E207" s="840" t="s">
        <v>9655</v>
      </c>
      <c r="F207" s="841">
        <v>40040000</v>
      </c>
      <c r="G207" s="839">
        <v>1</v>
      </c>
      <c r="H207" s="840" t="s">
        <v>9656</v>
      </c>
      <c r="I207" s="851">
        <v>40040000</v>
      </c>
    </row>
    <row r="208" spans="1:9">
      <c r="A208" s="1053" t="s">
        <v>189</v>
      </c>
      <c r="B208" s="1054"/>
      <c r="C208" s="1054"/>
      <c r="D208" s="1054"/>
      <c r="E208" s="1054"/>
      <c r="F208" s="521">
        <f>SUM(F201:F207)</f>
        <v>86882811.955731452</v>
      </c>
      <c r="G208" s="570"/>
      <c r="H208" s="570"/>
      <c r="I208" s="852">
        <f>SUM(I201:I207)</f>
        <v>86882811.955731452</v>
      </c>
    </row>
    <row r="209" spans="1:9">
      <c r="A209" s="1053" t="s">
        <v>9989</v>
      </c>
      <c r="B209" s="1054"/>
      <c r="C209" s="1054"/>
      <c r="D209" s="1054"/>
      <c r="E209" s="1054"/>
      <c r="F209" s="1054"/>
      <c r="G209" s="1054"/>
      <c r="H209" s="1054"/>
      <c r="I209" s="1055"/>
    </row>
    <row r="210" spans="1:9" ht="63.75">
      <c r="A210" s="850" t="s">
        <v>700</v>
      </c>
      <c r="B210" s="839" t="s">
        <v>9460</v>
      </c>
      <c r="C210" s="839" t="s">
        <v>2953</v>
      </c>
      <c r="D210" s="839" t="s">
        <v>9354</v>
      </c>
      <c r="E210" s="840" t="s">
        <v>9461</v>
      </c>
      <c r="F210" s="841">
        <v>34917854.399999999</v>
      </c>
      <c r="G210" s="839">
        <v>2</v>
      </c>
      <c r="H210" s="840" t="s">
        <v>9462</v>
      </c>
      <c r="I210" s="851">
        <v>34917854.399999999</v>
      </c>
    </row>
    <row r="211" spans="1:9">
      <c r="A211" s="1053" t="s">
        <v>189</v>
      </c>
      <c r="B211" s="1054"/>
      <c r="C211" s="1054"/>
      <c r="D211" s="1054"/>
      <c r="E211" s="1054"/>
      <c r="F211" s="521">
        <f>SUM(F210)</f>
        <v>34917854.399999999</v>
      </c>
      <c r="G211" s="570"/>
      <c r="H211" s="570"/>
      <c r="I211" s="852">
        <f>SUM(I210)</f>
        <v>34917854.399999999</v>
      </c>
    </row>
    <row r="212" spans="1:9">
      <c r="A212" s="1053" t="s">
        <v>1482</v>
      </c>
      <c r="B212" s="1054"/>
      <c r="C212" s="1054"/>
      <c r="D212" s="1054"/>
      <c r="E212" s="1054"/>
      <c r="F212" s="1054"/>
      <c r="G212" s="1054"/>
      <c r="H212" s="1054"/>
      <c r="I212" s="1055"/>
    </row>
    <row r="213" spans="1:9" ht="255">
      <c r="A213" s="850" t="s">
        <v>1484</v>
      </c>
      <c r="B213" s="839" t="s">
        <v>2601</v>
      </c>
      <c r="C213" s="839" t="s">
        <v>9364</v>
      </c>
      <c r="D213" s="839" t="s">
        <v>9364</v>
      </c>
      <c r="E213" s="840" t="s">
        <v>9466</v>
      </c>
      <c r="F213" s="841">
        <v>6346531.6199999992</v>
      </c>
      <c r="G213" s="839">
        <v>3</v>
      </c>
      <c r="H213" s="840" t="s">
        <v>9467</v>
      </c>
      <c r="I213" s="851">
        <v>6346531.6199999992</v>
      </c>
    </row>
    <row r="214" spans="1:9">
      <c r="A214" s="1053" t="s">
        <v>189</v>
      </c>
      <c r="B214" s="1054"/>
      <c r="C214" s="1054"/>
      <c r="D214" s="1054"/>
      <c r="E214" s="1054"/>
      <c r="F214" s="521">
        <f>SUM(F213)</f>
        <v>6346531.6199999992</v>
      </c>
      <c r="G214" s="570"/>
      <c r="H214" s="570"/>
      <c r="I214" s="852">
        <f>SUM(I213)</f>
        <v>6346531.6199999992</v>
      </c>
    </row>
    <row r="215" spans="1:9">
      <c r="A215" s="1053" t="s">
        <v>9991</v>
      </c>
      <c r="B215" s="1054"/>
      <c r="C215" s="1054"/>
      <c r="D215" s="1054"/>
      <c r="E215" s="1054"/>
      <c r="F215" s="1054"/>
      <c r="G215" s="1054"/>
      <c r="H215" s="1054"/>
      <c r="I215" s="1055"/>
    </row>
    <row r="216" spans="1:9" ht="191.25">
      <c r="A216" s="850" t="s">
        <v>8757</v>
      </c>
      <c r="B216" s="839" t="s">
        <v>9476</v>
      </c>
      <c r="C216" s="839" t="s">
        <v>2953</v>
      </c>
      <c r="D216" s="839" t="s">
        <v>9296</v>
      </c>
      <c r="E216" s="840" t="s">
        <v>9477</v>
      </c>
      <c r="F216" s="841">
        <v>99910155.253730536</v>
      </c>
      <c r="G216" s="839">
        <v>2</v>
      </c>
      <c r="H216" s="840" t="s">
        <v>9478</v>
      </c>
      <c r="I216" s="851">
        <v>99910155.253730536</v>
      </c>
    </row>
    <row r="217" spans="1:9" ht="306">
      <c r="A217" s="850" t="s">
        <v>9571</v>
      </c>
      <c r="B217" s="839" t="s">
        <v>1754</v>
      </c>
      <c r="C217" s="839" t="s">
        <v>2953</v>
      </c>
      <c r="D217" s="839" t="s">
        <v>9306</v>
      </c>
      <c r="E217" s="840" t="s">
        <v>9572</v>
      </c>
      <c r="F217" s="841">
        <v>5468320</v>
      </c>
      <c r="G217" s="839">
        <v>1</v>
      </c>
      <c r="H217" s="840" t="s">
        <v>9573</v>
      </c>
      <c r="I217" s="851">
        <v>5468320</v>
      </c>
    </row>
    <row r="218" spans="1:9" ht="114.75">
      <c r="A218" s="850" t="s">
        <v>59</v>
      </c>
      <c r="B218" s="839" t="s">
        <v>59</v>
      </c>
      <c r="C218" s="839" t="s">
        <v>2953</v>
      </c>
      <c r="D218" s="839" t="s">
        <v>9306</v>
      </c>
      <c r="E218" s="840" t="s">
        <v>9574</v>
      </c>
      <c r="F218" s="841">
        <v>19734000</v>
      </c>
      <c r="G218" s="839">
        <v>1</v>
      </c>
      <c r="H218" s="840" t="s">
        <v>9575</v>
      </c>
      <c r="I218" s="851">
        <v>19734000</v>
      </c>
    </row>
    <row r="219" spans="1:9" ht="242.25">
      <c r="A219" s="850" t="s">
        <v>3761</v>
      </c>
      <c r="B219" s="839" t="s">
        <v>9764</v>
      </c>
      <c r="C219" s="839" t="s">
        <v>9765</v>
      </c>
      <c r="D219" s="839" t="s">
        <v>9766</v>
      </c>
      <c r="E219" s="840" t="s">
        <v>10020</v>
      </c>
      <c r="F219" s="841">
        <v>85800000</v>
      </c>
      <c r="G219" s="839">
        <v>1</v>
      </c>
      <c r="H219" s="840" t="s">
        <v>9767</v>
      </c>
      <c r="I219" s="851">
        <v>85800000</v>
      </c>
    </row>
    <row r="220" spans="1:9">
      <c r="A220" s="1053" t="s">
        <v>189</v>
      </c>
      <c r="B220" s="1054"/>
      <c r="C220" s="1054"/>
      <c r="D220" s="1054"/>
      <c r="E220" s="1054"/>
      <c r="F220" s="521">
        <f>SUM(F216:F219)</f>
        <v>210912475.25373054</v>
      </c>
      <c r="G220" s="570"/>
      <c r="H220" s="570"/>
      <c r="I220" s="852">
        <f>SUM(I216:I219)</f>
        <v>210912475.25373054</v>
      </c>
    </row>
    <row r="221" spans="1:9">
      <c r="A221" s="1053" t="s">
        <v>1785</v>
      </c>
      <c r="B221" s="1054"/>
      <c r="C221" s="1054"/>
      <c r="D221" s="1054"/>
      <c r="E221" s="1054"/>
      <c r="F221" s="1054"/>
      <c r="G221" s="1054"/>
      <c r="H221" s="1054"/>
      <c r="I221" s="1055"/>
    </row>
    <row r="222" spans="1:9" ht="89.25">
      <c r="A222" s="850" t="s">
        <v>82</v>
      </c>
      <c r="B222" s="839" t="s">
        <v>9489</v>
      </c>
      <c r="C222" s="839" t="s">
        <v>9364</v>
      </c>
      <c r="D222" s="839" t="s">
        <v>9354</v>
      </c>
      <c r="E222" s="840" t="s">
        <v>9490</v>
      </c>
      <c r="F222" s="841">
        <v>55531596.421186261</v>
      </c>
      <c r="G222" s="839">
        <v>2</v>
      </c>
      <c r="H222" s="840" t="s">
        <v>9491</v>
      </c>
      <c r="I222" s="851">
        <v>55531596.421186261</v>
      </c>
    </row>
    <row r="223" spans="1:9">
      <c r="A223" s="1053" t="s">
        <v>189</v>
      </c>
      <c r="B223" s="1054"/>
      <c r="C223" s="1054"/>
      <c r="D223" s="1054"/>
      <c r="E223" s="1054"/>
      <c r="F223" s="521">
        <f>SUM(F222)</f>
        <v>55531596.421186261</v>
      </c>
      <c r="G223" s="570"/>
      <c r="H223" s="570"/>
      <c r="I223" s="852">
        <f>SUM(I222)</f>
        <v>55531596.421186261</v>
      </c>
    </row>
    <row r="224" spans="1:9">
      <c r="A224" s="1053" t="s">
        <v>9992</v>
      </c>
      <c r="B224" s="1054"/>
      <c r="C224" s="1054"/>
      <c r="D224" s="1054"/>
      <c r="E224" s="1054"/>
      <c r="F224" s="1054"/>
      <c r="G224" s="1054"/>
      <c r="H224" s="1054"/>
      <c r="I224" s="1055"/>
    </row>
    <row r="225" spans="1:9" ht="114.75">
      <c r="A225" s="850" t="s">
        <v>7738</v>
      </c>
      <c r="B225" s="839" t="s">
        <v>9580</v>
      </c>
      <c r="C225" s="839" t="s">
        <v>2953</v>
      </c>
      <c r="D225" s="839" t="s">
        <v>9581</v>
      </c>
      <c r="E225" s="840" t="s">
        <v>9582</v>
      </c>
      <c r="F225" s="841">
        <v>6864000</v>
      </c>
      <c r="G225" s="839">
        <v>2</v>
      </c>
      <c r="H225" s="840" t="s">
        <v>9583</v>
      </c>
      <c r="I225" s="851">
        <v>6864000</v>
      </c>
    </row>
    <row r="226" spans="1:9" ht="178.5">
      <c r="A226" s="850" t="s">
        <v>3907</v>
      </c>
      <c r="B226" s="839" t="s">
        <v>9584</v>
      </c>
      <c r="C226" s="839" t="s">
        <v>2953</v>
      </c>
      <c r="D226" s="839" t="s">
        <v>9306</v>
      </c>
      <c r="E226" s="840" t="s">
        <v>9585</v>
      </c>
      <c r="F226" s="841">
        <v>8751600</v>
      </c>
      <c r="G226" s="839">
        <v>1</v>
      </c>
      <c r="H226" s="840" t="s">
        <v>9586</v>
      </c>
      <c r="I226" s="851">
        <v>8751600</v>
      </c>
    </row>
    <row r="227" spans="1:9" ht="89.25">
      <c r="A227" s="850" t="s">
        <v>7738</v>
      </c>
      <c r="B227" s="839" t="s">
        <v>9587</v>
      </c>
      <c r="C227" s="839" t="s">
        <v>2953</v>
      </c>
      <c r="D227" s="839" t="s">
        <v>9296</v>
      </c>
      <c r="E227" s="840" t="s">
        <v>9588</v>
      </c>
      <c r="F227" s="841">
        <v>2173600</v>
      </c>
      <c r="G227" s="839">
        <v>2</v>
      </c>
      <c r="H227" s="840" t="s">
        <v>9589</v>
      </c>
      <c r="I227" s="851">
        <v>2173600</v>
      </c>
    </row>
    <row r="228" spans="1:9">
      <c r="A228" s="1053" t="s">
        <v>189</v>
      </c>
      <c r="B228" s="1054"/>
      <c r="C228" s="1054"/>
      <c r="D228" s="1054"/>
      <c r="E228" s="1054"/>
      <c r="F228" s="521">
        <f>SUM(F225:F227)</f>
        <v>17789200</v>
      </c>
      <c r="G228" s="570"/>
      <c r="H228" s="570"/>
      <c r="I228" s="852">
        <f>SUM(I225:I227)</f>
        <v>17789200</v>
      </c>
    </row>
    <row r="229" spans="1:9">
      <c r="A229" s="1053" t="s">
        <v>1637</v>
      </c>
      <c r="B229" s="1054"/>
      <c r="C229" s="1054"/>
      <c r="D229" s="1054"/>
      <c r="E229" s="1054"/>
      <c r="F229" s="1054"/>
      <c r="G229" s="1054"/>
      <c r="H229" s="1054"/>
      <c r="I229" s="1055"/>
    </row>
    <row r="230" spans="1:9" ht="114.75">
      <c r="A230" s="850" t="s">
        <v>3666</v>
      </c>
      <c r="B230" s="839" t="s">
        <v>2394</v>
      </c>
      <c r="C230" s="839" t="s">
        <v>9602</v>
      </c>
      <c r="D230" s="839" t="s">
        <v>9603</v>
      </c>
      <c r="E230" s="840" t="s">
        <v>9604</v>
      </c>
      <c r="F230" s="841">
        <v>1144000000</v>
      </c>
      <c r="G230" s="839">
        <v>2</v>
      </c>
      <c r="H230" s="840" t="s">
        <v>9605</v>
      </c>
      <c r="I230" s="851">
        <v>1144000000</v>
      </c>
    </row>
    <row r="231" spans="1:9">
      <c r="A231" s="1053" t="s">
        <v>189</v>
      </c>
      <c r="B231" s="1054"/>
      <c r="C231" s="1054"/>
      <c r="D231" s="1054"/>
      <c r="E231" s="1054"/>
      <c r="F231" s="521">
        <f>SUM(F230)</f>
        <v>1144000000</v>
      </c>
      <c r="G231" s="570"/>
      <c r="H231" s="570"/>
      <c r="I231" s="852">
        <f>SUM(I230)</f>
        <v>1144000000</v>
      </c>
    </row>
    <row r="232" spans="1:9">
      <c r="A232" s="1053" t="s">
        <v>9993</v>
      </c>
      <c r="B232" s="1054"/>
      <c r="C232" s="1054"/>
      <c r="D232" s="1054"/>
      <c r="E232" s="1054"/>
      <c r="F232" s="1054"/>
      <c r="G232" s="1054"/>
      <c r="H232" s="1054"/>
      <c r="I232" s="1055"/>
    </row>
    <row r="233" spans="1:9" ht="409.5">
      <c r="A233" s="850" t="s">
        <v>3666</v>
      </c>
      <c r="B233" s="839" t="s">
        <v>9606</v>
      </c>
      <c r="C233" s="839" t="s">
        <v>2254</v>
      </c>
      <c r="D233" s="839" t="s">
        <v>9607</v>
      </c>
      <c r="E233" s="840" t="s">
        <v>10021</v>
      </c>
      <c r="F233" s="841">
        <v>231660000</v>
      </c>
      <c r="G233" s="839">
        <v>1</v>
      </c>
      <c r="H233" s="840" t="s">
        <v>9608</v>
      </c>
      <c r="I233" s="851">
        <v>231660000</v>
      </c>
    </row>
    <row r="234" spans="1:9" ht="102">
      <c r="A234" s="850" t="s">
        <v>3666</v>
      </c>
      <c r="B234" s="839" t="s">
        <v>9635</v>
      </c>
      <c r="C234" s="839" t="s">
        <v>2953</v>
      </c>
      <c r="D234" s="839" t="s">
        <v>9636</v>
      </c>
      <c r="E234" s="840" t="s">
        <v>9637</v>
      </c>
      <c r="F234" s="841">
        <v>57200000</v>
      </c>
      <c r="G234" s="839">
        <v>1</v>
      </c>
      <c r="H234" s="840" t="s">
        <v>9638</v>
      </c>
      <c r="I234" s="851">
        <v>57200000</v>
      </c>
    </row>
    <row r="235" spans="1:9" ht="114.75">
      <c r="A235" s="850" t="s">
        <v>3666</v>
      </c>
      <c r="B235" s="839" t="s">
        <v>9639</v>
      </c>
      <c r="C235" s="839" t="s">
        <v>2953</v>
      </c>
      <c r="D235" s="839" t="s">
        <v>9640</v>
      </c>
      <c r="E235" s="840" t="s">
        <v>9641</v>
      </c>
      <c r="F235" s="841">
        <v>11440000</v>
      </c>
      <c r="G235" s="839">
        <v>1</v>
      </c>
      <c r="H235" s="840" t="s">
        <v>9642</v>
      </c>
      <c r="I235" s="851">
        <v>11440000</v>
      </c>
    </row>
    <row r="236" spans="1:9">
      <c r="A236" s="1053" t="s">
        <v>189</v>
      </c>
      <c r="B236" s="1054"/>
      <c r="C236" s="1054"/>
      <c r="D236" s="1054"/>
      <c r="E236" s="1054"/>
      <c r="F236" s="521">
        <f>SUM(F233:F235)</f>
        <v>300300000</v>
      </c>
      <c r="G236" s="570"/>
      <c r="H236" s="570"/>
      <c r="I236" s="852">
        <f>SUM(I233:I235)</f>
        <v>300300000</v>
      </c>
    </row>
    <row r="237" spans="1:9" ht="15" customHeight="1">
      <c r="A237" s="1053" t="s">
        <v>9994</v>
      </c>
      <c r="B237" s="1054"/>
      <c r="C237" s="1054"/>
      <c r="D237" s="1054"/>
      <c r="E237" s="1054"/>
      <c r="F237" s="1054"/>
      <c r="G237" s="1054"/>
      <c r="H237" s="1054"/>
      <c r="I237" s="1055"/>
    </row>
    <row r="238" spans="1:9" ht="216.75">
      <c r="A238" s="850" t="s">
        <v>1658</v>
      </c>
      <c r="B238" s="839" t="s">
        <v>9609</v>
      </c>
      <c r="C238" s="839" t="s">
        <v>2953</v>
      </c>
      <c r="D238" s="839" t="s">
        <v>9610</v>
      </c>
      <c r="E238" s="840" t="s">
        <v>9611</v>
      </c>
      <c r="F238" s="841">
        <v>57200000</v>
      </c>
      <c r="G238" s="839">
        <v>1</v>
      </c>
      <c r="H238" s="840" t="s">
        <v>9612</v>
      </c>
      <c r="I238" s="851">
        <v>57200000</v>
      </c>
    </row>
    <row r="239" spans="1:9" ht="140.25">
      <c r="A239" s="850" t="s">
        <v>1658</v>
      </c>
      <c r="B239" s="839" t="s">
        <v>3848</v>
      </c>
      <c r="C239" s="839" t="s">
        <v>2254</v>
      </c>
      <c r="D239" s="839" t="s">
        <v>9613</v>
      </c>
      <c r="E239" s="840" t="s">
        <v>9614</v>
      </c>
      <c r="F239" s="841">
        <v>85800000</v>
      </c>
      <c r="G239" s="839">
        <v>1</v>
      </c>
      <c r="H239" s="840" t="s">
        <v>9615</v>
      </c>
      <c r="I239" s="851">
        <v>85800000</v>
      </c>
    </row>
    <row r="240" spans="1:9">
      <c r="A240" s="1053" t="s">
        <v>189</v>
      </c>
      <c r="B240" s="1054"/>
      <c r="C240" s="1054"/>
      <c r="D240" s="1054"/>
      <c r="E240" s="1054"/>
      <c r="F240" s="521">
        <f>SUM(F238:F239)</f>
        <v>143000000</v>
      </c>
      <c r="G240" s="570"/>
      <c r="H240" s="570"/>
      <c r="I240" s="852">
        <f>SUM(I238:I239)</f>
        <v>143000000</v>
      </c>
    </row>
    <row r="241" spans="1:9">
      <c r="A241" s="1053" t="s">
        <v>2292</v>
      </c>
      <c r="B241" s="1054"/>
      <c r="C241" s="1054"/>
      <c r="D241" s="1054"/>
      <c r="E241" s="1054"/>
      <c r="F241" s="1054"/>
      <c r="G241" s="1054"/>
      <c r="H241" s="1054"/>
      <c r="I241" s="1055"/>
    </row>
    <row r="242" spans="1:9" ht="178.5">
      <c r="A242" s="850" t="s">
        <v>5038</v>
      </c>
      <c r="B242" s="839" t="s">
        <v>2525</v>
      </c>
      <c r="C242" s="839" t="s">
        <v>2254</v>
      </c>
      <c r="D242" s="839" t="s">
        <v>9616</v>
      </c>
      <c r="E242" s="840" t="s">
        <v>9617</v>
      </c>
      <c r="F242" s="841">
        <v>97240000</v>
      </c>
      <c r="G242" s="839">
        <v>1</v>
      </c>
      <c r="H242" s="840" t="s">
        <v>9618</v>
      </c>
      <c r="I242" s="851">
        <v>97240000</v>
      </c>
    </row>
    <row r="243" spans="1:9">
      <c r="A243" s="1053" t="s">
        <v>189</v>
      </c>
      <c r="B243" s="1054"/>
      <c r="C243" s="1054"/>
      <c r="D243" s="1054"/>
      <c r="E243" s="1054"/>
      <c r="F243" s="521">
        <f>SUM(F242)</f>
        <v>97240000</v>
      </c>
      <c r="G243" s="570"/>
      <c r="H243" s="570"/>
      <c r="I243" s="852">
        <f>SUM(I242)</f>
        <v>97240000</v>
      </c>
    </row>
    <row r="244" spans="1:9">
      <c r="A244" s="1053" t="s">
        <v>9995</v>
      </c>
      <c r="B244" s="1054"/>
      <c r="C244" s="1054"/>
      <c r="D244" s="1054"/>
      <c r="E244" s="1054"/>
      <c r="F244" s="1054"/>
      <c r="G244" s="1054"/>
      <c r="H244" s="1054"/>
      <c r="I244" s="1055"/>
    </row>
    <row r="245" spans="1:9" ht="267.75">
      <c r="A245" s="850" t="s">
        <v>3666</v>
      </c>
      <c r="B245" s="839" t="s">
        <v>9619</v>
      </c>
      <c r="C245" s="839" t="s">
        <v>2254</v>
      </c>
      <c r="D245" s="839" t="s">
        <v>9620</v>
      </c>
      <c r="E245" s="840" t="s">
        <v>9621</v>
      </c>
      <c r="F245" s="841">
        <v>197340000</v>
      </c>
      <c r="G245" s="839">
        <v>2</v>
      </c>
      <c r="H245" s="840" t="s">
        <v>9622</v>
      </c>
      <c r="I245" s="851">
        <v>197340000</v>
      </c>
    </row>
    <row r="246" spans="1:9">
      <c r="A246" s="1053" t="s">
        <v>189</v>
      </c>
      <c r="B246" s="1054"/>
      <c r="C246" s="1054"/>
      <c r="D246" s="1054"/>
      <c r="E246" s="1054"/>
      <c r="F246" s="521">
        <f>SUM(F245)</f>
        <v>197340000</v>
      </c>
      <c r="G246" s="570"/>
      <c r="H246" s="570"/>
      <c r="I246" s="852">
        <f>SUM(I245)</f>
        <v>197340000</v>
      </c>
    </row>
    <row r="247" spans="1:9">
      <c r="A247" s="1053" t="s">
        <v>2406</v>
      </c>
      <c r="B247" s="1054"/>
      <c r="C247" s="1054"/>
      <c r="D247" s="1054"/>
      <c r="E247" s="1054"/>
      <c r="F247" s="1054"/>
      <c r="G247" s="1054"/>
      <c r="H247" s="1054"/>
      <c r="I247" s="1055"/>
    </row>
    <row r="248" spans="1:9" ht="191.25">
      <c r="A248" s="850" t="s">
        <v>4335</v>
      </c>
      <c r="B248" s="839" t="s">
        <v>9631</v>
      </c>
      <c r="C248" s="839" t="s">
        <v>2254</v>
      </c>
      <c r="D248" s="839" t="s">
        <v>9632</v>
      </c>
      <c r="E248" s="840" t="s">
        <v>9633</v>
      </c>
      <c r="F248" s="841">
        <v>28600000</v>
      </c>
      <c r="G248" s="839">
        <v>1</v>
      </c>
      <c r="H248" s="840" t="s">
        <v>9634</v>
      </c>
      <c r="I248" s="851">
        <v>28600000</v>
      </c>
    </row>
    <row r="249" spans="1:9">
      <c r="A249" s="1053" t="s">
        <v>189</v>
      </c>
      <c r="B249" s="1054"/>
      <c r="C249" s="1054"/>
      <c r="D249" s="1054"/>
      <c r="E249" s="1054"/>
      <c r="F249" s="521">
        <f>SUM(F248)</f>
        <v>28600000</v>
      </c>
      <c r="G249" s="570"/>
      <c r="H249" s="570"/>
      <c r="I249" s="852">
        <f>SUM(I248)</f>
        <v>28600000</v>
      </c>
    </row>
    <row r="250" spans="1:9">
      <c r="A250" s="1053" t="s">
        <v>1921</v>
      </c>
      <c r="B250" s="1054"/>
      <c r="C250" s="1054"/>
      <c r="D250" s="1054"/>
      <c r="E250" s="1054"/>
      <c r="F250" s="1054"/>
      <c r="G250" s="1054"/>
      <c r="H250" s="1054"/>
      <c r="I250" s="1055"/>
    </row>
    <row r="251" spans="1:9" ht="409.5">
      <c r="A251" s="850" t="s">
        <v>9668</v>
      </c>
      <c r="B251" s="839" t="s">
        <v>9669</v>
      </c>
      <c r="C251" s="839" t="s">
        <v>9670</v>
      </c>
      <c r="D251" s="839" t="s">
        <v>9671</v>
      </c>
      <c r="E251" s="840" t="s">
        <v>9672</v>
      </c>
      <c r="F251" s="841">
        <v>45421659.108154364</v>
      </c>
      <c r="G251" s="839">
        <v>1</v>
      </c>
      <c r="H251" s="840" t="s">
        <v>9673</v>
      </c>
      <c r="I251" s="851">
        <v>45421659.108154364</v>
      </c>
    </row>
    <row r="252" spans="1:9" ht="293.25">
      <c r="A252" s="850" t="s">
        <v>3666</v>
      </c>
      <c r="B252" s="839" t="s">
        <v>9674</v>
      </c>
      <c r="C252" s="839" t="s">
        <v>9675</v>
      </c>
      <c r="D252" s="839" t="s">
        <v>9676</v>
      </c>
      <c r="E252" s="840" t="s">
        <v>9677</v>
      </c>
      <c r="F252" s="841">
        <v>76648000</v>
      </c>
      <c r="G252" s="839">
        <v>1</v>
      </c>
      <c r="H252" s="840" t="s">
        <v>9678</v>
      </c>
      <c r="I252" s="851">
        <v>76648000</v>
      </c>
    </row>
    <row r="253" spans="1:9" ht="409.5">
      <c r="A253" s="850" t="s">
        <v>3666</v>
      </c>
      <c r="B253" s="839" t="s">
        <v>9679</v>
      </c>
      <c r="C253" s="839" t="s">
        <v>9675</v>
      </c>
      <c r="D253" s="839" t="s">
        <v>9680</v>
      </c>
      <c r="E253" s="840" t="s">
        <v>9681</v>
      </c>
      <c r="F253" s="841">
        <v>80080000</v>
      </c>
      <c r="G253" s="839">
        <v>1</v>
      </c>
      <c r="H253" s="840" t="s">
        <v>9682</v>
      </c>
      <c r="I253" s="851">
        <v>80080000</v>
      </c>
    </row>
    <row r="254" spans="1:9" ht="153">
      <c r="A254" s="850" t="s">
        <v>3666</v>
      </c>
      <c r="B254" s="839" t="s">
        <v>9683</v>
      </c>
      <c r="C254" s="839" t="s">
        <v>9675</v>
      </c>
      <c r="D254" s="839" t="s">
        <v>9684</v>
      </c>
      <c r="E254" s="840" t="s">
        <v>9685</v>
      </c>
      <c r="F254" s="841">
        <v>48323598.440064229</v>
      </c>
      <c r="G254" s="839">
        <v>1</v>
      </c>
      <c r="H254" s="840" t="s">
        <v>9686</v>
      </c>
      <c r="I254" s="851">
        <v>48323598.440064229</v>
      </c>
    </row>
    <row r="255" spans="1:9" ht="140.25">
      <c r="A255" s="850" t="s">
        <v>3666</v>
      </c>
      <c r="B255" s="839" t="s">
        <v>9687</v>
      </c>
      <c r="C255" s="839" t="s">
        <v>9675</v>
      </c>
      <c r="D255" s="839" t="s">
        <v>9688</v>
      </c>
      <c r="E255" s="840" t="s">
        <v>9689</v>
      </c>
      <c r="F255" s="841">
        <v>102960000</v>
      </c>
      <c r="G255" s="839">
        <v>1</v>
      </c>
      <c r="H255" s="840" t="s">
        <v>9690</v>
      </c>
      <c r="I255" s="851">
        <v>102960000</v>
      </c>
    </row>
    <row r="256" spans="1:9" ht="409.5">
      <c r="A256" s="850" t="s">
        <v>2377</v>
      </c>
      <c r="B256" s="839" t="s">
        <v>9691</v>
      </c>
      <c r="C256" s="839" t="s">
        <v>9675</v>
      </c>
      <c r="D256" s="839" t="s">
        <v>9692</v>
      </c>
      <c r="E256" s="840" t="s">
        <v>9693</v>
      </c>
      <c r="F256" s="841">
        <v>178635600</v>
      </c>
      <c r="G256" s="839">
        <v>1</v>
      </c>
      <c r="H256" s="840" t="s">
        <v>9694</v>
      </c>
      <c r="I256" s="851">
        <v>178635600</v>
      </c>
    </row>
    <row r="257" spans="1:9">
      <c r="A257" s="1053" t="s">
        <v>189</v>
      </c>
      <c r="B257" s="1054"/>
      <c r="C257" s="1054"/>
      <c r="D257" s="1054"/>
      <c r="E257" s="1054"/>
      <c r="F257" s="521">
        <f>SUM(F251:F256)</f>
        <v>532068857.54821861</v>
      </c>
      <c r="G257" s="570"/>
      <c r="H257" s="570"/>
      <c r="I257" s="852">
        <f>SUM(I251:I256)</f>
        <v>532068857.54821861</v>
      </c>
    </row>
    <row r="258" spans="1:9" ht="15" customHeight="1">
      <c r="A258" s="1053" t="s">
        <v>9797</v>
      </c>
      <c r="B258" s="1054"/>
      <c r="C258" s="1054"/>
      <c r="D258" s="1054"/>
      <c r="E258" s="1054"/>
      <c r="F258" s="1054"/>
      <c r="G258" s="1054"/>
      <c r="H258" s="1054"/>
      <c r="I258" s="1055"/>
    </row>
    <row r="259" spans="1:9" ht="409.5">
      <c r="A259" s="850" t="s">
        <v>4347</v>
      </c>
      <c r="B259" s="839" t="s">
        <v>9695</v>
      </c>
      <c r="C259" s="839" t="s">
        <v>9675</v>
      </c>
      <c r="D259" s="839" t="s">
        <v>9696</v>
      </c>
      <c r="E259" s="840" t="s">
        <v>9697</v>
      </c>
      <c r="F259" s="841">
        <v>57534101.53699553</v>
      </c>
      <c r="G259" s="839">
        <v>1</v>
      </c>
      <c r="H259" s="840" t="s">
        <v>9698</v>
      </c>
      <c r="I259" s="851">
        <v>57534101.53699553</v>
      </c>
    </row>
    <row r="260" spans="1:9">
      <c r="A260" s="1053" t="s">
        <v>189</v>
      </c>
      <c r="B260" s="1054"/>
      <c r="C260" s="1054"/>
      <c r="D260" s="1054"/>
      <c r="E260" s="1054"/>
      <c r="F260" s="521">
        <f>SUM(F259)</f>
        <v>57534101.53699553</v>
      </c>
      <c r="G260" s="570"/>
      <c r="H260" s="570"/>
      <c r="I260" s="852">
        <f>SUM(I259)</f>
        <v>57534101.53699553</v>
      </c>
    </row>
    <row r="261" spans="1:9">
      <c r="A261" s="1053" t="s">
        <v>9996</v>
      </c>
      <c r="B261" s="1054"/>
      <c r="C261" s="1054"/>
      <c r="D261" s="1054"/>
      <c r="E261" s="1054"/>
      <c r="F261" s="1054"/>
      <c r="G261" s="1054"/>
      <c r="H261" s="1054"/>
      <c r="I261" s="1055"/>
    </row>
    <row r="262" spans="1:9" ht="102">
      <c r="A262" s="850" t="s">
        <v>8185</v>
      </c>
      <c r="B262" s="839" t="s">
        <v>8185</v>
      </c>
      <c r="C262" s="839" t="s">
        <v>9707</v>
      </c>
      <c r="D262" s="839" t="s">
        <v>9708</v>
      </c>
      <c r="E262" s="840" t="s">
        <v>9709</v>
      </c>
      <c r="F262" s="841">
        <v>24826516</v>
      </c>
      <c r="G262" s="839">
        <v>1</v>
      </c>
      <c r="H262" s="840" t="s">
        <v>9710</v>
      </c>
      <c r="I262" s="851">
        <v>24826516</v>
      </c>
    </row>
    <row r="263" spans="1:9" ht="102">
      <c r="A263" s="850" t="s">
        <v>8185</v>
      </c>
      <c r="B263" s="839" t="s">
        <v>8185</v>
      </c>
      <c r="C263" s="839" t="s">
        <v>9711</v>
      </c>
      <c r="D263" s="839" t="s">
        <v>9712</v>
      </c>
      <c r="E263" s="840" t="s">
        <v>9713</v>
      </c>
      <c r="F263" s="841">
        <v>4468750</v>
      </c>
      <c r="G263" s="839">
        <v>1</v>
      </c>
      <c r="H263" s="840" t="s">
        <v>9714</v>
      </c>
      <c r="I263" s="851">
        <v>4468750</v>
      </c>
    </row>
    <row r="264" spans="1:9">
      <c r="A264" s="1053" t="s">
        <v>189</v>
      </c>
      <c r="B264" s="1054"/>
      <c r="C264" s="1054"/>
      <c r="D264" s="1054"/>
      <c r="E264" s="1054"/>
      <c r="F264" s="521">
        <f>SUM(F262:F263)</f>
        <v>29295266</v>
      </c>
      <c r="G264" s="570"/>
      <c r="H264" s="570"/>
      <c r="I264" s="852">
        <f>SUM(I262:I263)</f>
        <v>29295266</v>
      </c>
    </row>
    <row r="265" spans="1:9">
      <c r="A265" s="1053" t="s">
        <v>9997</v>
      </c>
      <c r="B265" s="1054"/>
      <c r="C265" s="1054"/>
      <c r="D265" s="1054"/>
      <c r="E265" s="1054"/>
      <c r="F265" s="1054"/>
      <c r="G265" s="1054"/>
      <c r="H265" s="1054"/>
      <c r="I265" s="1055"/>
    </row>
    <row r="266" spans="1:9" ht="255">
      <c r="A266" s="850" t="s">
        <v>4056</v>
      </c>
      <c r="B266" s="839" t="s">
        <v>1764</v>
      </c>
      <c r="C266" s="839" t="s">
        <v>9715</v>
      </c>
      <c r="D266" s="839" t="s">
        <v>9716</v>
      </c>
      <c r="E266" s="840" t="s">
        <v>9717</v>
      </c>
      <c r="F266" s="841">
        <v>75790000</v>
      </c>
      <c r="G266" s="839">
        <v>1</v>
      </c>
      <c r="H266" s="840" t="s">
        <v>9718</v>
      </c>
      <c r="I266" s="851">
        <v>75790000</v>
      </c>
    </row>
    <row r="267" spans="1:9">
      <c r="A267" s="1053" t="s">
        <v>189</v>
      </c>
      <c r="B267" s="1054"/>
      <c r="C267" s="1054"/>
      <c r="D267" s="1054"/>
      <c r="E267" s="1054"/>
      <c r="F267" s="521">
        <f>SUM(F266)</f>
        <v>75790000</v>
      </c>
      <c r="G267" s="570"/>
      <c r="H267" s="570"/>
      <c r="I267" s="852">
        <f>SUM(I266)</f>
        <v>75790000</v>
      </c>
    </row>
    <row r="268" spans="1:9">
      <c r="A268" s="1053" t="s">
        <v>9998</v>
      </c>
      <c r="B268" s="1054"/>
      <c r="C268" s="1054"/>
      <c r="D268" s="1054"/>
      <c r="E268" s="1054"/>
      <c r="F268" s="1054"/>
      <c r="G268" s="1054"/>
      <c r="H268" s="1054"/>
      <c r="I268" s="1055"/>
    </row>
    <row r="269" spans="1:9" ht="191.25">
      <c r="A269" s="850" t="s">
        <v>8102</v>
      </c>
      <c r="B269" s="839" t="s">
        <v>8102</v>
      </c>
      <c r="C269" s="839" t="s">
        <v>9719</v>
      </c>
      <c r="D269" s="839" t="s">
        <v>9720</v>
      </c>
      <c r="E269" s="840" t="s">
        <v>9658</v>
      </c>
      <c r="F269" s="841">
        <v>25864696</v>
      </c>
      <c r="G269" s="839">
        <v>1</v>
      </c>
      <c r="H269" s="840" t="s">
        <v>9721</v>
      </c>
      <c r="I269" s="851">
        <v>25864696</v>
      </c>
    </row>
    <row r="270" spans="1:9">
      <c r="A270" s="1053" t="s">
        <v>189</v>
      </c>
      <c r="B270" s="1054"/>
      <c r="C270" s="1054"/>
      <c r="D270" s="1054"/>
      <c r="E270" s="1054"/>
      <c r="F270" s="521">
        <f>SUM(F269)</f>
        <v>25864696</v>
      </c>
      <c r="G270" s="570"/>
      <c r="H270" s="570"/>
      <c r="I270" s="852">
        <f>SUM(I269)</f>
        <v>25864696</v>
      </c>
    </row>
    <row r="271" spans="1:9">
      <c r="A271" s="1053" t="s">
        <v>9999</v>
      </c>
      <c r="B271" s="1054"/>
      <c r="C271" s="1054"/>
      <c r="D271" s="1054"/>
      <c r="E271" s="1054"/>
      <c r="F271" s="1054"/>
      <c r="G271" s="1054"/>
      <c r="H271" s="1054"/>
      <c r="I271" s="1055"/>
    </row>
    <row r="272" spans="1:9" ht="89.25">
      <c r="A272" s="850" t="s">
        <v>4867</v>
      </c>
      <c r="B272" s="839" t="s">
        <v>9722</v>
      </c>
      <c r="C272" s="839" t="s">
        <v>9723</v>
      </c>
      <c r="D272" s="839" t="s">
        <v>9724</v>
      </c>
      <c r="E272" s="840" t="s">
        <v>9725</v>
      </c>
      <c r="F272" s="841">
        <v>5148000</v>
      </c>
      <c r="G272" s="839">
        <v>1</v>
      </c>
      <c r="H272" s="840" t="s">
        <v>9726</v>
      </c>
      <c r="I272" s="851">
        <v>5148000</v>
      </c>
    </row>
    <row r="273" spans="1:9">
      <c r="A273" s="1053" t="s">
        <v>189</v>
      </c>
      <c r="B273" s="1054"/>
      <c r="C273" s="1054"/>
      <c r="D273" s="1054"/>
      <c r="E273" s="1054"/>
      <c r="F273" s="521">
        <f>SUM(F272)</f>
        <v>5148000</v>
      </c>
      <c r="G273" s="570"/>
      <c r="H273" s="570"/>
      <c r="I273" s="852">
        <f>SUM(I272)</f>
        <v>5148000</v>
      </c>
    </row>
    <row r="274" spans="1:9">
      <c r="A274" s="1053" t="s">
        <v>4699</v>
      </c>
      <c r="B274" s="1054"/>
      <c r="C274" s="1054"/>
      <c r="D274" s="1054"/>
      <c r="E274" s="1054"/>
      <c r="F274" s="1054"/>
      <c r="G274" s="1054"/>
      <c r="H274" s="1054"/>
      <c r="I274" s="1055"/>
    </row>
    <row r="275" spans="1:9" ht="127.5">
      <c r="A275" s="850" t="s">
        <v>1846</v>
      </c>
      <c r="B275" s="839" t="s">
        <v>9727</v>
      </c>
      <c r="C275" s="839" t="s">
        <v>9728</v>
      </c>
      <c r="D275" s="839" t="s">
        <v>9729</v>
      </c>
      <c r="E275" s="840" t="s">
        <v>9730</v>
      </c>
      <c r="F275" s="841">
        <v>271700000</v>
      </c>
      <c r="G275" s="839">
        <v>1</v>
      </c>
      <c r="H275" s="840" t="s">
        <v>9731</v>
      </c>
      <c r="I275" s="851">
        <v>271700000</v>
      </c>
    </row>
    <row r="276" spans="1:9">
      <c r="A276" s="1053" t="s">
        <v>189</v>
      </c>
      <c r="B276" s="1054"/>
      <c r="C276" s="1054"/>
      <c r="D276" s="1054"/>
      <c r="E276" s="1054"/>
      <c r="F276" s="521">
        <f>SUM(F275)</f>
        <v>271700000</v>
      </c>
      <c r="G276" s="570"/>
      <c r="H276" s="570"/>
      <c r="I276" s="852">
        <f>SUM(I275)</f>
        <v>271700000</v>
      </c>
    </row>
    <row r="277" spans="1:9">
      <c r="A277" s="1053" t="s">
        <v>10000</v>
      </c>
      <c r="B277" s="1054"/>
      <c r="C277" s="1054"/>
      <c r="D277" s="1054"/>
      <c r="E277" s="1054"/>
      <c r="F277" s="1054"/>
      <c r="G277" s="1054"/>
      <c r="H277" s="1054"/>
      <c r="I277" s="1055"/>
    </row>
    <row r="278" spans="1:9" ht="216.75">
      <c r="A278" s="850" t="s">
        <v>3847</v>
      </c>
      <c r="B278" s="839" t="s">
        <v>9768</v>
      </c>
      <c r="C278" s="839" t="s">
        <v>9769</v>
      </c>
      <c r="D278" s="839" t="s">
        <v>9770</v>
      </c>
      <c r="E278" s="840" t="s">
        <v>9771</v>
      </c>
      <c r="F278" s="841">
        <v>400400000</v>
      </c>
      <c r="G278" s="839">
        <v>1</v>
      </c>
      <c r="H278" s="840" t="s">
        <v>9772</v>
      </c>
      <c r="I278" s="851">
        <v>400400000</v>
      </c>
    </row>
    <row r="279" spans="1:9" ht="165.75">
      <c r="A279" s="850" t="s">
        <v>3847</v>
      </c>
      <c r="B279" s="839" t="s">
        <v>9768</v>
      </c>
      <c r="C279" s="839" t="s">
        <v>9769</v>
      </c>
      <c r="D279" s="839" t="s">
        <v>9770</v>
      </c>
      <c r="E279" s="840" t="s">
        <v>9773</v>
      </c>
      <c r="F279" s="841">
        <v>85800000</v>
      </c>
      <c r="G279" s="839">
        <v>1</v>
      </c>
      <c r="H279" s="840" t="s">
        <v>9774</v>
      </c>
      <c r="I279" s="851">
        <v>85800000</v>
      </c>
    </row>
    <row r="280" spans="1:9">
      <c r="A280" s="1053" t="s">
        <v>189</v>
      </c>
      <c r="B280" s="1054"/>
      <c r="C280" s="1054"/>
      <c r="D280" s="1054"/>
      <c r="E280" s="1054"/>
      <c r="F280" s="521">
        <f>SUM(F278:F279)</f>
        <v>486200000</v>
      </c>
      <c r="G280" s="570"/>
      <c r="H280" s="570"/>
      <c r="I280" s="852">
        <f>SUM(I278:I279)</f>
        <v>486200000</v>
      </c>
    </row>
    <row r="281" spans="1:9">
      <c r="A281" s="1053"/>
      <c r="B281" s="1054"/>
      <c r="C281" s="1054"/>
      <c r="D281" s="1054"/>
      <c r="E281" s="1054"/>
      <c r="F281" s="1054"/>
      <c r="G281" s="1054"/>
      <c r="H281" s="1054"/>
      <c r="I281" s="1055"/>
    </row>
    <row r="282" spans="1:9">
      <c r="A282" s="434"/>
      <c r="B282" s="374"/>
      <c r="C282" s="374"/>
      <c r="D282" s="374"/>
      <c r="E282" s="374"/>
      <c r="F282" s="551"/>
      <c r="G282" s="374"/>
      <c r="H282" s="374"/>
      <c r="I282" s="508"/>
    </row>
    <row r="283" spans="1:9" ht="15.75" thickBot="1">
      <c r="A283" s="1124" t="s">
        <v>189</v>
      </c>
      <c r="B283" s="1125"/>
      <c r="C283" s="1125"/>
      <c r="D283" s="1125"/>
      <c r="E283" s="1125"/>
      <c r="F283" s="857">
        <f>+F280+F276+F273+F270+F267+F264+F260+F257+F249+F246+F243+F240+F236+F231+F228+F223+F220+F214+F211+F208+F199+F196+F192+F182+F175+F166+F162+F159+F148+F122+F114+F106+F102+F99+F94+F88+F81+F73+F57+F54+F51+F42+F22+F8</f>
        <v>10009241196.056154</v>
      </c>
      <c r="G283" s="858"/>
      <c r="H283" s="858"/>
      <c r="I283" s="859">
        <f>+I280+I276+I273+I270+I267+I264+I260+I257+I249+I246+I243+I240+I236+I231+I228+I223+I220+I214+I211+I208+I199+I196+I192+I182+I175+I166+I162+I159+I148+I122+I114+I106+I102+I99+I94+I88+I81+I73+I57+I54+I51+I42+I22+I8</f>
        <v>10367309196.056152</v>
      </c>
    </row>
  </sheetData>
  <mergeCells count="98">
    <mergeCell ref="A281:I281"/>
    <mergeCell ref="A283:E283"/>
    <mergeCell ref="A9:I9"/>
    <mergeCell ref="A23:I23"/>
    <mergeCell ref="A1:I1"/>
    <mergeCell ref="A2:I2"/>
    <mergeCell ref="A3:I3"/>
    <mergeCell ref="A4:A5"/>
    <mergeCell ref="B4:B5"/>
    <mergeCell ref="C4:D4"/>
    <mergeCell ref="E4:F4"/>
    <mergeCell ref="G4:I4"/>
    <mergeCell ref="A6:I6"/>
    <mergeCell ref="A8:E8"/>
    <mergeCell ref="A22:E22"/>
    <mergeCell ref="A58:I58"/>
    <mergeCell ref="A89:I89"/>
    <mergeCell ref="A95:I95"/>
    <mergeCell ref="A81:E81"/>
    <mergeCell ref="A88:E88"/>
    <mergeCell ref="A94:E94"/>
    <mergeCell ref="A73:E73"/>
    <mergeCell ref="A123:I123"/>
    <mergeCell ref="A149:I149"/>
    <mergeCell ref="A160:I160"/>
    <mergeCell ref="A163:I163"/>
    <mergeCell ref="A99:E99"/>
    <mergeCell ref="A102:E102"/>
    <mergeCell ref="A106:E106"/>
    <mergeCell ref="A114:E114"/>
    <mergeCell ref="A122:E122"/>
    <mergeCell ref="A100:I100"/>
    <mergeCell ref="A103:I103"/>
    <mergeCell ref="A107:I107"/>
    <mergeCell ref="A115:I115"/>
    <mergeCell ref="A74:I74"/>
    <mergeCell ref="A82:I82"/>
    <mergeCell ref="A167:I167"/>
    <mergeCell ref="A148:E148"/>
    <mergeCell ref="A159:E159"/>
    <mergeCell ref="A162:E162"/>
    <mergeCell ref="A166:E166"/>
    <mergeCell ref="A209:I209"/>
    <mergeCell ref="A193:I193"/>
    <mergeCell ref="A212:I212"/>
    <mergeCell ref="A215:I215"/>
    <mergeCell ref="A221:I221"/>
    <mergeCell ref="A208:E208"/>
    <mergeCell ref="A211:E211"/>
    <mergeCell ref="A214:E214"/>
    <mergeCell ref="A220:E220"/>
    <mergeCell ref="A197:I197"/>
    <mergeCell ref="A200:I200"/>
    <mergeCell ref="A261:I261"/>
    <mergeCell ref="A224:I224"/>
    <mergeCell ref="A229:I229"/>
    <mergeCell ref="A232:I232"/>
    <mergeCell ref="A237:I237"/>
    <mergeCell ref="A241:I241"/>
    <mergeCell ref="A243:E243"/>
    <mergeCell ref="A246:E246"/>
    <mergeCell ref="A249:E249"/>
    <mergeCell ref="A257:E257"/>
    <mergeCell ref="A260:E260"/>
    <mergeCell ref="A244:I244"/>
    <mergeCell ref="A247:I247"/>
    <mergeCell ref="A250:I250"/>
    <mergeCell ref="A258:I258"/>
    <mergeCell ref="A42:E42"/>
    <mergeCell ref="A43:I43"/>
    <mergeCell ref="A55:I55"/>
    <mergeCell ref="A51:E51"/>
    <mergeCell ref="A57:E57"/>
    <mergeCell ref="A52:I52"/>
    <mergeCell ref="A54:E54"/>
    <mergeCell ref="A175:E175"/>
    <mergeCell ref="A182:E182"/>
    <mergeCell ref="A192:E192"/>
    <mergeCell ref="A196:E196"/>
    <mergeCell ref="A199:E199"/>
    <mergeCell ref="A176:I176"/>
    <mergeCell ref="A183:I183"/>
    <mergeCell ref="A223:E223"/>
    <mergeCell ref="A228:E228"/>
    <mergeCell ref="A231:E231"/>
    <mergeCell ref="A236:E236"/>
    <mergeCell ref="A240:E240"/>
    <mergeCell ref="A280:E280"/>
    <mergeCell ref="A264:E264"/>
    <mergeCell ref="A267:E267"/>
    <mergeCell ref="A270:E270"/>
    <mergeCell ref="A273:E273"/>
    <mergeCell ref="A276:E276"/>
    <mergeCell ref="A265:I265"/>
    <mergeCell ref="A268:I268"/>
    <mergeCell ref="A271:I271"/>
    <mergeCell ref="A274:I274"/>
    <mergeCell ref="A277:I277"/>
  </mergeCells>
  <printOptions horizontalCentered="1" verticalCentered="1"/>
  <pageMargins left="0.23622047244094491" right="0.23622047244094491" top="0.74803149606299213" bottom="0.74803149606299213" header="0.31496062992125984" footer="0.31496062992125984"/>
  <pageSetup scale="56" orientation="landscape" r:id="rId1"/>
  <headerFooter>
    <oddFooter>&amp;C&amp;P de &amp;N</oddFooter>
  </headerFooter>
  <rowBreaks count="1" manualBreakCount="1">
    <brk id="31" max="8"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N96"/>
  <sheetViews>
    <sheetView topLeftCell="A85" zoomScale="75" zoomScaleNormal="75" workbookViewId="0">
      <selection activeCell="H11" sqref="H11"/>
    </sheetView>
  </sheetViews>
  <sheetFormatPr baseColWidth="10" defaultColWidth="11.42578125" defaultRowHeight="15.75"/>
  <cols>
    <col min="1" max="1" width="11.42578125" style="7"/>
    <col min="2" max="2" width="11.42578125" style="8"/>
    <col min="3" max="3" width="17.7109375" style="8" customWidth="1"/>
    <col min="4" max="4" width="19.140625" style="8" customWidth="1"/>
    <col min="5" max="5" width="11.42578125" style="7"/>
    <col min="6" max="6" width="14.140625" style="7" customWidth="1"/>
    <col min="7" max="7" width="15.140625" style="7" customWidth="1"/>
    <col min="8" max="8" width="41.85546875" style="8" customWidth="1"/>
    <col min="9" max="9" width="14.28515625" style="7" customWidth="1"/>
    <col min="10" max="10" width="23.28515625" style="507" customWidth="1"/>
    <col min="11" max="11" width="13.7109375" style="8" customWidth="1"/>
    <col min="12" max="12" width="11.42578125" style="7"/>
    <col min="13" max="13" width="14.85546875" style="7" customWidth="1"/>
    <col min="14" max="14" width="23" style="506" customWidth="1"/>
    <col min="15" max="16384" width="11.42578125" style="7"/>
  </cols>
  <sheetData>
    <row r="1" spans="1:14" ht="15.75" customHeight="1">
      <c r="A1" s="1099" t="s">
        <v>0</v>
      </c>
      <c r="B1" s="1099"/>
      <c r="C1" s="1099"/>
      <c r="D1" s="1099"/>
      <c r="E1" s="1099"/>
      <c r="F1" s="1099"/>
      <c r="G1" s="1099"/>
      <c r="H1" s="1099"/>
      <c r="I1" s="1099"/>
      <c r="J1" s="1099"/>
      <c r="K1" s="1099"/>
      <c r="L1" s="1099"/>
      <c r="M1" s="1099"/>
      <c r="N1" s="1099"/>
    </row>
    <row r="2" spans="1:14" ht="15.75" customHeight="1">
      <c r="A2" s="1099" t="s">
        <v>116</v>
      </c>
      <c r="B2" s="1099"/>
      <c r="C2" s="1099"/>
      <c r="D2" s="1099"/>
      <c r="E2" s="1099"/>
      <c r="F2" s="1099"/>
      <c r="G2" s="1099"/>
      <c r="H2" s="1099"/>
      <c r="I2" s="1099"/>
      <c r="J2" s="1099"/>
      <c r="K2" s="1099"/>
      <c r="L2" s="1099"/>
      <c r="M2" s="1099"/>
      <c r="N2" s="1099"/>
    </row>
    <row r="3" spans="1:14" ht="15.75" customHeight="1" thickBot="1">
      <c r="A3" s="1099" t="s">
        <v>72</v>
      </c>
      <c r="B3" s="1099"/>
      <c r="C3" s="1099"/>
      <c r="D3" s="1099"/>
      <c r="E3" s="1099"/>
      <c r="F3" s="1099"/>
      <c r="G3" s="1099"/>
      <c r="H3" s="1099"/>
      <c r="I3" s="1099"/>
      <c r="J3" s="1099"/>
      <c r="K3" s="1099"/>
      <c r="L3" s="1099"/>
      <c r="M3" s="1099"/>
      <c r="N3" s="1099"/>
    </row>
    <row r="4" spans="1:14" ht="21" customHeight="1">
      <c r="A4" s="1135" t="s">
        <v>1</v>
      </c>
      <c r="B4" s="1137" t="s">
        <v>2</v>
      </c>
      <c r="C4" s="1137"/>
      <c r="D4" s="1048" t="s">
        <v>73</v>
      </c>
      <c r="E4" s="1137" t="s">
        <v>63</v>
      </c>
      <c r="F4" s="1137"/>
      <c r="G4" s="1137"/>
      <c r="H4" s="1138" t="s">
        <v>22</v>
      </c>
      <c r="I4" s="1138"/>
      <c r="J4" s="1138"/>
      <c r="K4" s="1128" t="s">
        <v>64</v>
      </c>
      <c r="L4" s="1139" t="s">
        <v>7</v>
      </c>
      <c r="M4" s="1139"/>
      <c r="N4" s="1140"/>
    </row>
    <row r="5" spans="1:14" s="2" customFormat="1" ht="111" thickBot="1">
      <c r="A5" s="1136"/>
      <c r="B5" s="835" t="s">
        <v>3</v>
      </c>
      <c r="C5" s="836" t="s">
        <v>65</v>
      </c>
      <c r="D5" s="1049"/>
      <c r="E5" s="836" t="s">
        <v>66</v>
      </c>
      <c r="F5" s="836" t="s">
        <v>67</v>
      </c>
      <c r="G5" s="836" t="s">
        <v>68</v>
      </c>
      <c r="H5" s="836" t="s">
        <v>69</v>
      </c>
      <c r="I5" s="836" t="s">
        <v>74</v>
      </c>
      <c r="J5" s="837" t="s">
        <v>11</v>
      </c>
      <c r="K5" s="1129"/>
      <c r="L5" s="836" t="s">
        <v>12</v>
      </c>
      <c r="M5" s="836" t="s">
        <v>71</v>
      </c>
      <c r="N5" s="838" t="s">
        <v>56</v>
      </c>
    </row>
    <row r="6" spans="1:14" s="2" customFormat="1">
      <c r="A6" s="1141" t="s">
        <v>10001</v>
      </c>
      <c r="B6" s="1142"/>
      <c r="C6" s="1142"/>
      <c r="D6" s="1142"/>
      <c r="E6" s="1142"/>
      <c r="F6" s="1142"/>
      <c r="G6" s="1142"/>
      <c r="H6" s="1142"/>
      <c r="I6" s="1142"/>
      <c r="J6" s="1142"/>
      <c r="K6" s="1142"/>
      <c r="L6" s="1142"/>
      <c r="M6" s="1142"/>
      <c r="N6" s="1143"/>
    </row>
    <row r="7" spans="1:14" s="2" customFormat="1">
      <c r="A7" s="432" t="s">
        <v>1187</v>
      </c>
      <c r="B7" s="433" t="s">
        <v>5656</v>
      </c>
      <c r="C7" s="433" t="s">
        <v>25264</v>
      </c>
      <c r="D7" s="433" t="s">
        <v>25232</v>
      </c>
      <c r="E7" s="433" t="s">
        <v>25265</v>
      </c>
      <c r="F7" s="433" t="s">
        <v>25266</v>
      </c>
      <c r="G7" s="433" t="s">
        <v>25234</v>
      </c>
      <c r="H7" s="433" t="s">
        <v>25267</v>
      </c>
      <c r="I7" s="433" t="s">
        <v>3149</v>
      </c>
      <c r="J7" s="551">
        <v>0</v>
      </c>
      <c r="K7" s="374"/>
      <c r="L7" s="374"/>
      <c r="M7" s="433" t="s">
        <v>3142</v>
      </c>
      <c r="N7" s="510">
        <v>48000000</v>
      </c>
    </row>
    <row r="8" spans="1:14">
      <c r="A8" s="432" t="s">
        <v>9521</v>
      </c>
      <c r="B8" s="433" t="s">
        <v>9521</v>
      </c>
      <c r="C8" s="433" t="s">
        <v>25320</v>
      </c>
      <c r="D8" s="433" t="s">
        <v>25232</v>
      </c>
      <c r="E8" s="433" t="s">
        <v>3143</v>
      </c>
      <c r="F8" s="433" t="s">
        <v>25272</v>
      </c>
      <c r="G8" s="433" t="s">
        <v>25238</v>
      </c>
      <c r="H8" s="433" t="s">
        <v>25321</v>
      </c>
      <c r="I8" s="433" t="s">
        <v>10073</v>
      </c>
      <c r="J8" s="495">
        <v>27000000</v>
      </c>
      <c r="K8" s="374"/>
      <c r="L8" s="374"/>
      <c r="M8" s="433" t="s">
        <v>3142</v>
      </c>
      <c r="N8" s="511">
        <v>9500000</v>
      </c>
    </row>
    <row r="9" spans="1:14">
      <c r="A9" s="828" t="s">
        <v>189</v>
      </c>
      <c r="B9" s="817"/>
      <c r="C9" s="817"/>
      <c r="D9" s="817"/>
      <c r="E9" s="816"/>
      <c r="F9" s="816"/>
      <c r="G9" s="816"/>
      <c r="H9" s="817"/>
      <c r="I9" s="816"/>
      <c r="J9" s="818">
        <f>SUM(J7:J8)</f>
        <v>27000000</v>
      </c>
      <c r="K9" s="817"/>
      <c r="L9" s="816"/>
      <c r="M9" s="816"/>
      <c r="N9" s="829">
        <f>SUM(N7:N8)</f>
        <v>57500000</v>
      </c>
    </row>
    <row r="10" spans="1:14">
      <c r="A10" s="1116" t="s">
        <v>1920</v>
      </c>
      <c r="B10" s="1117"/>
      <c r="C10" s="1117"/>
      <c r="D10" s="1117"/>
      <c r="E10" s="1117"/>
      <c r="F10" s="1117"/>
      <c r="G10" s="1117"/>
      <c r="H10" s="1117"/>
      <c r="I10" s="1117"/>
      <c r="J10" s="1117"/>
      <c r="K10" s="1117"/>
      <c r="L10" s="1117"/>
      <c r="M10" s="1117"/>
      <c r="N10" s="1134"/>
    </row>
    <row r="11" spans="1:14" ht="25.5">
      <c r="A11" s="830" t="s">
        <v>3135</v>
      </c>
      <c r="B11" s="56" t="s">
        <v>3136</v>
      </c>
      <c r="C11" s="56"/>
      <c r="D11" s="56" t="s">
        <v>3137</v>
      </c>
      <c r="E11" s="56" t="s">
        <v>3138</v>
      </c>
      <c r="F11" s="56">
        <v>3000</v>
      </c>
      <c r="G11" s="56" t="s">
        <v>3139</v>
      </c>
      <c r="H11" s="26" t="s">
        <v>3140</v>
      </c>
      <c r="I11" s="56" t="s">
        <v>1725</v>
      </c>
      <c r="J11" s="495">
        <v>25000000</v>
      </c>
      <c r="K11" s="26" t="s">
        <v>3141</v>
      </c>
      <c r="L11" s="56" t="s">
        <v>1711</v>
      </c>
      <c r="M11" s="56" t="s">
        <v>3142</v>
      </c>
      <c r="N11" s="509">
        <v>100000000</v>
      </c>
    </row>
    <row r="12" spans="1:14" ht="30">
      <c r="A12" s="94" t="s">
        <v>3145</v>
      </c>
      <c r="B12" s="95" t="s">
        <v>3146</v>
      </c>
      <c r="C12" s="95"/>
      <c r="D12" s="95" t="s">
        <v>3147</v>
      </c>
      <c r="E12" s="95" t="s">
        <v>3148</v>
      </c>
      <c r="F12" s="95">
        <v>540</v>
      </c>
      <c r="G12" s="56" t="s">
        <v>3139</v>
      </c>
      <c r="H12" s="96" t="s">
        <v>387</v>
      </c>
      <c r="I12" s="95" t="s">
        <v>3149</v>
      </c>
      <c r="J12" s="551"/>
      <c r="K12" s="26" t="s">
        <v>3141</v>
      </c>
      <c r="L12" s="95" t="s">
        <v>1725</v>
      </c>
      <c r="M12" s="96" t="s">
        <v>3150</v>
      </c>
      <c r="N12" s="508">
        <v>115000000</v>
      </c>
    </row>
    <row r="13" spans="1:14" ht="25.5">
      <c r="A13" s="94" t="s">
        <v>3145</v>
      </c>
      <c r="B13" s="95" t="s">
        <v>2808</v>
      </c>
      <c r="C13" s="95"/>
      <c r="D13" s="95" t="s">
        <v>3151</v>
      </c>
      <c r="E13" s="95" t="s">
        <v>3143</v>
      </c>
      <c r="F13" s="95">
        <f>10*22</f>
        <v>220</v>
      </c>
      <c r="G13" s="56" t="s">
        <v>3139</v>
      </c>
      <c r="H13" s="96" t="s">
        <v>3152</v>
      </c>
      <c r="I13" s="95" t="s">
        <v>3144</v>
      </c>
      <c r="J13" s="551">
        <v>0</v>
      </c>
      <c r="K13" s="26" t="s">
        <v>3141</v>
      </c>
      <c r="L13" s="95" t="s">
        <v>1725</v>
      </c>
      <c r="M13" s="95" t="s">
        <v>3153</v>
      </c>
      <c r="N13" s="508">
        <v>15000000</v>
      </c>
    </row>
    <row r="14" spans="1:14">
      <c r="A14" s="432" t="s">
        <v>2879</v>
      </c>
      <c r="B14" s="433" t="s">
        <v>4070</v>
      </c>
      <c r="C14" s="433" t="s">
        <v>25271</v>
      </c>
      <c r="D14" s="433" t="s">
        <v>25232</v>
      </c>
      <c r="E14" s="433" t="s">
        <v>3143</v>
      </c>
      <c r="F14" s="433" t="s">
        <v>25272</v>
      </c>
      <c r="G14" s="433" t="s">
        <v>25234</v>
      </c>
      <c r="H14" s="433" t="s">
        <v>25273</v>
      </c>
      <c r="I14" s="433" t="s">
        <v>10073</v>
      </c>
      <c r="J14" s="819">
        <v>25000000</v>
      </c>
      <c r="K14" s="374"/>
      <c r="L14" s="374"/>
      <c r="M14" s="433" t="s">
        <v>3142</v>
      </c>
      <c r="N14" s="511">
        <v>38000000</v>
      </c>
    </row>
    <row r="15" spans="1:14">
      <c r="A15" s="432" t="s">
        <v>2807</v>
      </c>
      <c r="B15" s="433" t="s">
        <v>4070</v>
      </c>
      <c r="C15" s="433" t="s">
        <v>25274</v>
      </c>
      <c r="D15" s="433" t="s">
        <v>25232</v>
      </c>
      <c r="E15" s="433" t="s">
        <v>3143</v>
      </c>
      <c r="F15" s="433" t="s">
        <v>25275</v>
      </c>
      <c r="G15" s="433" t="s">
        <v>25234</v>
      </c>
      <c r="H15" s="433" t="s">
        <v>25276</v>
      </c>
      <c r="I15" s="433" t="s">
        <v>10073</v>
      </c>
      <c r="J15" s="495">
        <v>35000000</v>
      </c>
      <c r="K15" s="374"/>
      <c r="L15" s="374"/>
      <c r="M15" s="433" t="s">
        <v>3142</v>
      </c>
      <c r="N15" s="511">
        <v>36000000</v>
      </c>
    </row>
    <row r="16" spans="1:14">
      <c r="A16" s="828" t="s">
        <v>189</v>
      </c>
      <c r="B16" s="817"/>
      <c r="C16" s="817"/>
      <c r="D16" s="817"/>
      <c r="E16" s="816"/>
      <c r="F16" s="816"/>
      <c r="G16" s="816"/>
      <c r="H16" s="817"/>
      <c r="I16" s="816"/>
      <c r="J16" s="818">
        <f>SUM(J11:J15)</f>
        <v>85000000</v>
      </c>
      <c r="K16" s="817"/>
      <c r="L16" s="816"/>
      <c r="M16" s="816"/>
      <c r="N16" s="829">
        <f>SUM(N11:N15)</f>
        <v>304000000</v>
      </c>
    </row>
    <row r="17" spans="1:14">
      <c r="A17" s="1116" t="s">
        <v>6415</v>
      </c>
      <c r="B17" s="1117"/>
      <c r="C17" s="1117"/>
      <c r="D17" s="1117"/>
      <c r="E17" s="1117"/>
      <c r="F17" s="1117"/>
      <c r="G17" s="1117"/>
      <c r="H17" s="1117"/>
      <c r="I17" s="1117"/>
      <c r="J17" s="1117"/>
      <c r="K17" s="1117"/>
      <c r="L17" s="1117"/>
      <c r="M17" s="1117"/>
      <c r="N17" s="1134"/>
    </row>
    <row r="18" spans="1:14">
      <c r="A18" s="432" t="s">
        <v>6413</v>
      </c>
      <c r="B18" s="433" t="s">
        <v>6413</v>
      </c>
      <c r="C18" s="433" t="s">
        <v>25268</v>
      </c>
      <c r="D18" s="433" t="s">
        <v>25232</v>
      </c>
      <c r="E18" s="433" t="s">
        <v>3143</v>
      </c>
      <c r="F18" s="433" t="s">
        <v>25269</v>
      </c>
      <c r="G18" s="433" t="s">
        <v>25234</v>
      </c>
      <c r="H18" s="433" t="s">
        <v>25270</v>
      </c>
      <c r="I18" s="433" t="s">
        <v>10073</v>
      </c>
      <c r="J18" s="495">
        <v>48000000</v>
      </c>
      <c r="K18" s="374"/>
      <c r="L18" s="374"/>
      <c r="M18" s="433" t="s">
        <v>3142</v>
      </c>
      <c r="N18" s="511">
        <v>22000000</v>
      </c>
    </row>
    <row r="19" spans="1:14">
      <c r="A19" s="828" t="s">
        <v>189</v>
      </c>
      <c r="B19" s="817"/>
      <c r="C19" s="817"/>
      <c r="D19" s="817"/>
      <c r="E19" s="816"/>
      <c r="F19" s="816"/>
      <c r="G19" s="816"/>
      <c r="H19" s="817"/>
      <c r="I19" s="816"/>
      <c r="J19" s="818">
        <f>SUM(J18)</f>
        <v>48000000</v>
      </c>
      <c r="K19" s="817"/>
      <c r="L19" s="816"/>
      <c r="M19" s="816"/>
      <c r="N19" s="829">
        <f>SUM(N18)</f>
        <v>22000000</v>
      </c>
    </row>
    <row r="20" spans="1:14">
      <c r="A20" s="1116" t="s">
        <v>1968</v>
      </c>
      <c r="B20" s="1117"/>
      <c r="C20" s="1117"/>
      <c r="D20" s="1117"/>
      <c r="E20" s="1117"/>
      <c r="F20" s="1117"/>
      <c r="G20" s="1117"/>
      <c r="H20" s="1117"/>
      <c r="I20" s="1117"/>
      <c r="J20" s="1117"/>
      <c r="K20" s="1117"/>
      <c r="L20" s="1117"/>
      <c r="M20" s="1117"/>
      <c r="N20" s="1134"/>
    </row>
    <row r="21" spans="1:14">
      <c r="A21" s="436" t="s">
        <v>2067</v>
      </c>
      <c r="B21" s="249" t="s">
        <v>5045</v>
      </c>
      <c r="C21" s="374" t="s">
        <v>25231</v>
      </c>
      <c r="D21" s="374" t="s">
        <v>25232</v>
      </c>
      <c r="E21" s="249" t="s">
        <v>3143</v>
      </c>
      <c r="F21" s="249" t="s">
        <v>25233</v>
      </c>
      <c r="G21" s="249" t="s">
        <v>25234</v>
      </c>
      <c r="H21" s="249" t="s">
        <v>25235</v>
      </c>
      <c r="I21" s="249" t="s">
        <v>10073</v>
      </c>
      <c r="J21" s="495">
        <v>90000000</v>
      </c>
      <c r="K21" s="249"/>
      <c r="L21" s="249"/>
      <c r="M21" s="249" t="s">
        <v>3142</v>
      </c>
      <c r="N21" s="509">
        <v>90000000</v>
      </c>
    </row>
    <row r="22" spans="1:14">
      <c r="A22" s="828"/>
      <c r="B22" s="817"/>
      <c r="C22" s="817"/>
      <c r="D22" s="817"/>
      <c r="E22" s="816"/>
      <c r="F22" s="816"/>
      <c r="G22" s="816"/>
      <c r="H22" s="817"/>
      <c r="I22" s="816"/>
      <c r="J22" s="818">
        <f>SUM(J21)</f>
        <v>90000000</v>
      </c>
      <c r="K22" s="817"/>
      <c r="L22" s="816"/>
      <c r="M22" s="816"/>
      <c r="N22" s="829">
        <f>SUM(N21)</f>
        <v>90000000</v>
      </c>
    </row>
    <row r="23" spans="1:14">
      <c r="A23" s="1116" t="s">
        <v>2292</v>
      </c>
      <c r="B23" s="1117"/>
      <c r="C23" s="1117"/>
      <c r="D23" s="1117"/>
      <c r="E23" s="1117"/>
      <c r="F23" s="1117"/>
      <c r="G23" s="1117"/>
      <c r="H23" s="1117"/>
      <c r="I23" s="1117"/>
      <c r="J23" s="1117"/>
      <c r="K23" s="1117"/>
      <c r="L23" s="1117"/>
      <c r="M23" s="1117"/>
      <c r="N23" s="1134"/>
    </row>
    <row r="24" spans="1:14">
      <c r="A24" s="432" t="s">
        <v>25301</v>
      </c>
      <c r="B24" s="433" t="s">
        <v>25301</v>
      </c>
      <c r="C24" s="433" t="s">
        <v>25302</v>
      </c>
      <c r="D24" s="433" t="s">
        <v>25232</v>
      </c>
      <c r="E24" s="433" t="s">
        <v>3143</v>
      </c>
      <c r="F24" s="433" t="s">
        <v>25303</v>
      </c>
      <c r="G24" s="433" t="s">
        <v>25234</v>
      </c>
      <c r="H24" s="433" t="s">
        <v>25304</v>
      </c>
      <c r="I24" s="433" t="s">
        <v>10026</v>
      </c>
      <c r="J24" s="495">
        <v>25000000</v>
      </c>
      <c r="K24" s="433"/>
      <c r="L24" s="374"/>
      <c r="M24" s="433" t="s">
        <v>3142</v>
      </c>
      <c r="N24" s="511">
        <v>2000000</v>
      </c>
    </row>
    <row r="25" spans="1:14">
      <c r="A25" s="828" t="s">
        <v>189</v>
      </c>
      <c r="B25" s="817"/>
      <c r="C25" s="817"/>
      <c r="D25" s="817"/>
      <c r="E25" s="816"/>
      <c r="F25" s="816"/>
      <c r="G25" s="816"/>
      <c r="H25" s="817"/>
      <c r="I25" s="816"/>
      <c r="J25" s="818">
        <f>SUM(J24)</f>
        <v>25000000</v>
      </c>
      <c r="K25" s="817"/>
      <c r="L25" s="816"/>
      <c r="M25" s="816"/>
      <c r="N25" s="829">
        <f>SUM(N24)</f>
        <v>2000000</v>
      </c>
    </row>
    <row r="26" spans="1:14">
      <c r="A26" s="1116" t="s">
        <v>2784</v>
      </c>
      <c r="B26" s="1117"/>
      <c r="C26" s="1117"/>
      <c r="D26" s="1117"/>
      <c r="E26" s="1117"/>
      <c r="F26" s="1117"/>
      <c r="G26" s="1117"/>
      <c r="H26" s="1117"/>
      <c r="I26" s="1117"/>
      <c r="J26" s="1117"/>
      <c r="K26" s="1117"/>
      <c r="L26" s="1117"/>
      <c r="M26" s="1117"/>
      <c r="N26" s="1134"/>
    </row>
    <row r="27" spans="1:14" ht="63.75">
      <c r="A27" s="436" t="s">
        <v>2505</v>
      </c>
      <c r="B27" s="249" t="s">
        <v>2505</v>
      </c>
      <c r="C27" s="44" t="s">
        <v>3290</v>
      </c>
      <c r="D27" s="44" t="s">
        <v>3291</v>
      </c>
      <c r="E27" s="249" t="s">
        <v>3292</v>
      </c>
      <c r="F27" s="56">
        <v>475</v>
      </c>
      <c r="G27" s="249" t="s">
        <v>3293</v>
      </c>
      <c r="H27" s="44" t="s">
        <v>3294</v>
      </c>
      <c r="I27" s="44" t="s">
        <v>3295</v>
      </c>
      <c r="J27" s="820">
        <v>10000000</v>
      </c>
      <c r="K27" s="249"/>
      <c r="L27" s="56">
        <v>1</v>
      </c>
      <c r="M27" s="44" t="s">
        <v>3296</v>
      </c>
      <c r="N27" s="831">
        <v>110000000</v>
      </c>
    </row>
    <row r="28" spans="1:14">
      <c r="A28" s="828" t="s">
        <v>189</v>
      </c>
      <c r="B28" s="817"/>
      <c r="C28" s="817"/>
      <c r="D28" s="817"/>
      <c r="E28" s="816"/>
      <c r="F28" s="816"/>
      <c r="G28" s="816"/>
      <c r="H28" s="817"/>
      <c r="I28" s="816"/>
      <c r="J28" s="818">
        <f>SUM(J27)</f>
        <v>10000000</v>
      </c>
      <c r="K28" s="817"/>
      <c r="L28" s="816"/>
      <c r="M28" s="816"/>
      <c r="N28" s="829">
        <f>SUM(N27)</f>
        <v>110000000</v>
      </c>
    </row>
    <row r="29" spans="1:14">
      <c r="A29" s="1116" t="s">
        <v>23927</v>
      </c>
      <c r="B29" s="1117"/>
      <c r="C29" s="1117"/>
      <c r="D29" s="1117"/>
      <c r="E29" s="1117"/>
      <c r="F29" s="1117"/>
      <c r="G29" s="1117"/>
      <c r="H29" s="1117"/>
      <c r="I29" s="1117"/>
      <c r="J29" s="1117"/>
      <c r="K29" s="1117"/>
      <c r="L29" s="1117"/>
      <c r="M29" s="1117"/>
      <c r="N29" s="1134"/>
    </row>
    <row r="30" spans="1:14">
      <c r="A30" s="432" t="s">
        <v>25281</v>
      </c>
      <c r="B30" s="433" t="s">
        <v>25281</v>
      </c>
      <c r="C30" s="433" t="s">
        <v>25282</v>
      </c>
      <c r="D30" s="433" t="s">
        <v>25232</v>
      </c>
      <c r="E30" s="433" t="s">
        <v>3143</v>
      </c>
      <c r="F30" s="433" t="s">
        <v>25283</v>
      </c>
      <c r="G30" s="433" t="s">
        <v>25238</v>
      </c>
      <c r="H30" s="433" t="s">
        <v>25284</v>
      </c>
      <c r="I30" s="433" t="s">
        <v>10073</v>
      </c>
      <c r="J30" s="495">
        <v>48000000</v>
      </c>
      <c r="K30" s="374"/>
      <c r="L30" s="374"/>
      <c r="M30" s="433" t="s">
        <v>3142</v>
      </c>
      <c r="N30" s="511">
        <v>28000000</v>
      </c>
    </row>
    <row r="31" spans="1:14">
      <c r="A31" s="828" t="s">
        <v>189</v>
      </c>
      <c r="B31" s="817"/>
      <c r="C31" s="817"/>
      <c r="D31" s="817"/>
      <c r="E31" s="816"/>
      <c r="F31" s="816"/>
      <c r="G31" s="816"/>
      <c r="H31" s="817"/>
      <c r="I31" s="816"/>
      <c r="J31" s="818">
        <f>SUM(J30)</f>
        <v>48000000</v>
      </c>
      <c r="K31" s="817"/>
      <c r="L31" s="816"/>
      <c r="M31" s="816"/>
      <c r="N31" s="829">
        <f>SUM(N30)</f>
        <v>28000000</v>
      </c>
    </row>
    <row r="32" spans="1:14">
      <c r="A32" s="1116" t="s">
        <v>1785</v>
      </c>
      <c r="B32" s="1117"/>
      <c r="C32" s="1117"/>
      <c r="D32" s="1117"/>
      <c r="E32" s="1117"/>
      <c r="F32" s="1117"/>
      <c r="G32" s="1117"/>
      <c r="H32" s="1117"/>
      <c r="I32" s="1117"/>
      <c r="J32" s="1117"/>
      <c r="K32" s="1117"/>
      <c r="L32" s="1117"/>
      <c r="M32" s="1117"/>
      <c r="N32" s="1134"/>
    </row>
    <row r="33" spans="1:14">
      <c r="A33" s="432" t="s">
        <v>4998</v>
      </c>
      <c r="B33" s="433" t="s">
        <v>4998</v>
      </c>
      <c r="C33" s="433" t="s">
        <v>25236</v>
      </c>
      <c r="D33" s="433" t="s">
        <v>25232</v>
      </c>
      <c r="E33" s="433" t="s">
        <v>3143</v>
      </c>
      <c r="F33" s="433" t="s">
        <v>25237</v>
      </c>
      <c r="G33" s="433" t="s">
        <v>25238</v>
      </c>
      <c r="H33" s="433" t="s">
        <v>25239</v>
      </c>
      <c r="I33" s="433" t="s">
        <v>10073</v>
      </c>
      <c r="J33" s="495">
        <v>16000000</v>
      </c>
      <c r="K33" s="374"/>
      <c r="L33" s="433"/>
      <c r="M33" s="433" t="s">
        <v>3142</v>
      </c>
      <c r="N33" s="511">
        <v>25000000</v>
      </c>
    </row>
    <row r="34" spans="1:14">
      <c r="A34" s="828" t="s">
        <v>189</v>
      </c>
      <c r="B34" s="817"/>
      <c r="C34" s="817"/>
      <c r="D34" s="817"/>
      <c r="E34" s="816"/>
      <c r="F34" s="816"/>
      <c r="G34" s="816"/>
      <c r="H34" s="817"/>
      <c r="I34" s="816"/>
      <c r="J34" s="818">
        <f>SUM(J33)</f>
        <v>16000000</v>
      </c>
      <c r="K34" s="817"/>
      <c r="L34" s="816"/>
      <c r="M34" s="816"/>
      <c r="N34" s="829">
        <f>SUM(N33)</f>
        <v>25000000</v>
      </c>
    </row>
    <row r="35" spans="1:14">
      <c r="A35" s="1116" t="s">
        <v>9986</v>
      </c>
      <c r="B35" s="1117"/>
      <c r="C35" s="1117"/>
      <c r="D35" s="1117"/>
      <c r="E35" s="1117"/>
      <c r="F35" s="1117"/>
      <c r="G35" s="1117"/>
      <c r="H35" s="1117"/>
      <c r="I35" s="1117"/>
      <c r="J35" s="1117"/>
      <c r="K35" s="1117"/>
      <c r="L35" s="1117"/>
      <c r="M35" s="1117"/>
      <c r="N35" s="1134"/>
    </row>
    <row r="36" spans="1:14">
      <c r="A36" s="432" t="s">
        <v>7599</v>
      </c>
      <c r="B36" s="433" t="s">
        <v>25240</v>
      </c>
      <c r="C36" s="433" t="s">
        <v>25241</v>
      </c>
      <c r="D36" s="433" t="s">
        <v>25232</v>
      </c>
      <c r="E36" s="433" t="s">
        <v>25242</v>
      </c>
      <c r="F36" s="433" t="s">
        <v>25243</v>
      </c>
      <c r="G36" s="433" t="s">
        <v>25238</v>
      </c>
      <c r="H36" s="433" t="s">
        <v>25244</v>
      </c>
      <c r="I36" s="433" t="s">
        <v>10073</v>
      </c>
      <c r="J36" s="819">
        <v>85000000</v>
      </c>
      <c r="K36" s="374"/>
      <c r="L36" s="374"/>
      <c r="M36" s="433" t="s">
        <v>3142</v>
      </c>
      <c r="N36" s="511">
        <v>25000000</v>
      </c>
    </row>
    <row r="37" spans="1:14">
      <c r="A37" s="828" t="s">
        <v>189</v>
      </c>
      <c r="B37" s="817"/>
      <c r="C37" s="817"/>
      <c r="D37" s="817"/>
      <c r="E37" s="816"/>
      <c r="F37" s="816"/>
      <c r="G37" s="816"/>
      <c r="H37" s="817"/>
      <c r="I37" s="816"/>
      <c r="J37" s="818">
        <f>SUM(J36)</f>
        <v>85000000</v>
      </c>
      <c r="K37" s="817"/>
      <c r="L37" s="816"/>
      <c r="M37" s="816"/>
      <c r="N37" s="829">
        <f>SUM(N36)</f>
        <v>25000000</v>
      </c>
    </row>
    <row r="38" spans="1:14">
      <c r="A38" s="1116" t="s">
        <v>6203</v>
      </c>
      <c r="B38" s="1117"/>
      <c r="C38" s="1117"/>
      <c r="D38" s="1117"/>
      <c r="E38" s="1117"/>
      <c r="F38" s="1117"/>
      <c r="G38" s="1117"/>
      <c r="H38" s="1117"/>
      <c r="I38" s="1117"/>
      <c r="J38" s="1117"/>
      <c r="K38" s="1117"/>
      <c r="L38" s="1117"/>
      <c r="M38" s="1117"/>
      <c r="N38" s="1134"/>
    </row>
    <row r="39" spans="1:14">
      <c r="A39" s="432" t="s">
        <v>5981</v>
      </c>
      <c r="B39" s="433" t="s">
        <v>7590</v>
      </c>
      <c r="C39" s="433" t="s">
        <v>25308</v>
      </c>
      <c r="D39" s="433" t="s">
        <v>25232</v>
      </c>
      <c r="E39" s="433" t="s">
        <v>3143</v>
      </c>
      <c r="F39" s="433" t="s">
        <v>25280</v>
      </c>
      <c r="G39" s="433" t="s">
        <v>25309</v>
      </c>
      <c r="H39" s="433" t="s">
        <v>25310</v>
      </c>
      <c r="I39" s="433" t="s">
        <v>10073</v>
      </c>
      <c r="J39" s="495">
        <v>16000000</v>
      </c>
      <c r="K39" s="374"/>
      <c r="L39" s="374"/>
      <c r="M39" s="433" t="s">
        <v>3142</v>
      </c>
      <c r="N39" s="509">
        <v>16000000</v>
      </c>
    </row>
    <row r="40" spans="1:14">
      <c r="A40" s="432" t="s">
        <v>19</v>
      </c>
      <c r="B40" s="433" t="s">
        <v>19</v>
      </c>
      <c r="C40" s="433" t="s">
        <v>25341</v>
      </c>
      <c r="D40" s="433" t="s">
        <v>25335</v>
      </c>
      <c r="E40" s="433" t="s">
        <v>3143</v>
      </c>
      <c r="F40" s="374">
        <v>250</v>
      </c>
      <c r="G40" s="433" t="s">
        <v>10032</v>
      </c>
      <c r="H40" s="433" t="s">
        <v>25336</v>
      </c>
      <c r="I40" s="433" t="s">
        <v>3149</v>
      </c>
      <c r="J40" s="495">
        <v>16000000</v>
      </c>
      <c r="K40" s="374"/>
      <c r="L40" s="433" t="s">
        <v>30</v>
      </c>
      <c r="M40" s="433" t="s">
        <v>3142</v>
      </c>
      <c r="N40" s="509">
        <v>16000000</v>
      </c>
    </row>
    <row r="41" spans="1:14">
      <c r="A41" s="432" t="s">
        <v>19</v>
      </c>
      <c r="B41" s="433" t="s">
        <v>19</v>
      </c>
      <c r="C41" s="433" t="s">
        <v>25341</v>
      </c>
      <c r="D41" s="433" t="s">
        <v>25335</v>
      </c>
      <c r="E41" s="433" t="s">
        <v>3138</v>
      </c>
      <c r="F41" s="374">
        <v>250</v>
      </c>
      <c r="G41" s="433" t="s">
        <v>10032</v>
      </c>
      <c r="H41" s="433" t="s">
        <v>25338</v>
      </c>
      <c r="I41" s="433" t="s">
        <v>3149</v>
      </c>
      <c r="J41" s="495">
        <v>5000000</v>
      </c>
      <c r="K41" s="374"/>
      <c r="L41" s="433" t="s">
        <v>30</v>
      </c>
      <c r="M41" s="433" t="s">
        <v>3142</v>
      </c>
      <c r="N41" s="509">
        <v>5000000</v>
      </c>
    </row>
    <row r="42" spans="1:14">
      <c r="A42" s="432" t="s">
        <v>19</v>
      </c>
      <c r="B42" s="433" t="s">
        <v>19</v>
      </c>
      <c r="C42" s="433" t="s">
        <v>25341</v>
      </c>
      <c r="D42" s="433" t="s">
        <v>25335</v>
      </c>
      <c r="E42" s="433" t="s">
        <v>3138</v>
      </c>
      <c r="F42" s="374">
        <v>250</v>
      </c>
      <c r="G42" s="433" t="s">
        <v>10032</v>
      </c>
      <c r="H42" s="433" t="s">
        <v>25342</v>
      </c>
      <c r="I42" s="433" t="s">
        <v>10073</v>
      </c>
      <c r="J42" s="495">
        <v>2500000</v>
      </c>
      <c r="K42" s="374"/>
      <c r="L42" s="433" t="s">
        <v>30</v>
      </c>
      <c r="M42" s="433" t="s">
        <v>3142</v>
      </c>
      <c r="N42" s="509">
        <v>2500000</v>
      </c>
    </row>
    <row r="43" spans="1:14">
      <c r="A43" s="828" t="s">
        <v>189</v>
      </c>
      <c r="B43" s="817"/>
      <c r="C43" s="817"/>
      <c r="D43" s="817"/>
      <c r="E43" s="816"/>
      <c r="F43" s="816"/>
      <c r="G43" s="816"/>
      <c r="H43" s="817"/>
      <c r="I43" s="816"/>
      <c r="J43" s="818">
        <f>SUM(J39:J42)</f>
        <v>39500000</v>
      </c>
      <c r="K43" s="817"/>
      <c r="L43" s="816"/>
      <c r="M43" s="816"/>
      <c r="N43" s="829">
        <f>SUM(N39:N42)</f>
        <v>39500000</v>
      </c>
    </row>
    <row r="44" spans="1:14">
      <c r="A44" s="1116" t="s">
        <v>5634</v>
      </c>
      <c r="B44" s="1117"/>
      <c r="C44" s="1117"/>
      <c r="D44" s="1117"/>
      <c r="E44" s="1117"/>
      <c r="F44" s="1117"/>
      <c r="G44" s="1117"/>
      <c r="H44" s="1117"/>
      <c r="I44" s="1117"/>
      <c r="J44" s="1117"/>
      <c r="K44" s="1117"/>
      <c r="L44" s="1117"/>
      <c r="M44" s="1117"/>
      <c r="N44" s="1134"/>
    </row>
    <row r="45" spans="1:14">
      <c r="A45" s="432" t="s">
        <v>25330</v>
      </c>
      <c r="B45" s="433" t="s">
        <v>25330</v>
      </c>
      <c r="C45" s="433" t="s">
        <v>25331</v>
      </c>
      <c r="D45" s="433" t="s">
        <v>25232</v>
      </c>
      <c r="E45" s="433" t="s">
        <v>3143</v>
      </c>
      <c r="F45" s="433" t="s">
        <v>25332</v>
      </c>
      <c r="G45" s="374"/>
      <c r="H45" s="433" t="s">
        <v>25333</v>
      </c>
      <c r="I45" s="433" t="s">
        <v>10073</v>
      </c>
      <c r="J45" s="495">
        <v>30000000</v>
      </c>
      <c r="K45" s="374"/>
      <c r="L45" s="374"/>
      <c r="M45" s="433" t="s">
        <v>3142</v>
      </c>
      <c r="N45" s="511">
        <v>50000000</v>
      </c>
    </row>
    <row r="46" spans="1:14">
      <c r="A46" s="828" t="s">
        <v>189</v>
      </c>
      <c r="B46" s="817"/>
      <c r="C46" s="817"/>
      <c r="D46" s="817"/>
      <c r="E46" s="816"/>
      <c r="F46" s="816"/>
      <c r="G46" s="816"/>
      <c r="H46" s="817"/>
      <c r="I46" s="816"/>
      <c r="J46" s="818">
        <f>SUM(J45)</f>
        <v>30000000</v>
      </c>
      <c r="K46" s="817"/>
      <c r="L46" s="816"/>
      <c r="M46" s="816"/>
      <c r="N46" s="829">
        <f>SUM(N45)</f>
        <v>50000000</v>
      </c>
    </row>
    <row r="47" spans="1:14">
      <c r="A47" s="1116" t="s">
        <v>118</v>
      </c>
      <c r="B47" s="1117"/>
      <c r="C47" s="1117"/>
      <c r="D47" s="1117"/>
      <c r="E47" s="1117"/>
      <c r="F47" s="1117"/>
      <c r="G47" s="1117"/>
      <c r="H47" s="1117"/>
      <c r="I47" s="1117"/>
      <c r="J47" s="1117"/>
      <c r="K47" s="1117"/>
      <c r="L47" s="1117"/>
      <c r="M47" s="1117"/>
      <c r="N47" s="1134"/>
    </row>
    <row r="48" spans="1:14">
      <c r="A48" s="432" t="s">
        <v>261</v>
      </c>
      <c r="B48" s="433" t="s">
        <v>261</v>
      </c>
      <c r="C48" s="433" t="s">
        <v>25245</v>
      </c>
      <c r="D48" s="433" t="s">
        <v>25232</v>
      </c>
      <c r="E48" s="433" t="s">
        <v>3143</v>
      </c>
      <c r="F48" s="433" t="s">
        <v>25246</v>
      </c>
      <c r="G48" s="433" t="s">
        <v>25234</v>
      </c>
      <c r="H48" s="433" t="s">
        <v>25247</v>
      </c>
      <c r="I48" s="433" t="s">
        <v>10073</v>
      </c>
      <c r="J48" s="819">
        <v>12000000</v>
      </c>
      <c r="K48" s="374"/>
      <c r="L48" s="374"/>
      <c r="M48" s="433" t="s">
        <v>3142</v>
      </c>
      <c r="N48" s="512">
        <v>0</v>
      </c>
    </row>
    <row r="49" spans="1:14">
      <c r="A49" s="828" t="s">
        <v>189</v>
      </c>
      <c r="B49" s="817"/>
      <c r="C49" s="817"/>
      <c r="D49" s="817"/>
      <c r="E49" s="816"/>
      <c r="F49" s="816"/>
      <c r="G49" s="816"/>
      <c r="H49" s="817"/>
      <c r="I49" s="816"/>
      <c r="J49" s="818">
        <f>SUM(J48)</f>
        <v>12000000</v>
      </c>
      <c r="K49" s="817"/>
      <c r="L49" s="816"/>
      <c r="M49" s="816"/>
      <c r="N49" s="829">
        <f>SUM(N48)</f>
        <v>0</v>
      </c>
    </row>
    <row r="50" spans="1:14">
      <c r="A50" s="1116" t="s">
        <v>704</v>
      </c>
      <c r="B50" s="1117"/>
      <c r="C50" s="1117"/>
      <c r="D50" s="1117"/>
      <c r="E50" s="1117"/>
      <c r="F50" s="1117"/>
      <c r="G50" s="1117"/>
      <c r="H50" s="1117"/>
      <c r="I50" s="1117"/>
      <c r="J50" s="1117"/>
      <c r="K50" s="1117"/>
      <c r="L50" s="1117"/>
      <c r="M50" s="1117"/>
      <c r="N50" s="1134"/>
    </row>
    <row r="51" spans="1:14">
      <c r="A51" s="432" t="s">
        <v>705</v>
      </c>
      <c r="B51" s="433" t="s">
        <v>796</v>
      </c>
      <c r="C51" s="433" t="s">
        <v>25294</v>
      </c>
      <c r="D51" s="433" t="s">
        <v>25232</v>
      </c>
      <c r="E51" s="433" t="s">
        <v>3143</v>
      </c>
      <c r="F51" s="433" t="s">
        <v>25295</v>
      </c>
      <c r="G51" s="433" t="s">
        <v>25234</v>
      </c>
      <c r="H51" s="433" t="s">
        <v>25296</v>
      </c>
      <c r="I51" s="433" t="s">
        <v>10073</v>
      </c>
      <c r="J51" s="495">
        <v>28000000</v>
      </c>
      <c r="K51" s="374"/>
      <c r="L51" s="374"/>
      <c r="M51" s="433" t="s">
        <v>3142</v>
      </c>
      <c r="N51" s="511">
        <v>6000000</v>
      </c>
    </row>
    <row r="52" spans="1:14">
      <c r="A52" s="432" t="s">
        <v>705</v>
      </c>
      <c r="B52" s="433" t="s">
        <v>705</v>
      </c>
      <c r="C52" s="433" t="s">
        <v>25297</v>
      </c>
      <c r="D52" s="433" t="s">
        <v>25232</v>
      </c>
      <c r="E52" s="433" t="s">
        <v>3143</v>
      </c>
      <c r="F52" s="433" t="s">
        <v>25298</v>
      </c>
      <c r="G52" s="433" t="s">
        <v>25299</v>
      </c>
      <c r="H52" s="433" t="s">
        <v>25300</v>
      </c>
      <c r="I52" s="433" t="s">
        <v>10073</v>
      </c>
      <c r="J52" s="819">
        <v>38000000</v>
      </c>
      <c r="K52" s="374"/>
      <c r="L52" s="374"/>
      <c r="M52" s="433" t="s">
        <v>3142</v>
      </c>
      <c r="N52" s="511">
        <v>6000000</v>
      </c>
    </row>
    <row r="53" spans="1:14">
      <c r="A53" s="828" t="s">
        <v>189</v>
      </c>
      <c r="B53" s="817"/>
      <c r="C53" s="817"/>
      <c r="D53" s="817"/>
      <c r="E53" s="816"/>
      <c r="F53" s="816"/>
      <c r="G53" s="816"/>
      <c r="H53" s="817"/>
      <c r="I53" s="816"/>
      <c r="J53" s="818">
        <f>SUM(J51:J52)</f>
        <v>66000000</v>
      </c>
      <c r="K53" s="817"/>
      <c r="L53" s="816"/>
      <c r="M53" s="816"/>
      <c r="N53" s="829">
        <f>SUM(N51:N52)</f>
        <v>12000000</v>
      </c>
    </row>
    <row r="54" spans="1:14">
      <c r="A54" s="1116" t="s">
        <v>866</v>
      </c>
      <c r="B54" s="1117"/>
      <c r="C54" s="1117"/>
      <c r="D54" s="1117"/>
      <c r="E54" s="1117"/>
      <c r="F54" s="1117"/>
      <c r="G54" s="1117"/>
      <c r="H54" s="1117"/>
      <c r="I54" s="1117"/>
      <c r="J54" s="1117"/>
      <c r="K54" s="1117"/>
      <c r="L54" s="1117"/>
      <c r="M54" s="1117"/>
      <c r="N54" s="1134"/>
    </row>
    <row r="55" spans="1:14">
      <c r="A55" s="432" t="s">
        <v>25305</v>
      </c>
      <c r="B55" s="433" t="s">
        <v>25305</v>
      </c>
      <c r="C55" s="433" t="s">
        <v>25306</v>
      </c>
      <c r="D55" s="433" t="s">
        <v>25232</v>
      </c>
      <c r="E55" s="433" t="s">
        <v>3143</v>
      </c>
      <c r="F55" s="433" t="s">
        <v>25253</v>
      </c>
      <c r="G55" s="433" t="s">
        <v>25234</v>
      </c>
      <c r="H55" s="433" t="s">
        <v>25307</v>
      </c>
      <c r="I55" s="433" t="s">
        <v>10073</v>
      </c>
      <c r="J55" s="819">
        <v>8000000</v>
      </c>
      <c r="K55" s="374"/>
      <c r="L55" s="374"/>
      <c r="M55" s="433" t="s">
        <v>3142</v>
      </c>
      <c r="N55" s="511">
        <v>85000000</v>
      </c>
    </row>
    <row r="56" spans="1:14">
      <c r="A56" s="828" t="s">
        <v>189</v>
      </c>
      <c r="B56" s="817"/>
      <c r="C56" s="817"/>
      <c r="D56" s="817"/>
      <c r="E56" s="816"/>
      <c r="F56" s="816"/>
      <c r="G56" s="816"/>
      <c r="H56" s="817"/>
      <c r="I56" s="816"/>
      <c r="J56" s="818">
        <f>SUM(J55)</f>
        <v>8000000</v>
      </c>
      <c r="K56" s="817"/>
      <c r="L56" s="816"/>
      <c r="M56" s="816"/>
      <c r="N56" s="829">
        <f>SUM(N55)</f>
        <v>85000000</v>
      </c>
    </row>
    <row r="57" spans="1:14">
      <c r="A57" s="1116" t="s">
        <v>1482</v>
      </c>
      <c r="B57" s="1117"/>
      <c r="C57" s="1117"/>
      <c r="D57" s="1117"/>
      <c r="E57" s="1117"/>
      <c r="F57" s="1117"/>
      <c r="G57" s="1117"/>
      <c r="H57" s="1117"/>
      <c r="I57" s="1117"/>
      <c r="J57" s="1117"/>
      <c r="K57" s="1117"/>
      <c r="L57" s="1117"/>
      <c r="M57" s="1117"/>
      <c r="N57" s="1134"/>
    </row>
    <row r="58" spans="1:14">
      <c r="A58" s="432" t="s">
        <v>1601</v>
      </c>
      <c r="B58" s="433" t="s">
        <v>1548</v>
      </c>
      <c r="C58" s="433" t="s">
        <v>25248</v>
      </c>
      <c r="D58" s="433" t="s">
        <v>25232</v>
      </c>
      <c r="E58" s="433" t="s">
        <v>3143</v>
      </c>
      <c r="F58" s="433" t="s">
        <v>25249</v>
      </c>
      <c r="G58" s="433" t="s">
        <v>25250</v>
      </c>
      <c r="H58" s="433" t="s">
        <v>25251</v>
      </c>
      <c r="I58" s="433" t="s">
        <v>10073</v>
      </c>
      <c r="J58" s="495">
        <v>12000000</v>
      </c>
      <c r="K58" s="374"/>
      <c r="L58" s="374"/>
      <c r="M58" s="433" t="s">
        <v>3142</v>
      </c>
      <c r="N58" s="511">
        <v>35000000</v>
      </c>
    </row>
    <row r="59" spans="1:14">
      <c r="A59" s="432" t="s">
        <v>1601</v>
      </c>
      <c r="B59" s="433" t="s">
        <v>1601</v>
      </c>
      <c r="C59" s="433" t="s">
        <v>25252</v>
      </c>
      <c r="D59" s="433" t="s">
        <v>25232</v>
      </c>
      <c r="E59" s="433" t="s">
        <v>3143</v>
      </c>
      <c r="F59" s="433" t="s">
        <v>25253</v>
      </c>
      <c r="G59" s="433" t="s">
        <v>25234</v>
      </c>
      <c r="H59" s="433" t="s">
        <v>25254</v>
      </c>
      <c r="I59" s="433" t="s">
        <v>10073</v>
      </c>
      <c r="J59" s="495">
        <v>45000000</v>
      </c>
      <c r="K59" s="374"/>
      <c r="L59" s="374"/>
      <c r="M59" s="433" t="s">
        <v>3142</v>
      </c>
      <c r="N59" s="511">
        <v>48000000</v>
      </c>
    </row>
    <row r="60" spans="1:14">
      <c r="A60" s="432" t="s">
        <v>1484</v>
      </c>
      <c r="B60" s="433" t="s">
        <v>1484</v>
      </c>
      <c r="C60" s="433" t="s">
        <v>25255</v>
      </c>
      <c r="D60" s="433" t="s">
        <v>25232</v>
      </c>
      <c r="E60" s="433" t="s">
        <v>3143</v>
      </c>
      <c r="F60" s="433" t="s">
        <v>25256</v>
      </c>
      <c r="G60" s="433" t="s">
        <v>25234</v>
      </c>
      <c r="H60" s="433" t="s">
        <v>25257</v>
      </c>
      <c r="I60" s="433" t="s">
        <v>10073</v>
      </c>
      <c r="J60" s="495">
        <v>48000000</v>
      </c>
      <c r="K60" s="374"/>
      <c r="L60" s="374"/>
      <c r="M60" s="433" t="s">
        <v>3142</v>
      </c>
      <c r="N60" s="511">
        <v>27000000</v>
      </c>
    </row>
    <row r="61" spans="1:14">
      <c r="A61" s="432" t="s">
        <v>1576</v>
      </c>
      <c r="B61" s="433" t="s">
        <v>1572</v>
      </c>
      <c r="C61" s="433" t="s">
        <v>25258</v>
      </c>
      <c r="D61" s="433" t="s">
        <v>25232</v>
      </c>
      <c r="E61" s="433" t="s">
        <v>3143</v>
      </c>
      <c r="F61" s="433" t="s">
        <v>25259</v>
      </c>
      <c r="G61" s="433" t="s">
        <v>25234</v>
      </c>
      <c r="H61" s="433" t="s">
        <v>25260</v>
      </c>
      <c r="I61" s="433" t="s">
        <v>10073</v>
      </c>
      <c r="J61" s="495">
        <v>22000000</v>
      </c>
      <c r="K61" s="374"/>
      <c r="L61" s="374"/>
      <c r="M61" s="433" t="s">
        <v>3142</v>
      </c>
      <c r="N61" s="511">
        <v>12000000</v>
      </c>
    </row>
    <row r="62" spans="1:14">
      <c r="A62" s="432" t="s">
        <v>1576</v>
      </c>
      <c r="B62" s="433" t="s">
        <v>1576</v>
      </c>
      <c r="C62" s="433" t="s">
        <v>25261</v>
      </c>
      <c r="D62" s="433" t="s">
        <v>25232</v>
      </c>
      <c r="E62" s="433" t="s">
        <v>3143</v>
      </c>
      <c r="F62" s="433" t="s">
        <v>25262</v>
      </c>
      <c r="G62" s="433" t="s">
        <v>25234</v>
      </c>
      <c r="H62" s="433" t="s">
        <v>25263</v>
      </c>
      <c r="I62" s="433" t="s">
        <v>10073</v>
      </c>
      <c r="J62" s="495">
        <v>38000000</v>
      </c>
      <c r="K62" s="374"/>
      <c r="L62" s="374"/>
      <c r="M62" s="433" t="s">
        <v>3142</v>
      </c>
      <c r="N62" s="511">
        <v>45000000</v>
      </c>
    </row>
    <row r="63" spans="1:14">
      <c r="A63" s="828" t="s">
        <v>189</v>
      </c>
      <c r="B63" s="817"/>
      <c r="C63" s="817"/>
      <c r="D63" s="817"/>
      <c r="E63" s="816"/>
      <c r="F63" s="816"/>
      <c r="G63" s="816"/>
      <c r="H63" s="817"/>
      <c r="I63" s="816"/>
      <c r="J63" s="818">
        <f>SUM(J58:J62)</f>
        <v>165000000</v>
      </c>
      <c r="K63" s="817"/>
      <c r="L63" s="816"/>
      <c r="M63" s="816"/>
      <c r="N63" s="829">
        <f>SUM(N58:N62)</f>
        <v>167000000</v>
      </c>
    </row>
    <row r="64" spans="1:14">
      <c r="A64" s="1116" t="s">
        <v>1706</v>
      </c>
      <c r="B64" s="1117"/>
      <c r="C64" s="1117"/>
      <c r="D64" s="1117"/>
      <c r="E64" s="1117"/>
      <c r="F64" s="1117"/>
      <c r="G64" s="1117"/>
      <c r="H64" s="1117"/>
      <c r="I64" s="1117"/>
      <c r="J64" s="1117"/>
      <c r="K64" s="1117"/>
      <c r="L64" s="1117"/>
      <c r="M64" s="1117"/>
      <c r="N64" s="1134"/>
    </row>
    <row r="65" spans="1:14">
      <c r="A65" s="432" t="s">
        <v>4431</v>
      </c>
      <c r="B65" s="433" t="s">
        <v>1266</v>
      </c>
      <c r="C65" s="433" t="s">
        <v>25285</v>
      </c>
      <c r="D65" s="433" t="s">
        <v>25232</v>
      </c>
      <c r="E65" s="433" t="s">
        <v>25286</v>
      </c>
      <c r="F65" s="433" t="s">
        <v>25287</v>
      </c>
      <c r="G65" s="433" t="s">
        <v>25234</v>
      </c>
      <c r="H65" s="433" t="s">
        <v>25288</v>
      </c>
      <c r="I65" s="433" t="s">
        <v>10073</v>
      </c>
      <c r="J65" s="495">
        <v>46000000</v>
      </c>
      <c r="K65" s="374"/>
      <c r="L65" s="374"/>
      <c r="M65" s="433" t="s">
        <v>3142</v>
      </c>
      <c r="N65" s="511">
        <v>46000000</v>
      </c>
    </row>
    <row r="66" spans="1:14">
      <c r="A66" s="432" t="s">
        <v>4123</v>
      </c>
      <c r="B66" s="433" t="s">
        <v>4123</v>
      </c>
      <c r="C66" s="433" t="s">
        <v>25289</v>
      </c>
      <c r="D66" s="433" t="s">
        <v>25232</v>
      </c>
      <c r="E66" s="433" t="s">
        <v>3143</v>
      </c>
      <c r="F66" s="433" t="s">
        <v>25290</v>
      </c>
      <c r="G66" s="433" t="s">
        <v>25234</v>
      </c>
      <c r="H66" s="433" t="s">
        <v>25291</v>
      </c>
      <c r="I66" s="433" t="s">
        <v>10073</v>
      </c>
      <c r="J66" s="495">
        <v>6000000</v>
      </c>
      <c r="K66" s="374"/>
      <c r="L66" s="374"/>
      <c r="M66" s="433" t="s">
        <v>3142</v>
      </c>
      <c r="N66" s="511">
        <v>38000000</v>
      </c>
    </row>
    <row r="67" spans="1:14">
      <c r="A67" s="432" t="s">
        <v>4123</v>
      </c>
      <c r="B67" s="433" t="s">
        <v>4425</v>
      </c>
      <c r="C67" s="433" t="s">
        <v>25292</v>
      </c>
      <c r="D67" s="433" t="s">
        <v>25232</v>
      </c>
      <c r="E67" s="433" t="s">
        <v>3143</v>
      </c>
      <c r="F67" s="433" t="s">
        <v>25280</v>
      </c>
      <c r="G67" s="433" t="s">
        <v>25234</v>
      </c>
      <c r="H67" s="433" t="s">
        <v>25293</v>
      </c>
      <c r="I67" s="433" t="s">
        <v>10073</v>
      </c>
      <c r="J67" s="495">
        <v>2000000</v>
      </c>
      <c r="K67" s="374"/>
      <c r="L67" s="374"/>
      <c r="M67" s="433" t="s">
        <v>3142</v>
      </c>
      <c r="N67" s="510">
        <v>12000000</v>
      </c>
    </row>
    <row r="68" spans="1:14">
      <c r="A68" s="828" t="s">
        <v>189</v>
      </c>
      <c r="B68" s="817"/>
      <c r="C68" s="817"/>
      <c r="D68" s="817"/>
      <c r="E68" s="816"/>
      <c r="F68" s="816"/>
      <c r="G68" s="816"/>
      <c r="H68" s="817"/>
      <c r="I68" s="816"/>
      <c r="J68" s="818">
        <f>SUM(J65:J67)</f>
        <v>54000000</v>
      </c>
      <c r="K68" s="817"/>
      <c r="L68" s="816"/>
      <c r="M68" s="816"/>
      <c r="N68" s="829">
        <f>SUM(N65:N67)</f>
        <v>96000000</v>
      </c>
    </row>
    <row r="69" spans="1:14">
      <c r="A69" s="1116" t="s">
        <v>9996</v>
      </c>
      <c r="B69" s="1117"/>
      <c r="C69" s="1117"/>
      <c r="D69" s="1117"/>
      <c r="E69" s="1117"/>
      <c r="F69" s="1117"/>
      <c r="G69" s="1117"/>
      <c r="H69" s="1117"/>
      <c r="I69" s="1117"/>
      <c r="J69" s="1117"/>
      <c r="K69" s="1117"/>
      <c r="L69" s="1117"/>
      <c r="M69" s="1117"/>
      <c r="N69" s="1134"/>
    </row>
    <row r="70" spans="1:14">
      <c r="A70" s="432" t="s">
        <v>8203</v>
      </c>
      <c r="B70" s="433" t="s">
        <v>8203</v>
      </c>
      <c r="C70" s="433" t="s">
        <v>9167</v>
      </c>
      <c r="D70" s="433" t="s">
        <v>25232</v>
      </c>
      <c r="E70" s="433" t="s">
        <v>3143</v>
      </c>
      <c r="F70" s="433" t="s">
        <v>25253</v>
      </c>
      <c r="G70" s="433" t="s">
        <v>25277</v>
      </c>
      <c r="H70" s="433" t="s">
        <v>25278</v>
      </c>
      <c r="I70" s="433" t="s">
        <v>10073</v>
      </c>
      <c r="J70" s="495">
        <v>8500000</v>
      </c>
      <c r="K70" s="374"/>
      <c r="L70" s="374"/>
      <c r="M70" s="433" t="s">
        <v>3142</v>
      </c>
      <c r="N70" s="511">
        <v>8000000</v>
      </c>
    </row>
    <row r="71" spans="1:14">
      <c r="A71" s="432" t="s">
        <v>8185</v>
      </c>
      <c r="B71" s="433" t="s">
        <v>8185</v>
      </c>
      <c r="C71" s="433" t="s">
        <v>25279</v>
      </c>
      <c r="D71" s="433" t="s">
        <v>25232</v>
      </c>
      <c r="E71" s="433" t="s">
        <v>3143</v>
      </c>
      <c r="F71" s="433" t="s">
        <v>25280</v>
      </c>
      <c r="G71" s="433" t="s">
        <v>25277</v>
      </c>
      <c r="H71" s="433" t="s">
        <v>25278</v>
      </c>
      <c r="I71" s="433" t="s">
        <v>10073</v>
      </c>
      <c r="J71" s="495">
        <v>9500000</v>
      </c>
      <c r="K71" s="374"/>
      <c r="L71" s="374"/>
      <c r="M71" s="433" t="s">
        <v>3142</v>
      </c>
      <c r="N71" s="511">
        <v>16000000</v>
      </c>
    </row>
    <row r="72" spans="1:14">
      <c r="A72" s="828" t="s">
        <v>189</v>
      </c>
      <c r="B72" s="817"/>
      <c r="C72" s="817"/>
      <c r="D72" s="817"/>
      <c r="E72" s="816"/>
      <c r="F72" s="816"/>
      <c r="G72" s="816"/>
      <c r="H72" s="817"/>
      <c r="I72" s="816"/>
      <c r="J72" s="818">
        <f>SUM(J70:J71)</f>
        <v>18000000</v>
      </c>
      <c r="K72" s="817"/>
      <c r="L72" s="816"/>
      <c r="M72" s="816"/>
      <c r="N72" s="829">
        <f>SUM(N70:N71)</f>
        <v>24000000</v>
      </c>
    </row>
    <row r="73" spans="1:14">
      <c r="A73" s="1116" t="s">
        <v>7313</v>
      </c>
      <c r="B73" s="1117"/>
      <c r="C73" s="1117"/>
      <c r="D73" s="1117"/>
      <c r="E73" s="1117"/>
      <c r="F73" s="1117"/>
      <c r="G73" s="1117"/>
      <c r="H73" s="1117"/>
      <c r="I73" s="1117"/>
      <c r="J73" s="1117"/>
      <c r="K73" s="1117"/>
      <c r="L73" s="1117"/>
      <c r="M73" s="1117"/>
      <c r="N73" s="1134"/>
    </row>
    <row r="74" spans="1:14">
      <c r="A74" s="432" t="s">
        <v>25311</v>
      </c>
      <c r="B74" s="433" t="s">
        <v>7345</v>
      </c>
      <c r="C74" s="374"/>
      <c r="D74" s="433" t="s">
        <v>25232</v>
      </c>
      <c r="E74" s="433" t="s">
        <v>3143</v>
      </c>
      <c r="F74" s="433" t="s">
        <v>25253</v>
      </c>
      <c r="G74" s="433" t="s">
        <v>25234</v>
      </c>
      <c r="H74" s="433" t="s">
        <v>25312</v>
      </c>
      <c r="I74" s="433" t="s">
        <v>10073</v>
      </c>
      <c r="J74" s="495">
        <v>5000000</v>
      </c>
      <c r="K74" s="374"/>
      <c r="L74" s="374"/>
      <c r="M74" s="433" t="s">
        <v>3142</v>
      </c>
      <c r="N74" s="510">
        <v>48000000</v>
      </c>
    </row>
    <row r="75" spans="1:14">
      <c r="A75" s="432" t="s">
        <v>25311</v>
      </c>
      <c r="B75" s="433" t="s">
        <v>25311</v>
      </c>
      <c r="C75" s="374"/>
      <c r="D75" s="433" t="s">
        <v>25232</v>
      </c>
      <c r="E75" s="433" t="s">
        <v>3143</v>
      </c>
      <c r="F75" s="433" t="s">
        <v>25313</v>
      </c>
      <c r="G75" s="433" t="s">
        <v>25234</v>
      </c>
      <c r="H75" s="433" t="s">
        <v>25314</v>
      </c>
      <c r="I75" s="433" t="s">
        <v>10073</v>
      </c>
      <c r="J75" s="495">
        <v>6000000</v>
      </c>
      <c r="K75" s="374"/>
      <c r="L75" s="374"/>
      <c r="M75" s="433" t="s">
        <v>3142</v>
      </c>
      <c r="N75" s="511">
        <v>5000000</v>
      </c>
    </row>
    <row r="76" spans="1:14">
      <c r="A76" s="432" t="s">
        <v>4587</v>
      </c>
      <c r="B76" s="433" t="s">
        <v>4587</v>
      </c>
      <c r="C76" s="433" t="s">
        <v>9054</v>
      </c>
      <c r="D76" s="433" t="s">
        <v>25232</v>
      </c>
      <c r="E76" s="433" t="s">
        <v>3143</v>
      </c>
      <c r="F76" s="433" t="s">
        <v>25280</v>
      </c>
      <c r="G76" s="433" t="s">
        <v>25234</v>
      </c>
      <c r="H76" s="433" t="s">
        <v>25278</v>
      </c>
      <c r="I76" s="433" t="s">
        <v>10073</v>
      </c>
      <c r="J76" s="495">
        <v>7000000</v>
      </c>
      <c r="K76" s="374"/>
      <c r="L76" s="374"/>
      <c r="M76" s="433" t="s">
        <v>3142</v>
      </c>
      <c r="N76" s="511">
        <v>6000000</v>
      </c>
    </row>
    <row r="77" spans="1:14">
      <c r="A77" s="432" t="s">
        <v>110</v>
      </c>
      <c r="B77" s="433" t="s">
        <v>110</v>
      </c>
      <c r="C77" s="433" t="s">
        <v>25315</v>
      </c>
      <c r="D77" s="433" t="s">
        <v>25232</v>
      </c>
      <c r="E77" s="433" t="s">
        <v>3143</v>
      </c>
      <c r="F77" s="433" t="s">
        <v>25316</v>
      </c>
      <c r="G77" s="433" t="s">
        <v>25234</v>
      </c>
      <c r="H77" s="433" t="s">
        <v>25317</v>
      </c>
      <c r="I77" s="433" t="s">
        <v>10073</v>
      </c>
      <c r="J77" s="495">
        <v>50000000</v>
      </c>
      <c r="K77" s="374"/>
      <c r="L77" s="374"/>
      <c r="M77" s="433" t="s">
        <v>3142</v>
      </c>
      <c r="N77" s="511">
        <v>7000000</v>
      </c>
    </row>
    <row r="78" spans="1:14">
      <c r="A78" s="828" t="s">
        <v>189</v>
      </c>
      <c r="B78" s="817"/>
      <c r="C78" s="817"/>
      <c r="D78" s="817"/>
      <c r="E78" s="816"/>
      <c r="F78" s="816"/>
      <c r="G78" s="816"/>
      <c r="H78" s="817"/>
      <c r="I78" s="816"/>
      <c r="J78" s="818">
        <f>SUM(J74:J77)</f>
        <v>68000000</v>
      </c>
      <c r="K78" s="817"/>
      <c r="L78" s="816"/>
      <c r="M78" s="816"/>
      <c r="N78" s="829">
        <f>SUM(N74:N77)</f>
        <v>66000000</v>
      </c>
    </row>
    <row r="79" spans="1:14">
      <c r="A79" s="1116" t="s">
        <v>9984</v>
      </c>
      <c r="B79" s="1117"/>
      <c r="C79" s="1117"/>
      <c r="D79" s="1117"/>
      <c r="E79" s="1117"/>
      <c r="F79" s="1117"/>
      <c r="G79" s="1117"/>
      <c r="H79" s="1117"/>
      <c r="I79" s="1117"/>
      <c r="J79" s="1117"/>
      <c r="K79" s="1117"/>
      <c r="L79" s="1117"/>
      <c r="M79" s="1117"/>
      <c r="N79" s="1134"/>
    </row>
    <row r="80" spans="1:14">
      <c r="A80" s="432" t="s">
        <v>4848</v>
      </c>
      <c r="B80" s="433" t="s">
        <v>4848</v>
      </c>
      <c r="C80" s="433" t="s">
        <v>9276</v>
      </c>
      <c r="D80" s="433" t="s">
        <v>25232</v>
      </c>
      <c r="E80" s="433" t="s">
        <v>3143</v>
      </c>
      <c r="F80" s="433" t="s">
        <v>25318</v>
      </c>
      <c r="G80" s="433" t="s">
        <v>25277</v>
      </c>
      <c r="H80" s="433" t="s">
        <v>25319</v>
      </c>
      <c r="I80" s="433" t="s">
        <v>10073</v>
      </c>
      <c r="J80" s="819">
        <v>35000000</v>
      </c>
      <c r="K80" s="374"/>
      <c r="L80" s="374"/>
      <c r="M80" s="433" t="s">
        <v>3142</v>
      </c>
      <c r="N80" s="511">
        <v>8500000</v>
      </c>
    </row>
    <row r="81" spans="1:14">
      <c r="A81" s="828" t="s">
        <v>189</v>
      </c>
      <c r="B81" s="817"/>
      <c r="C81" s="817"/>
      <c r="D81" s="817"/>
      <c r="E81" s="816"/>
      <c r="F81" s="816"/>
      <c r="G81" s="816"/>
      <c r="H81" s="817"/>
      <c r="I81" s="816"/>
      <c r="J81" s="818">
        <f>SUM(J80)</f>
        <v>35000000</v>
      </c>
      <c r="K81" s="817"/>
      <c r="L81" s="816"/>
      <c r="M81" s="816"/>
      <c r="N81" s="829">
        <f>SUM(N80)</f>
        <v>8500000</v>
      </c>
    </row>
    <row r="82" spans="1:14">
      <c r="A82" s="1116" t="s">
        <v>1261</v>
      </c>
      <c r="B82" s="1117"/>
      <c r="C82" s="1117"/>
      <c r="D82" s="1117"/>
      <c r="E82" s="1117"/>
      <c r="F82" s="1117"/>
      <c r="G82" s="1117"/>
      <c r="H82" s="1117"/>
      <c r="I82" s="1117"/>
      <c r="J82" s="1117"/>
      <c r="K82" s="1117"/>
      <c r="L82" s="1117"/>
      <c r="M82" s="1117"/>
      <c r="N82" s="1134"/>
    </row>
    <row r="83" spans="1:14">
      <c r="A83" s="432" t="s">
        <v>25322</v>
      </c>
      <c r="B83" s="433" t="s">
        <v>879</v>
      </c>
      <c r="C83" s="433" t="s">
        <v>25323</v>
      </c>
      <c r="D83" s="433" t="s">
        <v>25232</v>
      </c>
      <c r="E83" s="433" t="s">
        <v>3143</v>
      </c>
      <c r="F83" s="433" t="s">
        <v>25324</v>
      </c>
      <c r="G83" s="433" t="s">
        <v>25234</v>
      </c>
      <c r="H83" s="433" t="s">
        <v>25325</v>
      </c>
      <c r="I83" s="433" t="s">
        <v>10073</v>
      </c>
      <c r="J83" s="495">
        <v>36000000</v>
      </c>
      <c r="K83" s="374"/>
      <c r="L83" s="374"/>
      <c r="M83" s="433" t="s">
        <v>3142</v>
      </c>
      <c r="N83" s="510">
        <v>35000000</v>
      </c>
    </row>
    <row r="84" spans="1:14">
      <c r="A84" s="432" t="s">
        <v>1262</v>
      </c>
      <c r="B84" s="433" t="s">
        <v>25326</v>
      </c>
      <c r="C84" s="433" t="s">
        <v>25327</v>
      </c>
      <c r="D84" s="433" t="s">
        <v>25232</v>
      </c>
      <c r="E84" s="433" t="s">
        <v>3143</v>
      </c>
      <c r="F84" s="433" t="s">
        <v>25328</v>
      </c>
      <c r="G84" s="433" t="s">
        <v>25238</v>
      </c>
      <c r="H84" s="433" t="s">
        <v>25329</v>
      </c>
      <c r="I84" s="433" t="s">
        <v>10073</v>
      </c>
      <c r="J84" s="819">
        <v>6000000</v>
      </c>
      <c r="K84" s="374"/>
      <c r="L84" s="374"/>
      <c r="M84" s="433" t="s">
        <v>3142</v>
      </c>
      <c r="N84" s="511">
        <v>30000000</v>
      </c>
    </row>
    <row r="85" spans="1:14">
      <c r="A85" s="828" t="s">
        <v>189</v>
      </c>
      <c r="B85" s="817"/>
      <c r="C85" s="817"/>
      <c r="D85" s="817"/>
      <c r="E85" s="816"/>
      <c r="F85" s="816"/>
      <c r="G85" s="816"/>
      <c r="H85" s="817"/>
      <c r="I85" s="816"/>
      <c r="J85" s="818">
        <f>SUM(J83:J84)</f>
        <v>42000000</v>
      </c>
      <c r="K85" s="817"/>
      <c r="L85" s="816"/>
      <c r="M85" s="816"/>
      <c r="N85" s="829">
        <f>SUM(N83:N84)</f>
        <v>65000000</v>
      </c>
    </row>
    <row r="86" spans="1:14">
      <c r="A86" s="1116" t="s">
        <v>9991</v>
      </c>
      <c r="B86" s="1117"/>
      <c r="C86" s="1117"/>
      <c r="D86" s="1117"/>
      <c r="E86" s="1117"/>
      <c r="F86" s="1117"/>
      <c r="G86" s="1117"/>
      <c r="H86" s="1117"/>
      <c r="I86" s="1117"/>
      <c r="J86" s="1117"/>
      <c r="K86" s="1117"/>
      <c r="L86" s="1117"/>
      <c r="M86" s="1117"/>
      <c r="N86" s="1134"/>
    </row>
    <row r="87" spans="1:14">
      <c r="A87" s="432" t="s">
        <v>59</v>
      </c>
      <c r="B87" s="433" t="s">
        <v>59</v>
      </c>
      <c r="C87" s="433" t="s">
        <v>25334</v>
      </c>
      <c r="D87" s="433" t="s">
        <v>25335</v>
      </c>
      <c r="E87" s="433" t="s">
        <v>3143</v>
      </c>
      <c r="F87" s="821">
        <v>650</v>
      </c>
      <c r="G87" s="433" t="s">
        <v>10032</v>
      </c>
      <c r="H87" s="433" t="s">
        <v>25336</v>
      </c>
      <c r="I87" s="433" t="s">
        <v>3149</v>
      </c>
      <c r="J87" s="822">
        <v>45000000</v>
      </c>
      <c r="K87" s="821"/>
      <c r="L87" s="433" t="s">
        <v>30</v>
      </c>
      <c r="M87" s="433" t="s">
        <v>3142</v>
      </c>
      <c r="N87" s="511">
        <v>45000000</v>
      </c>
    </row>
    <row r="88" spans="1:14">
      <c r="A88" s="432" t="s">
        <v>59</v>
      </c>
      <c r="B88" s="433" t="s">
        <v>59</v>
      </c>
      <c r="C88" s="433" t="s">
        <v>25337</v>
      </c>
      <c r="D88" s="433" t="s">
        <v>25335</v>
      </c>
      <c r="E88" s="433" t="s">
        <v>3143</v>
      </c>
      <c r="F88" s="374">
        <v>650</v>
      </c>
      <c r="G88" s="433" t="s">
        <v>3139</v>
      </c>
      <c r="H88" s="433" t="s">
        <v>25338</v>
      </c>
      <c r="I88" s="433" t="s">
        <v>3149</v>
      </c>
      <c r="J88" s="495">
        <v>14500000</v>
      </c>
      <c r="K88" s="374"/>
      <c r="L88" s="433" t="s">
        <v>1711</v>
      </c>
      <c r="M88" s="433" t="s">
        <v>3142</v>
      </c>
      <c r="N88" s="511">
        <v>14500000</v>
      </c>
    </row>
    <row r="89" spans="1:14">
      <c r="A89" s="828" t="s">
        <v>189</v>
      </c>
      <c r="B89" s="817"/>
      <c r="C89" s="817"/>
      <c r="D89" s="817"/>
      <c r="E89" s="816"/>
      <c r="F89" s="816"/>
      <c r="G89" s="816"/>
      <c r="H89" s="817"/>
      <c r="I89" s="816"/>
      <c r="J89" s="818">
        <f>SUM(J87:J88)</f>
        <v>59500000</v>
      </c>
      <c r="K89" s="817"/>
      <c r="L89" s="816"/>
      <c r="M89" s="816"/>
      <c r="N89" s="829">
        <f>SUM(N87:N88)</f>
        <v>59500000</v>
      </c>
    </row>
    <row r="90" spans="1:14">
      <c r="A90" s="1116" t="s">
        <v>9992</v>
      </c>
      <c r="B90" s="1117"/>
      <c r="C90" s="1117"/>
      <c r="D90" s="1117"/>
      <c r="E90" s="1117"/>
      <c r="F90" s="1117"/>
      <c r="G90" s="1117"/>
      <c r="H90" s="1117"/>
      <c r="I90" s="1117"/>
      <c r="J90" s="1117"/>
      <c r="K90" s="1117"/>
      <c r="L90" s="1117"/>
      <c r="M90" s="1117"/>
      <c r="N90" s="1134"/>
    </row>
    <row r="91" spans="1:14">
      <c r="A91" s="435" t="s">
        <v>3907</v>
      </c>
      <c r="B91" s="246" t="s">
        <v>3907</v>
      </c>
      <c r="C91" s="823" t="s">
        <v>25339</v>
      </c>
      <c r="D91" s="249" t="s">
        <v>25335</v>
      </c>
      <c r="E91" s="249" t="s">
        <v>3138</v>
      </c>
      <c r="F91" s="437">
        <v>280</v>
      </c>
      <c r="G91" s="249" t="s">
        <v>10032</v>
      </c>
      <c r="H91" s="249" t="s">
        <v>25340</v>
      </c>
      <c r="I91" s="249" t="s">
        <v>3149</v>
      </c>
      <c r="J91" s="822">
        <v>3000000</v>
      </c>
      <c r="K91" s="437"/>
      <c r="L91" s="249" t="s">
        <v>30</v>
      </c>
      <c r="M91" s="249" t="s">
        <v>3142</v>
      </c>
      <c r="N91" s="509">
        <v>3000000</v>
      </c>
    </row>
    <row r="92" spans="1:14" ht="38.25">
      <c r="A92" s="830" t="s">
        <v>25343</v>
      </c>
      <c r="B92" s="56" t="s">
        <v>25343</v>
      </c>
      <c r="C92" s="26" t="s">
        <v>25344</v>
      </c>
      <c r="D92" s="56" t="s">
        <v>9703</v>
      </c>
      <c r="E92" s="56" t="s">
        <v>25345</v>
      </c>
      <c r="F92" s="56">
        <v>200</v>
      </c>
      <c r="G92" s="56" t="s">
        <v>10032</v>
      </c>
      <c r="H92" s="56" t="s">
        <v>25346</v>
      </c>
      <c r="I92" s="56" t="s">
        <v>3144</v>
      </c>
      <c r="J92" s="824">
        <v>120000000</v>
      </c>
      <c r="K92" s="26" t="s">
        <v>25347</v>
      </c>
      <c r="L92" s="56">
        <v>1</v>
      </c>
      <c r="M92" s="56" t="s">
        <v>25348</v>
      </c>
      <c r="N92" s="832">
        <v>120000000</v>
      </c>
    </row>
    <row r="93" spans="1:14">
      <c r="A93" s="828" t="s">
        <v>189</v>
      </c>
      <c r="B93" s="817"/>
      <c r="C93" s="817"/>
      <c r="D93" s="817"/>
      <c r="E93" s="816"/>
      <c r="F93" s="816"/>
      <c r="G93" s="816"/>
      <c r="H93" s="817"/>
      <c r="I93" s="816"/>
      <c r="J93" s="818">
        <f>SUM(J91:J92)</f>
        <v>123000000</v>
      </c>
      <c r="K93" s="817"/>
      <c r="L93" s="816"/>
      <c r="M93" s="816"/>
      <c r="N93" s="829">
        <f>SUM(N91:N92)</f>
        <v>123000000</v>
      </c>
    </row>
    <row r="94" spans="1:14">
      <c r="A94" s="1116"/>
      <c r="B94" s="1117"/>
      <c r="C94" s="1117"/>
      <c r="D94" s="1117"/>
      <c r="E94" s="1117"/>
      <c r="F94" s="1117"/>
      <c r="G94" s="1117"/>
      <c r="H94" s="1117"/>
      <c r="I94" s="1117"/>
      <c r="J94" s="1117"/>
      <c r="K94" s="1117"/>
      <c r="L94" s="1117"/>
      <c r="M94" s="1117"/>
      <c r="N94" s="1134"/>
    </row>
    <row r="95" spans="1:14">
      <c r="A95" s="833"/>
      <c r="B95" s="826"/>
      <c r="C95" s="826"/>
      <c r="D95" s="826"/>
      <c r="E95" s="825"/>
      <c r="F95" s="825"/>
      <c r="G95" s="825"/>
      <c r="H95" s="826"/>
      <c r="I95" s="825"/>
      <c r="J95" s="827"/>
      <c r="K95" s="826"/>
      <c r="L95" s="825"/>
      <c r="M95" s="825"/>
      <c r="N95" s="834"/>
    </row>
    <row r="96" spans="1:14" ht="16.5" thickBot="1">
      <c r="A96" s="1111" t="s">
        <v>91</v>
      </c>
      <c r="B96" s="1112"/>
      <c r="C96" s="1112"/>
      <c r="D96" s="1112"/>
      <c r="E96" s="1112"/>
      <c r="F96" s="1112"/>
      <c r="G96" s="1112"/>
      <c r="H96" s="1112"/>
      <c r="I96" s="1112"/>
      <c r="J96" s="718">
        <f>+J93+J89+J85+J81+J78+J72+J68+J63+J56+J53+J49+J43+J37+J34+J31+J28+J25+J22+J19+J16+J9+J46</f>
        <v>1154000000</v>
      </c>
      <c r="K96" s="1112" t="s">
        <v>3149</v>
      </c>
      <c r="L96" s="1112"/>
      <c r="M96" s="1112"/>
      <c r="N96" s="719">
        <f>+N93+N89+N85+N81+N78+N72+N68+N63+N56+N53+N49+N43+N37+N34+N31+N28+N25+N22+N19+N16+N9+N46</f>
        <v>1459000000</v>
      </c>
    </row>
  </sheetData>
  <mergeCells count="35">
    <mergeCell ref="A90:N90"/>
    <mergeCell ref="A73:N73"/>
    <mergeCell ref="A79:N79"/>
    <mergeCell ref="A82:N82"/>
    <mergeCell ref="A44:N44"/>
    <mergeCell ref="A86:N86"/>
    <mergeCell ref="A17:N17"/>
    <mergeCell ref="A69:N69"/>
    <mergeCell ref="A29:N29"/>
    <mergeCell ref="A64:N64"/>
    <mergeCell ref="A50:N50"/>
    <mergeCell ref="A23:N23"/>
    <mergeCell ref="A54:N54"/>
    <mergeCell ref="A38:N38"/>
    <mergeCell ref="A26:N26"/>
    <mergeCell ref="A32:N32"/>
    <mergeCell ref="A35:N35"/>
    <mergeCell ref="A47:N47"/>
    <mergeCell ref="A57:N57"/>
    <mergeCell ref="A94:N94"/>
    <mergeCell ref="K96:M96"/>
    <mergeCell ref="A96:I96"/>
    <mergeCell ref="A10:N10"/>
    <mergeCell ref="A1:N1"/>
    <mergeCell ref="A2:N2"/>
    <mergeCell ref="A3:N3"/>
    <mergeCell ref="A4:A5"/>
    <mergeCell ref="B4:C4"/>
    <mergeCell ref="D4:D5"/>
    <mergeCell ref="E4:G4"/>
    <mergeCell ref="H4:J4"/>
    <mergeCell ref="K4:K5"/>
    <mergeCell ref="L4:N4"/>
    <mergeCell ref="A6:N6"/>
    <mergeCell ref="A20:N20"/>
  </mergeCells>
  <pageMargins left="0.7" right="0.7" top="0.75" bottom="0.75" header="0.3" footer="0.3"/>
  <pageSetup scale="5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347128E6F3B5B4F8FD3F503E701AA01" ma:contentTypeVersion="14" ma:contentTypeDescription="Crear nuevo documento." ma:contentTypeScope="" ma:versionID="fa76ee7e336575f87ddfe9d9b1cd12fe">
  <xsd:schema xmlns:xsd="http://www.w3.org/2001/XMLSchema" xmlns:xs="http://www.w3.org/2001/XMLSchema" xmlns:p="http://schemas.microsoft.com/office/2006/metadata/properties" xmlns:ns2="1d53f76f-5fb9-46e8-baaf-6cbdc5ee46ad" xmlns:ns3="dbb9e94c-2a44-4557-8076-c13b38405f67" targetNamespace="http://schemas.microsoft.com/office/2006/metadata/properties" ma:root="true" ma:fieldsID="67b7f3a3dafff5be889d358e80ee305f" ns2:_="" ns3:_="">
    <xsd:import namespace="1d53f76f-5fb9-46e8-baaf-6cbdc5ee46ad"/>
    <xsd:import namespace="dbb9e94c-2a44-4557-8076-c13b38405f67"/>
    <xsd:element name="properties">
      <xsd:complexType>
        <xsd:sequence>
          <xsd:element name="documentManagement">
            <xsd:complexType>
              <xsd:all>
                <xsd:element ref="ns2:SharedWithUsers" minOccurs="0"/>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3f76f-5fb9-46e8-baaf-6cbdc5ee46ad" elementFormDefault="qualified">
    <xsd:import namespace="http://schemas.microsoft.com/office/2006/documentManagement/types"/>
    <xsd:import namespace="http://schemas.microsoft.com/office/infopath/2007/PartnerControls"/>
    <xsd:element name="SharedWithUsers" ma:index="8" nillable="true" ma:displayName="Compartido con" ma:list="UserInfo" ma:SearchPeopleOnly="false" ma:internalName="SharedWithUsers"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8d7384ca-cf13-4555-b9a0-6499c24bc3b7"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b9e94c-2a44-4557-8076-c13b38405f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d5a99fc6-88ad-4925-ad29-8e9f11b4c2bf}" ma:internalName="TaxCatchAll" ma:showField="CatchAllData" ma:web="dbb9e94c-2a44-4557-8076-c13b38405f6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1d53f76f-5fb9-46e8-baaf-6cbdc5ee46ad">
      <UserInfo>
        <DisplayName/>
        <AccountId xsi:nil="true"/>
        <AccountType/>
      </UserInfo>
    </SharedWithUsers>
    <lcf76f155ced4ddcb4097134ff3c332f xmlns="1d53f76f-5fb9-46e8-baaf-6cbdc5ee46ad">
      <Terms xmlns="http://schemas.microsoft.com/office/infopath/2007/PartnerControls"/>
    </lcf76f155ced4ddcb4097134ff3c332f>
    <TaxCatchAll xmlns="dbb9e94c-2a44-4557-8076-c13b38405f6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8F2A52-4EFB-41AB-80C7-E30BEB52E2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3f76f-5fb9-46e8-baaf-6cbdc5ee46ad"/>
    <ds:schemaRef ds:uri="dbb9e94c-2a44-4557-8076-c13b38405f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1FB4759-3AC0-4B04-9C7E-FA32A6EA986A}">
  <ds:schemaRefs>
    <ds:schemaRef ds:uri="http://www.w3.org/XML/1998/namespace"/>
    <ds:schemaRef ds:uri="http://purl.org/dc/terms/"/>
    <ds:schemaRef ds:uri="http://schemas.microsoft.com/office/2006/documentManagement/types"/>
    <ds:schemaRef ds:uri="http://schemas.microsoft.com/office/infopath/2007/PartnerControls"/>
    <ds:schemaRef ds:uri="http://purl.org/dc/elements/1.1/"/>
    <ds:schemaRef ds:uri="http://purl.org/dc/dcmitype/"/>
    <ds:schemaRef ds:uri="1d53f76f-5fb9-46e8-baaf-6cbdc5ee46ad"/>
    <ds:schemaRef ds:uri="dbb9e94c-2a44-4557-8076-c13b38405f67"/>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B8C6BDC1-43D8-4680-B6E9-70B02C2D68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14</vt:i4>
      </vt:variant>
    </vt:vector>
  </HeadingPairs>
  <TitlesOfParts>
    <vt:vector size="27" baseType="lpstr">
      <vt:lpstr>1. RESUMEN</vt:lpstr>
      <vt:lpstr>3.CARRETERAS</vt:lpstr>
      <vt:lpstr>4.PUENTES</vt:lpstr>
      <vt:lpstr>5.ALCANTARILLAS Y VADOS</vt:lpstr>
      <vt:lpstr>6.RIOS Y QUEBRADAS</vt:lpstr>
      <vt:lpstr>7.OBRAS CORRECTIVAS</vt:lpstr>
      <vt:lpstr>8.EDUCACION</vt:lpstr>
      <vt:lpstr>9.SISTEMAS DE AGUA</vt:lpstr>
      <vt:lpstr>10.EDIFICIOS PÚBLICOS</vt:lpstr>
      <vt:lpstr>11. VIVIENDA</vt:lpstr>
      <vt:lpstr>12. SUBSECTOR AGRÍCOLA</vt:lpstr>
      <vt:lpstr>13. SUBSECTOR PECUARIO</vt:lpstr>
      <vt:lpstr>14.PESCA Y ACUICULTURA</vt:lpstr>
      <vt:lpstr>'1. RESUMEN'!Área_de_impresión</vt:lpstr>
      <vt:lpstr>'3.CARRETERAS'!Área_de_impresión</vt:lpstr>
      <vt:lpstr>'4.PUENTES'!Área_de_impresión</vt:lpstr>
      <vt:lpstr>'5.ALCANTARILLAS Y VADOS'!Área_de_impresión</vt:lpstr>
      <vt:lpstr>'6.RIOS Y QUEBRADAS'!Área_de_impresión</vt:lpstr>
      <vt:lpstr>'8.EDUCACION'!Área_de_impresión</vt:lpstr>
      <vt:lpstr>'9.SISTEMAS DE AGUA'!Área_de_impresión</vt:lpstr>
      <vt:lpstr>'11. VIVIENDA'!Títulos_a_imprimir</vt:lpstr>
      <vt:lpstr>'3.CARRETERAS'!Títulos_a_imprimir</vt:lpstr>
      <vt:lpstr>'4.PUENTES'!Títulos_a_imprimir</vt:lpstr>
      <vt:lpstr>'5.ALCANTARILLAS Y VADOS'!Títulos_a_imprimir</vt:lpstr>
      <vt:lpstr>'6.RIOS Y QUEBRADAS'!Títulos_a_imprimir</vt:lpstr>
      <vt:lpstr>'8.EDUCACION'!Títulos_a_imprimir</vt:lpstr>
      <vt:lpstr>'9.SISTEMAS DE AGUA'!Títulos_a_imprimir</vt:lpstr>
    </vt:vector>
  </TitlesOfParts>
  <Company>CNE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Jorge Eduardo Suarez Rojas</dc:creator>
  <cp:lastModifiedBy>Rolando Cruz Flores</cp:lastModifiedBy>
  <cp:lastPrinted>2018-01-09T16:32:01Z</cp:lastPrinted>
  <dcterms:created xsi:type="dcterms:W3CDTF">2017-02-28T14:37:05Z</dcterms:created>
  <dcterms:modified xsi:type="dcterms:W3CDTF">2023-05-03T18:21:24Z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0x0101004347128E6F3B5B4F8FD3F503E701AA01</vt:lpwstr>
  </property>
  <property fmtid="{D5CDD505-2E9C-101B-9397-08002B2CF9AE}" pid="3" name="Order">
    <vt:r8>551100</vt:r8>
  </property>
</Properties>
</file>